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\\mercury\FIN\Regulation\Applications and Filings\Rate Applications\2026 ECAM Collection Rate\Application to Adjust ECAM - March 1, 2026\"/>
    </mc:Choice>
  </mc:AlternateContent>
  <xr:revisionPtr revIDLastSave="0" documentId="13_ncr:1_{1868D1AA-AF71-44D8-9FF3-0950F560DCCB}" xr6:coauthVersionLast="47" xr6:coauthVersionMax="47" xr10:uidLastSave="{00000000-0000-0000-0000-000000000000}"/>
  <bookViews>
    <workbookView xWindow="-120" yWindow="-120" windowWidth="29040" windowHeight="15720" tabRatio="930" xr2:uid="{00000000-000D-0000-FFFF-FFFF00000000}"/>
  </bookViews>
  <sheets>
    <sheet name="App A" sheetId="10" r:id="rId1"/>
    <sheet name="App B" sheetId="32" r:id="rId2"/>
    <sheet name="5.1" sheetId="18" r:id="rId3"/>
    <sheet name="5.2" sheetId="21" r:id="rId4"/>
    <sheet name="5.3" sheetId="26" r:id="rId5"/>
    <sheet name="5.4" sheetId="27" r:id="rId6"/>
    <sheet name="5.5 - 5.7" sheetId="28" r:id="rId7"/>
    <sheet name="5.8  - 5.9" sheetId="29" r:id="rId8"/>
    <sheet name="5.10-5.11" sheetId="30" r:id="rId9"/>
    <sheet name="5.12" sheetId="34" r:id="rId10"/>
    <sheet name="6.2" sheetId="33" r:id="rId11"/>
    <sheet name="7.3" sheetId="14" r:id="rId12"/>
    <sheet name="7.4" sheetId="15" r:id="rId13"/>
    <sheet name="7.5" sheetId="13" r:id="rId14"/>
    <sheet name="8.1" sheetId="22" r:id="rId15"/>
    <sheet name="8.2" sheetId="25" r:id="rId16"/>
    <sheet name="Customer Impact Summary" sheetId="20" state="hidden" r:id="rId17"/>
    <sheet name="Customer Impact Mar - Feb" sheetId="24" state="hidden" r:id="rId18"/>
  </sheets>
  <definedNames>
    <definedName name="_xlnm.Print_Area" localSheetId="0">'App A'!$B$2:$O$118</definedName>
    <definedName name="_xlnm.Print_Area" localSheetId="1">'App B'!$B$2:$K$46</definedName>
    <definedName name="_xlnm.Print_Titles" localSheetId="0">'App A'!$1:$80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4" l="1"/>
  <c r="I20" i="34"/>
  <c r="I16" i="34"/>
  <c r="I12" i="34"/>
  <c r="F4" i="29"/>
  <c r="F5" i="29"/>
  <c r="D27" i="21"/>
  <c r="D23" i="21"/>
  <c r="F22" i="21"/>
  <c r="F21" i="21"/>
  <c r="E19" i="21"/>
  <c r="D19" i="21"/>
  <c r="F18" i="21"/>
  <c r="F17" i="21"/>
  <c r="F19" i="21" s="1"/>
  <c r="F7" i="21"/>
  <c r="F10" i="21"/>
  <c r="F8" i="21"/>
  <c r="F5" i="21"/>
  <c r="F4" i="21"/>
  <c r="F13" i="27" l="1"/>
  <c r="E14" i="27"/>
  <c r="D14" i="27"/>
  <c r="F9" i="27"/>
  <c r="F5" i="27"/>
  <c r="D6" i="27"/>
  <c r="E14" i="26"/>
  <c r="D14" i="26"/>
  <c r="D7" i="25"/>
  <c r="C7" i="25"/>
  <c r="C22" i="25" s="1"/>
  <c r="C5" i="25"/>
  <c r="C104" i="10"/>
  <c r="O104" i="10"/>
  <c r="F8" i="27" l="1"/>
  <c r="F10" i="27" s="1"/>
  <c r="E17" i="29"/>
  <c r="E10" i="27"/>
  <c r="F12" i="27"/>
  <c r="F14" i="27" s="1"/>
  <c r="E6" i="27"/>
  <c r="D10" i="27"/>
  <c r="E24" i="30" l="1"/>
  <c r="G23" i="30"/>
  <c r="G19" i="30"/>
  <c r="E20" i="30"/>
  <c r="G15" i="30"/>
  <c r="E16" i="30"/>
  <c r="F15" i="29"/>
  <c r="D12" i="29"/>
  <c r="F11" i="29"/>
  <c r="F10" i="29"/>
  <c r="F9" i="29"/>
  <c r="F12" i="29" l="1"/>
  <c r="F16" i="30"/>
  <c r="G16" i="30" s="1"/>
  <c r="F24" i="30"/>
  <c r="G24" i="30" s="1"/>
  <c r="G18" i="30"/>
  <c r="G22" i="30"/>
  <c r="F14" i="29"/>
  <c r="F17" i="29" s="1"/>
  <c r="F20" i="30"/>
  <c r="G20" i="30" s="1"/>
  <c r="E12" i="29"/>
  <c r="G14" i="30"/>
  <c r="D42" i="18" l="1"/>
  <c r="D7" i="29" l="1"/>
  <c r="F6" i="29"/>
  <c r="E7" i="29" l="1"/>
  <c r="F4" i="28" l="1"/>
  <c r="F4" i="26" l="1"/>
  <c r="E39" i="33" l="1"/>
  <c r="H36" i="33"/>
  <c r="E35" i="33"/>
  <c r="H29" i="33"/>
  <c r="E26" i="33"/>
  <c r="H23" i="33"/>
  <c r="E22" i="33"/>
  <c r="E14" i="33"/>
  <c r="E11" i="33"/>
  <c r="E8" i="33"/>
  <c r="H7" i="33" l="1"/>
  <c r="H10" i="33"/>
  <c r="H6" i="33"/>
  <c r="H9" i="33"/>
  <c r="H12" i="33"/>
  <c r="H15" i="33"/>
  <c r="E20" i="33"/>
  <c r="E24" i="33"/>
  <c r="E28" i="33"/>
  <c r="E33" i="33"/>
  <c r="E37" i="33"/>
  <c r="E41" i="33"/>
  <c r="H13" i="33"/>
  <c r="E6" i="33"/>
  <c r="E9" i="33"/>
  <c r="E12" i="33"/>
  <c r="E15" i="33"/>
  <c r="E21" i="33"/>
  <c r="E25" i="33"/>
  <c r="E29" i="33"/>
  <c r="I29" i="33" s="1"/>
  <c r="E34" i="33"/>
  <c r="E38" i="33"/>
  <c r="E42" i="33"/>
  <c r="H16" i="33"/>
  <c r="E19" i="33"/>
  <c r="E23" i="33"/>
  <c r="I23" i="33" s="1"/>
  <c r="E27" i="33"/>
  <c r="E32" i="33"/>
  <c r="E36" i="33"/>
  <c r="I36" i="33" s="1"/>
  <c r="E40" i="33"/>
  <c r="H40" i="33"/>
  <c r="H19" i="33"/>
  <c r="H42" i="33"/>
  <c r="H27" i="33"/>
  <c r="H32" i="33"/>
  <c r="E7" i="33"/>
  <c r="E10" i="33"/>
  <c r="E13" i="33"/>
  <c r="E16" i="33"/>
  <c r="H20" i="33"/>
  <c r="H28" i="33"/>
  <c r="H33" i="33"/>
  <c r="H41" i="33"/>
  <c r="H24" i="33"/>
  <c r="H37" i="33"/>
  <c r="H21" i="33"/>
  <c r="H38" i="33"/>
  <c r="H25" i="33"/>
  <c r="I25" i="33" s="1"/>
  <c r="H34" i="33"/>
  <c r="H8" i="33"/>
  <c r="I8" i="33" s="1"/>
  <c r="H11" i="33"/>
  <c r="I11" i="33" s="1"/>
  <c r="H14" i="33"/>
  <c r="I14" i="33" s="1"/>
  <c r="H22" i="33"/>
  <c r="I22" i="33" s="1"/>
  <c r="H26" i="33"/>
  <c r="I26" i="33" s="1"/>
  <c r="H35" i="33"/>
  <c r="I35" i="33" s="1"/>
  <c r="H39" i="33"/>
  <c r="I39" i="33" s="1"/>
  <c r="C17" i="33"/>
  <c r="C4" i="34" s="1"/>
  <c r="E5" i="33"/>
  <c r="F17" i="33"/>
  <c r="H5" i="33"/>
  <c r="C30" i="33"/>
  <c r="D4" i="34" s="1"/>
  <c r="E18" i="33"/>
  <c r="F30" i="33"/>
  <c r="H18" i="33"/>
  <c r="C43" i="33"/>
  <c r="E4" i="34" s="1"/>
  <c r="E31" i="33"/>
  <c r="F43" i="33"/>
  <c r="H31" i="33"/>
  <c r="I7" i="33" l="1"/>
  <c r="I37" i="33"/>
  <c r="I34" i="33"/>
  <c r="I10" i="33"/>
  <c r="I24" i="33"/>
  <c r="I13" i="33"/>
  <c r="I6" i="33"/>
  <c r="I40" i="33"/>
  <c r="I12" i="33"/>
  <c r="I41" i="33"/>
  <c r="I32" i="33"/>
  <c r="I33" i="33"/>
  <c r="I15" i="33"/>
  <c r="I28" i="33"/>
  <c r="I20" i="33"/>
  <c r="I9" i="33"/>
  <c r="I21" i="33"/>
  <c r="I27" i="33"/>
  <c r="I42" i="33"/>
  <c r="I38" i="33"/>
  <c r="I16" i="33"/>
  <c r="E43" i="33"/>
  <c r="D43" i="33" s="1"/>
  <c r="I19" i="33"/>
  <c r="E30" i="33"/>
  <c r="D30" i="33" s="1"/>
  <c r="E17" i="33"/>
  <c r="D17" i="33" s="1"/>
  <c r="D5" i="34"/>
  <c r="D6" i="34" s="1"/>
  <c r="C5" i="34"/>
  <c r="C6" i="34" s="1"/>
  <c r="E5" i="34"/>
  <c r="E6" i="34" s="1"/>
  <c r="H43" i="33"/>
  <c r="I31" i="33"/>
  <c r="H30" i="33"/>
  <c r="G30" i="33" s="1"/>
  <c r="I18" i="33"/>
  <c r="H17" i="33"/>
  <c r="G17" i="33" s="1"/>
  <c r="I5" i="33"/>
  <c r="E44" i="33" l="1"/>
  <c r="I17" i="33"/>
  <c r="I30" i="33"/>
  <c r="I43" i="33"/>
  <c r="G43" i="33"/>
  <c r="H44" i="33"/>
  <c r="I44" i="33" l="1"/>
  <c r="C35" i="25" l="1"/>
  <c r="C34" i="25"/>
  <c r="D34" i="25" s="1"/>
  <c r="B24" i="25"/>
  <c r="B40" i="25" s="1"/>
  <c r="B25" i="25"/>
  <c r="B26" i="25"/>
  <c r="B41" i="25" s="1"/>
  <c r="B27" i="25"/>
  <c r="B42" i="25" s="1"/>
  <c r="B28" i="25"/>
  <c r="B43" i="25" s="1"/>
  <c r="B29" i="25"/>
  <c r="B44" i="25" s="1"/>
  <c r="B23" i="25"/>
  <c r="B39" i="25" s="1"/>
  <c r="B22" i="25"/>
  <c r="B38" i="25" s="1"/>
  <c r="B21" i="25"/>
  <c r="B37" i="25" s="1"/>
  <c r="B20" i="25"/>
  <c r="B36" i="25" s="1"/>
  <c r="B19" i="25"/>
  <c r="B34" i="25" s="1"/>
  <c r="C19" i="25"/>
  <c r="D4" i="25"/>
  <c r="C4" i="25"/>
  <c r="C96" i="10" l="1"/>
  <c r="D11" i="15" l="1"/>
  <c r="B6" i="14"/>
  <c r="E5" i="15" l="1"/>
  <c r="E8" i="15"/>
  <c r="C11" i="15"/>
  <c r="E6" i="15"/>
  <c r="E7" i="15"/>
  <c r="E10" i="15"/>
  <c r="E9" i="15"/>
  <c r="C17" i="13"/>
  <c r="H10" i="14" l="1"/>
  <c r="E34" i="32" l="1"/>
  <c r="E35" i="32"/>
  <c r="E32" i="32"/>
  <c r="I33" i="32"/>
  <c r="D106" i="10" s="1"/>
  <c r="I34" i="32"/>
  <c r="E106" i="10" s="1"/>
  <c r="I39" i="32"/>
  <c r="J106" i="10" s="1"/>
  <c r="I43" i="32"/>
  <c r="N106" i="10" s="1"/>
  <c r="E21" i="32"/>
  <c r="E22" i="32"/>
  <c r="E23" i="32"/>
  <c r="E29" i="32"/>
  <c r="E19" i="32"/>
  <c r="I21" i="32"/>
  <c r="I23" i="32"/>
  <c r="E8" i="32"/>
  <c r="E9" i="32"/>
  <c r="E10" i="32"/>
  <c r="I7" i="32"/>
  <c r="I8" i="32"/>
  <c r="C24" i="10"/>
  <c r="K21" i="32" l="1"/>
  <c r="I20" i="32"/>
  <c r="E20" i="32"/>
  <c r="E7" i="32"/>
  <c r="K7" i="32" s="1"/>
  <c r="E38" i="32"/>
  <c r="E36" i="32"/>
  <c r="I36" i="32"/>
  <c r="G106" i="10" s="1"/>
  <c r="E25" i="32"/>
  <c r="I11" i="32"/>
  <c r="E11" i="32"/>
  <c r="E24" i="32"/>
  <c r="E26" i="32"/>
  <c r="I13" i="32"/>
  <c r="I38" i="32"/>
  <c r="I106" i="10" s="1"/>
  <c r="E6" i="32"/>
  <c r="I10" i="32"/>
  <c r="K10" i="32" s="1"/>
  <c r="I17" i="32"/>
  <c r="I12" i="32"/>
  <c r="I22" i="32"/>
  <c r="K22" i="32" s="1"/>
  <c r="I37" i="32"/>
  <c r="H106" i="10" s="1"/>
  <c r="I24" i="32"/>
  <c r="E15" i="32"/>
  <c r="E12" i="32"/>
  <c r="E39" i="32"/>
  <c r="K39" i="32" s="1"/>
  <c r="E27" i="32"/>
  <c r="E13" i="32"/>
  <c r="I42" i="32"/>
  <c r="M106" i="10" s="1"/>
  <c r="E37" i="32"/>
  <c r="E16" i="32"/>
  <c r="I6" i="32"/>
  <c r="E14" i="32"/>
  <c r="I16" i="32"/>
  <c r="E40" i="32"/>
  <c r="I29" i="32"/>
  <c r="K29" i="32" s="1"/>
  <c r="I14" i="32"/>
  <c r="I27" i="32"/>
  <c r="E41" i="32"/>
  <c r="I30" i="32"/>
  <c r="K8" i="32"/>
  <c r="K23" i="32"/>
  <c r="I25" i="32"/>
  <c r="G31" i="32"/>
  <c r="E30" i="32"/>
  <c r="G44" i="32"/>
  <c r="E33" i="32"/>
  <c r="K33" i="32" s="1"/>
  <c r="I28" i="32"/>
  <c r="E28" i="32"/>
  <c r="I41" i="32"/>
  <c r="L106" i="10" s="1"/>
  <c r="E43" i="32"/>
  <c r="K43" i="32" s="1"/>
  <c r="I26" i="32"/>
  <c r="I40" i="32"/>
  <c r="K106" i="10" s="1"/>
  <c r="E42" i="32"/>
  <c r="K34" i="32"/>
  <c r="I9" i="32"/>
  <c r="K9" i="32" s="1"/>
  <c r="I19" i="32"/>
  <c r="C31" i="32"/>
  <c r="I35" i="32"/>
  <c r="C44" i="32"/>
  <c r="I32" i="32"/>
  <c r="E17" i="32"/>
  <c r="I15" i="32"/>
  <c r="G18" i="32"/>
  <c r="C18" i="32"/>
  <c r="K32" i="32" l="1"/>
  <c r="C106" i="10"/>
  <c r="K35" i="32"/>
  <c r="F106" i="10"/>
  <c r="K20" i="32"/>
  <c r="K38" i="32"/>
  <c r="K11" i="32"/>
  <c r="K36" i="32"/>
  <c r="K25" i="32"/>
  <c r="K12" i="32"/>
  <c r="K24" i="32"/>
  <c r="K13" i="32"/>
  <c r="K26" i="32"/>
  <c r="K6" i="32"/>
  <c r="K27" i="32"/>
  <c r="K37" i="32"/>
  <c r="K15" i="32"/>
  <c r="K42" i="32"/>
  <c r="K16" i="32"/>
  <c r="K40" i="32"/>
  <c r="K14" i="32"/>
  <c r="K30" i="32"/>
  <c r="K41" i="32"/>
  <c r="E31" i="32"/>
  <c r="E44" i="32"/>
  <c r="K28" i="32"/>
  <c r="E18" i="32"/>
  <c r="K17" i="32"/>
  <c r="I44" i="32"/>
  <c r="I18" i="32"/>
  <c r="K19" i="32"/>
  <c r="I31" i="32"/>
  <c r="O106" i="10" l="1"/>
  <c r="F15" i="18" s="1"/>
  <c r="K18" i="32"/>
  <c r="K44" i="32"/>
  <c r="K31" i="32"/>
  <c r="G4" i="30" l="1"/>
  <c r="G8" i="30" l="1"/>
  <c r="G6" i="30" l="1"/>
  <c r="F23" i="29"/>
  <c r="F27" i="29"/>
  <c r="F25" i="29"/>
  <c r="D17" i="29" l="1"/>
  <c r="F7" i="29" l="1"/>
  <c r="E34" i="28"/>
  <c r="D34" i="28"/>
  <c r="F33" i="28"/>
  <c r="F32" i="28"/>
  <c r="F29" i="28"/>
  <c r="F28" i="28"/>
  <c r="E30" i="28"/>
  <c r="D30" i="28"/>
  <c r="D26" i="28"/>
  <c r="F25" i="28"/>
  <c r="F34" i="28" l="1"/>
  <c r="E26" i="28"/>
  <c r="F26" i="28" s="1"/>
  <c r="F30" i="28"/>
  <c r="F24" i="28"/>
  <c r="F18" i="28" l="1"/>
  <c r="F14" i="28"/>
  <c r="F16" i="28" l="1"/>
  <c r="F8" i="28" l="1"/>
  <c r="F6" i="28"/>
  <c r="F4" i="27" l="1"/>
  <c r="F6" i="27" l="1"/>
  <c r="E6" i="26" l="1"/>
  <c r="D6" i="26"/>
  <c r="F13" i="26" l="1"/>
  <c r="F9" i="26"/>
  <c r="F5" i="26"/>
  <c r="F6" i="26" s="1"/>
  <c r="F12" i="26" l="1"/>
  <c r="F14" i="26" s="1"/>
  <c r="E10" i="26" l="1"/>
  <c r="D10" i="26"/>
  <c r="F8" i="26" l="1"/>
  <c r="F10" i="26" s="1"/>
  <c r="E27" i="21" l="1"/>
  <c r="F25" i="21"/>
  <c r="E23" i="21"/>
  <c r="F26" i="21"/>
  <c r="F27" i="21" l="1"/>
  <c r="F23" i="21"/>
  <c r="F11" i="21" l="1"/>
  <c r="G34" i="28" l="1"/>
  <c r="G30" i="28"/>
  <c r="F23" i="18" l="1"/>
  <c r="D24" i="18" l="1"/>
  <c r="H4" i="14" s="1"/>
  <c r="J56" i="10" l="1"/>
  <c r="E60" i="10"/>
  <c r="O68" i="10"/>
  <c r="E56" i="10" l="1"/>
  <c r="E62" i="10" s="1"/>
  <c r="O32" i="10"/>
  <c r="D60" i="10" l="1"/>
  <c r="C60" i="10"/>
  <c r="O19" i="10" l="1"/>
  <c r="O18" i="10"/>
  <c r="F16" i="10"/>
  <c r="F20" i="10" s="1"/>
  <c r="G16" i="10"/>
  <c r="G20" i="10" s="1"/>
  <c r="H16" i="10"/>
  <c r="H20" i="10" s="1"/>
  <c r="I16" i="10"/>
  <c r="I20" i="10" s="1"/>
  <c r="L16" i="10"/>
  <c r="L20" i="10" s="1"/>
  <c r="M16" i="10"/>
  <c r="M20" i="10" s="1"/>
  <c r="N16" i="10"/>
  <c r="N20" i="10" s="1"/>
  <c r="O22" i="10"/>
  <c r="D5" i="18" s="1"/>
  <c r="E15" i="10"/>
  <c r="E16" i="10" s="1"/>
  <c r="E20" i="10" s="1"/>
  <c r="D15" i="10"/>
  <c r="D16" i="10" s="1"/>
  <c r="D20" i="10" s="1"/>
  <c r="C15" i="10"/>
  <c r="C16" i="10" s="1"/>
  <c r="C20" i="10" s="1"/>
  <c r="C26" i="10" s="1"/>
  <c r="C33" i="10" s="1"/>
  <c r="K11" i="10"/>
  <c r="K16" i="10" s="1"/>
  <c r="K20" i="10" s="1"/>
  <c r="J11" i="10"/>
  <c r="J16" i="10" s="1"/>
  <c r="J20" i="10" s="1"/>
  <c r="O52" i="10"/>
  <c r="G60" i="10"/>
  <c r="O39" i="10" l="1"/>
  <c r="O16" i="10"/>
  <c r="O20" i="10" s="1"/>
  <c r="D4" i="18" s="1"/>
  <c r="O75" i="10"/>
  <c r="I96" i="10" l="1"/>
  <c r="C92" i="10" l="1"/>
  <c r="C98" i="10" s="1"/>
  <c r="C105" i="10" s="1"/>
  <c r="C107" i="10" s="1"/>
  <c r="D104" i="10" s="1"/>
  <c r="D10" i="10" l="1"/>
  <c r="E10" i="10" s="1"/>
  <c r="F10" i="10" s="1"/>
  <c r="G10" i="10" s="1"/>
  <c r="H10" i="10" s="1"/>
  <c r="I10" i="10" s="1"/>
  <c r="J10" i="10" s="1"/>
  <c r="K10" i="10" s="1"/>
  <c r="L10" i="10" s="1"/>
  <c r="M10" i="10" s="1"/>
  <c r="N10" i="10" s="1"/>
  <c r="B77" i="10"/>
  <c r="N77" i="10"/>
  <c r="N70" i="10" s="1"/>
  <c r="L77" i="10"/>
  <c r="L70" i="10" s="1"/>
  <c r="G77" i="10"/>
  <c r="G70" i="10" s="1"/>
  <c r="E77" i="10"/>
  <c r="E70" i="10" s="1"/>
  <c r="N66" i="10"/>
  <c r="M66" i="10"/>
  <c r="L66" i="10"/>
  <c r="K66" i="10"/>
  <c r="J66" i="10"/>
  <c r="I66" i="10"/>
  <c r="H66" i="10"/>
  <c r="G66" i="10"/>
  <c r="F66" i="10"/>
  <c r="E66" i="10"/>
  <c r="D66" i="10"/>
  <c r="C66" i="10"/>
  <c r="O65" i="10"/>
  <c r="O64" i="10"/>
  <c r="O66" i="10" s="1"/>
  <c r="N60" i="10"/>
  <c r="M60" i="10"/>
  <c r="L60" i="10"/>
  <c r="K60" i="10"/>
  <c r="J60" i="10"/>
  <c r="J62" i="10" s="1"/>
  <c r="J69" i="10" s="1"/>
  <c r="I60" i="10"/>
  <c r="H60" i="10"/>
  <c r="F60" i="10"/>
  <c r="O58" i="10"/>
  <c r="E5" i="18" s="1"/>
  <c r="N56" i="10"/>
  <c r="M56" i="10"/>
  <c r="L56" i="10"/>
  <c r="K56" i="10"/>
  <c r="I56" i="10"/>
  <c r="I62" i="10" s="1"/>
  <c r="H56" i="10"/>
  <c r="H62" i="10" s="1"/>
  <c r="G56" i="10"/>
  <c r="F56" i="10"/>
  <c r="D56" i="10"/>
  <c r="D62" i="10" s="1"/>
  <c r="D69" i="10" s="1"/>
  <c r="C56" i="10"/>
  <c r="C62" i="10" s="1"/>
  <c r="C69" i="10" s="1"/>
  <c r="O55" i="10"/>
  <c r="O54" i="10"/>
  <c r="O53" i="10"/>
  <c r="D51" i="10"/>
  <c r="E51" i="10" s="1"/>
  <c r="F51" i="10" s="1"/>
  <c r="G51" i="10" s="1"/>
  <c r="H51" i="10" s="1"/>
  <c r="I51" i="10" s="1"/>
  <c r="J51" i="10" s="1"/>
  <c r="K51" i="10" s="1"/>
  <c r="L51" i="10" s="1"/>
  <c r="M51" i="10" s="1"/>
  <c r="N51" i="10" s="1"/>
  <c r="B41" i="10"/>
  <c r="N41" i="10"/>
  <c r="N34" i="10" s="1"/>
  <c r="H41" i="10"/>
  <c r="H34" i="10" s="1"/>
  <c r="F41" i="10"/>
  <c r="F34" i="10" s="1"/>
  <c r="N30" i="10"/>
  <c r="M30" i="10"/>
  <c r="L30" i="10"/>
  <c r="K30" i="10"/>
  <c r="J30" i="10"/>
  <c r="I30" i="10"/>
  <c r="H30" i="10"/>
  <c r="G30" i="10"/>
  <c r="F30" i="10"/>
  <c r="E30" i="10"/>
  <c r="D30" i="10"/>
  <c r="C30" i="10"/>
  <c r="O29" i="10"/>
  <c r="O28" i="10"/>
  <c r="O30" i="10" s="1"/>
  <c r="N24" i="10"/>
  <c r="N26" i="10" s="1"/>
  <c r="N33" i="10" s="1"/>
  <c r="M24" i="10"/>
  <c r="M26" i="10" s="1"/>
  <c r="M33" i="10" s="1"/>
  <c r="L24" i="10"/>
  <c r="L26" i="10" s="1"/>
  <c r="L33" i="10" s="1"/>
  <c r="K24" i="10"/>
  <c r="K26" i="10" s="1"/>
  <c r="K33" i="10" s="1"/>
  <c r="J24" i="10"/>
  <c r="J26" i="10" s="1"/>
  <c r="J33" i="10" s="1"/>
  <c r="I24" i="10"/>
  <c r="I26" i="10" s="1"/>
  <c r="I33" i="10" s="1"/>
  <c r="H24" i="10"/>
  <c r="H26" i="10" s="1"/>
  <c r="H33" i="10" s="1"/>
  <c r="G24" i="10"/>
  <c r="G26" i="10" s="1"/>
  <c r="G33" i="10" s="1"/>
  <c r="F24" i="10"/>
  <c r="F26" i="10" s="1"/>
  <c r="F33" i="10" s="1"/>
  <c r="E24" i="10"/>
  <c r="E26" i="10" s="1"/>
  <c r="E33" i="10" s="1"/>
  <c r="D24" i="10"/>
  <c r="D26" i="10" s="1"/>
  <c r="D33" i="10" s="1"/>
  <c r="O14" i="10"/>
  <c r="O13" i="10"/>
  <c r="O12" i="10"/>
  <c r="O11" i="10"/>
  <c r="K62" i="10" l="1"/>
  <c r="K69" i="10" s="1"/>
  <c r="F62" i="10"/>
  <c r="F69" i="10" s="1"/>
  <c r="O33" i="10"/>
  <c r="G62" i="10"/>
  <c r="G69" i="10" s="1"/>
  <c r="L62" i="10"/>
  <c r="L69" i="10" s="1"/>
  <c r="N62" i="10"/>
  <c r="N69" i="10" s="1"/>
  <c r="E69" i="10"/>
  <c r="M62" i="10"/>
  <c r="M69" i="10" s="1"/>
  <c r="H69" i="10"/>
  <c r="I69" i="10"/>
  <c r="O24" i="10"/>
  <c r="O23" i="10" s="1"/>
  <c r="O56" i="10"/>
  <c r="O60" i="10"/>
  <c r="D41" i="10"/>
  <c r="D34" i="10" s="1"/>
  <c r="F77" i="10"/>
  <c r="F70" i="10" s="1"/>
  <c r="H77" i="10"/>
  <c r="H70" i="10" s="1"/>
  <c r="G41" i="10"/>
  <c r="G34" i="10" s="1"/>
  <c r="M41" i="10"/>
  <c r="M34" i="10" s="1"/>
  <c r="M77" i="10"/>
  <c r="M70" i="10" s="1"/>
  <c r="D77" i="10"/>
  <c r="D70" i="10" s="1"/>
  <c r="K77" i="10"/>
  <c r="K70" i="10" s="1"/>
  <c r="I77" i="10"/>
  <c r="I70" i="10" s="1"/>
  <c r="J41" i="10"/>
  <c r="J34" i="10" s="1"/>
  <c r="J77" i="10"/>
  <c r="J70" i="10" s="1"/>
  <c r="C41" i="10"/>
  <c r="C34" i="10" s="1"/>
  <c r="I41" i="10"/>
  <c r="I34" i="10" s="1"/>
  <c r="K41" i="10"/>
  <c r="K34" i="10" s="1"/>
  <c r="L41" i="10"/>
  <c r="L34" i="10" s="1"/>
  <c r="E41" i="10"/>
  <c r="E34" i="10" s="1"/>
  <c r="C77" i="10"/>
  <c r="C70" i="10" s="1"/>
  <c r="O69" i="10" l="1"/>
  <c r="O59" i="10"/>
  <c r="E6" i="18" s="1"/>
  <c r="E7" i="18" s="1"/>
  <c r="E4" i="18"/>
  <c r="O62" i="10"/>
  <c r="O70" i="10"/>
  <c r="O71" i="10" s="1"/>
  <c r="C35" i="10"/>
  <c r="O34" i="10"/>
  <c r="O35" i="10" s="1"/>
  <c r="C71" i="10"/>
  <c r="D6" i="18"/>
  <c r="D7" i="18" s="1"/>
  <c r="D8" i="18" s="1"/>
  <c r="O26" i="10"/>
  <c r="O41" i="10"/>
  <c r="O77" i="10"/>
  <c r="E8" i="18" l="1"/>
  <c r="D68" i="10"/>
  <c r="D71" i="10" s="1"/>
  <c r="C72" i="10"/>
  <c r="D15" i="18"/>
  <c r="D32" i="10"/>
  <c r="D35" i="10" s="1"/>
  <c r="C36" i="10"/>
  <c r="E15" i="18"/>
  <c r="E17" i="18" s="1"/>
  <c r="O36" i="10"/>
  <c r="O72" i="10"/>
  <c r="O40" i="10"/>
  <c r="O76" i="10"/>
  <c r="F22" i="18" l="1"/>
  <c r="G22" i="18" s="1"/>
  <c r="D17" i="18"/>
  <c r="F6" i="14"/>
  <c r="E32" i="10"/>
  <c r="E35" i="10" s="1"/>
  <c r="D36" i="10"/>
  <c r="E68" i="10"/>
  <c r="E71" i="10" s="1"/>
  <c r="D72" i="10"/>
  <c r="E6" i="14" l="1"/>
  <c r="F68" i="10"/>
  <c r="F71" i="10" s="1"/>
  <c r="E72" i="10"/>
  <c r="F32" i="10"/>
  <c r="F35" i="10" s="1"/>
  <c r="E36" i="10"/>
  <c r="G32" i="10" l="1"/>
  <c r="G35" i="10" s="1"/>
  <c r="F36" i="10"/>
  <c r="F72" i="10"/>
  <c r="G68" i="10"/>
  <c r="G71" i="10" s="1"/>
  <c r="G72" i="10" l="1"/>
  <c r="H68" i="10"/>
  <c r="H71" i="10" s="1"/>
  <c r="H32" i="10"/>
  <c r="H35" i="10" s="1"/>
  <c r="G36" i="10"/>
  <c r="I32" i="10" l="1"/>
  <c r="I35" i="10" s="1"/>
  <c r="H36" i="10"/>
  <c r="I68" i="10"/>
  <c r="I71" i="10" s="1"/>
  <c r="H72" i="10"/>
  <c r="J68" i="10" l="1"/>
  <c r="J71" i="10" s="1"/>
  <c r="I72" i="10"/>
  <c r="J32" i="10"/>
  <c r="J35" i="10" s="1"/>
  <c r="I36" i="10"/>
  <c r="N113" i="10"/>
  <c r="M113" i="10"/>
  <c r="L113" i="10"/>
  <c r="K32" i="10" l="1"/>
  <c r="K35" i="10" s="1"/>
  <c r="J36" i="10"/>
  <c r="K68" i="10"/>
  <c r="K71" i="10" s="1"/>
  <c r="J72" i="10"/>
  <c r="O111" i="10"/>
  <c r="C113" i="10"/>
  <c r="D92" i="10"/>
  <c r="K72" i="10" l="1"/>
  <c r="L68" i="10"/>
  <c r="L71" i="10" s="1"/>
  <c r="L32" i="10"/>
  <c r="L35" i="10" s="1"/>
  <c r="K36" i="10"/>
  <c r="D18" i="25"/>
  <c r="C18" i="25"/>
  <c r="M32" i="10" l="1"/>
  <c r="M35" i="10" s="1"/>
  <c r="L36" i="10"/>
  <c r="M68" i="10"/>
  <c r="M71" i="10" s="1"/>
  <c r="L72" i="10"/>
  <c r="D35" i="25"/>
  <c r="D19" i="25"/>
  <c r="C33" i="25"/>
  <c r="D33" i="25"/>
  <c r="B47" i="24"/>
  <c r="B48" i="24"/>
  <c r="B46" i="24"/>
  <c r="C44" i="24"/>
  <c r="A26" i="24"/>
  <c r="C10" i="24"/>
  <c r="C9" i="24"/>
  <c r="B26" i="24"/>
  <c r="C26" i="24" s="1"/>
  <c r="C6" i="24"/>
  <c r="N68" i="10" l="1"/>
  <c r="N71" i="10" s="1"/>
  <c r="N72" i="10" s="1"/>
  <c r="M72" i="10"/>
  <c r="N32" i="10"/>
  <c r="N35" i="10" s="1"/>
  <c r="N36" i="10" s="1"/>
  <c r="M36" i="10"/>
  <c r="C8" i="24"/>
  <c r="C43" i="24" l="1"/>
  <c r="D43" i="24" s="1"/>
  <c r="C42" i="24"/>
  <c r="D42" i="24" s="1"/>
  <c r="C23" i="24"/>
  <c r="D23" i="24" s="1"/>
  <c r="C5" i="24"/>
  <c r="D5" i="24" s="1"/>
  <c r="C28" i="24"/>
  <c r="D28" i="24"/>
  <c r="B28" i="24"/>
  <c r="C27" i="24"/>
  <c r="D27" i="24"/>
  <c r="B27" i="24"/>
  <c r="D25" i="24"/>
  <c r="B25" i="24"/>
  <c r="C24" i="24"/>
  <c r="D24" i="24"/>
  <c r="B24" i="24"/>
  <c r="C4" i="24"/>
  <c r="C22" i="24" s="1"/>
  <c r="C41" i="24" s="1"/>
  <c r="D4" i="24"/>
  <c r="D22" i="24" s="1"/>
  <c r="D41" i="24" s="1"/>
  <c r="B4" i="24"/>
  <c r="B22" i="24" s="1"/>
  <c r="B41" i="24" s="1"/>
  <c r="A31" i="24"/>
  <c r="A30" i="24"/>
  <c r="D29" i="24" l="1"/>
  <c r="D30" i="24" s="1"/>
  <c r="B31" i="24"/>
  <c r="D31" i="24"/>
  <c r="B13" i="24"/>
  <c r="D13" i="24"/>
  <c r="B29" i="24"/>
  <c r="C49" i="24"/>
  <c r="D11" i="24"/>
  <c r="D12" i="24" s="1"/>
  <c r="D49" i="24"/>
  <c r="B49" i="24"/>
  <c r="B50" i="24" s="1"/>
  <c r="B11" i="24"/>
  <c r="C50" i="24" l="1"/>
  <c r="C51" i="24" s="1"/>
  <c r="D50" i="24"/>
  <c r="D51" i="24" s="1"/>
  <c r="D53" i="24"/>
  <c r="D14" i="24"/>
  <c r="B12" i="24"/>
  <c r="B14" i="24" s="1"/>
  <c r="B51" i="24"/>
  <c r="D32" i="24"/>
  <c r="C53" i="24"/>
  <c r="B30" i="24"/>
  <c r="B32" i="24" s="1"/>
  <c r="D54" i="24" l="1"/>
  <c r="C54" i="24"/>
  <c r="D13" i="22" l="1"/>
  <c r="D21" i="22" s="1"/>
  <c r="C13" i="22"/>
  <c r="C21" i="22" s="1"/>
  <c r="B21" i="22"/>
  <c r="E11" i="15" l="1"/>
  <c r="B5" i="14" l="1"/>
  <c r="B113" i="10"/>
  <c r="J113" i="10"/>
  <c r="E113" i="10" l="1"/>
  <c r="G113" i="10"/>
  <c r="H113" i="10"/>
  <c r="D113" i="10"/>
  <c r="K113" i="10"/>
  <c r="I113" i="10"/>
  <c r="F113" i="10"/>
  <c r="O113" i="10" l="1"/>
  <c r="O112" i="10" l="1"/>
  <c r="E92" i="10"/>
  <c r="F92" i="10"/>
  <c r="G92" i="10"/>
  <c r="H92" i="10"/>
  <c r="I92" i="10"/>
  <c r="I98" i="10" s="1"/>
  <c r="J92" i="10"/>
  <c r="K92" i="10"/>
  <c r="O100" i="10" l="1"/>
  <c r="D87" i="10"/>
  <c r="H102" i="10"/>
  <c r="E87" i="10" l="1"/>
  <c r="L102" i="10"/>
  <c r="D102" i="10"/>
  <c r="K102" i="10"/>
  <c r="G102" i="10"/>
  <c r="N102" i="10"/>
  <c r="J102" i="10"/>
  <c r="F102" i="10"/>
  <c r="M102" i="10"/>
  <c r="O101" i="10"/>
  <c r="O102" i="10" s="1"/>
  <c r="C102" i="10"/>
  <c r="C108" i="10" s="1"/>
  <c r="I102" i="10"/>
  <c r="E102" i="10"/>
  <c r="F87" i="10" l="1"/>
  <c r="G87" i="10" l="1"/>
  <c r="H87" i="10" l="1"/>
  <c r="I87" i="10" l="1"/>
  <c r="J87" i="10" l="1"/>
  <c r="K87" i="10" l="1"/>
  <c r="D96" i="10" l="1"/>
  <c r="D98" i="10" s="1"/>
  <c r="D105" i="10" s="1"/>
  <c r="E96" i="10" l="1"/>
  <c r="E98" i="10" s="1"/>
  <c r="F96" i="10" l="1"/>
  <c r="F98" i="10" s="1"/>
  <c r="G96" i="10" l="1"/>
  <c r="G98" i="10" s="1"/>
  <c r="H96" i="10" l="1"/>
  <c r="H98" i="10" s="1"/>
  <c r="J96" i="10" l="1"/>
  <c r="J98" i="10" s="1"/>
  <c r="K96" i="10" l="1"/>
  <c r="K98" i="10" s="1"/>
  <c r="D107" i="10" l="1"/>
  <c r="E104" i="10" s="1"/>
  <c r="E105" i="10" l="1"/>
  <c r="D108" i="10"/>
  <c r="F105" i="10" l="1"/>
  <c r="E107" i="10"/>
  <c r="F104" i="10" s="1"/>
  <c r="E108" i="10" l="1"/>
  <c r="F107" i="10"/>
  <c r="G104" i="10" s="1"/>
  <c r="G105" i="10"/>
  <c r="H105" i="10" l="1"/>
  <c r="F108" i="10"/>
  <c r="G107" i="10"/>
  <c r="H104" i="10" s="1"/>
  <c r="J105" i="10" l="1"/>
  <c r="I105" i="10"/>
  <c r="K105" i="10"/>
  <c r="H107" i="10"/>
  <c r="I104" i="10" s="1"/>
  <c r="G108" i="10"/>
  <c r="H108" i="10" l="1"/>
  <c r="I107" i="10"/>
  <c r="J104" i="10" s="1"/>
  <c r="J107" i="10" l="1"/>
  <c r="K104" i="10" s="1"/>
  <c r="I108" i="10"/>
  <c r="K107" i="10" l="1"/>
  <c r="L104" i="10" s="1"/>
  <c r="J108" i="10"/>
  <c r="K108" i="10" l="1"/>
  <c r="C11" i="24" l="1"/>
  <c r="C25" i="24"/>
  <c r="C13" i="24"/>
  <c r="C29" i="24" l="1"/>
  <c r="C31" i="24"/>
  <c r="C12" i="24"/>
  <c r="C14" i="24" s="1"/>
  <c r="D16" i="24"/>
  <c r="C16" i="24"/>
  <c r="D17" i="24" l="1"/>
  <c r="C17" i="24"/>
  <c r="C30" i="24"/>
  <c r="C32" i="24" s="1"/>
  <c r="C34" i="24"/>
  <c r="D34" i="24"/>
  <c r="D35" i="24" l="1"/>
  <c r="C35" i="24"/>
  <c r="O91" i="10" l="1"/>
  <c r="O90" i="10" l="1"/>
  <c r="O89" i="10"/>
  <c r="L92" i="10" l="1"/>
  <c r="M92" i="10" l="1"/>
  <c r="N92" i="10" l="1"/>
  <c r="O88" i="10"/>
  <c r="O92" i="10" s="1"/>
  <c r="F4" i="18" s="1"/>
  <c r="F17" i="18" l="1"/>
  <c r="G6" i="14" l="1"/>
  <c r="H6" i="14" s="1"/>
  <c r="L96" i="10"/>
  <c r="L98" i="10" s="1"/>
  <c r="M96" i="10"/>
  <c r="M98" i="10" l="1"/>
  <c r="M105" i="10" s="1"/>
  <c r="L105" i="10"/>
  <c r="L107" i="10" s="1"/>
  <c r="M104" i="10" s="1"/>
  <c r="N96" i="10"/>
  <c r="N98" i="10" l="1"/>
  <c r="O94" i="10"/>
  <c r="F5" i="18" s="1"/>
  <c r="M107" i="10"/>
  <c r="N104" i="10" s="1"/>
  <c r="L108" i="10"/>
  <c r="O96" i="10"/>
  <c r="O95" i="10" l="1"/>
  <c r="N105" i="10"/>
  <c r="N107" i="10" s="1"/>
  <c r="N108" i="10" s="1"/>
  <c r="M108" i="10"/>
  <c r="O98" i="10"/>
  <c r="O105" i="10" l="1"/>
  <c r="O107" i="10" s="1"/>
  <c r="F6" i="18"/>
  <c r="F7" i="18" l="1"/>
  <c r="O108" i="10" l="1"/>
  <c r="F8" i="18"/>
  <c r="H22" i="18" s="1"/>
  <c r="D17" i="22" l="1"/>
  <c r="D6" i="25" s="1"/>
  <c r="D37" i="25" l="1"/>
  <c r="D21" i="25"/>
  <c r="C17" i="22" l="1"/>
  <c r="C6" i="25" s="1"/>
  <c r="C10" i="25" s="1"/>
  <c r="C38" i="25" l="1"/>
  <c r="D38" i="25"/>
  <c r="C37" i="25"/>
  <c r="C21" i="25"/>
  <c r="C19" i="22"/>
  <c r="D22" i="25"/>
  <c r="D19" i="22"/>
  <c r="D24" i="22" l="1"/>
  <c r="D27" i="22"/>
  <c r="D26" i="22"/>
  <c r="D25" i="22"/>
  <c r="C18" i="20" l="1"/>
  <c r="C20" i="20" s="1"/>
  <c r="D28" i="22"/>
  <c r="C28" i="22"/>
  <c r="D23" i="22"/>
  <c r="D22" i="22"/>
  <c r="C6" i="20" l="1"/>
  <c r="C12" i="20"/>
  <c r="C14" i="20" l="1"/>
  <c r="C8" i="20"/>
  <c r="C27" i="22" l="1"/>
  <c r="C26" i="22" l="1"/>
  <c r="C25" i="22"/>
  <c r="C36" i="25" l="1"/>
  <c r="C39" i="25" s="1"/>
  <c r="C20" i="25"/>
  <c r="C23" i="25" s="1"/>
  <c r="C22" i="22"/>
  <c r="C24" i="22"/>
  <c r="B18" i="20" s="1"/>
  <c r="C23" i="22"/>
  <c r="C40" i="25" l="1"/>
  <c r="C41" i="25" s="1"/>
  <c r="B20" i="20"/>
  <c r="C21" i="20" s="1"/>
  <c r="C19" i="20"/>
  <c r="D5" i="25"/>
  <c r="C8" i="25"/>
  <c r="C9" i="25" s="1"/>
  <c r="D36" i="25"/>
  <c r="D39" i="25" s="1"/>
  <c r="B12" i="20"/>
  <c r="B6" i="20"/>
  <c r="D40" i="25" l="1"/>
  <c r="D41" i="25" s="1"/>
  <c r="B8" i="20"/>
  <c r="C9" i="20" s="1"/>
  <c r="C7" i="20"/>
  <c r="B14" i="20"/>
  <c r="C15" i="20" s="1"/>
  <c r="C13" i="20"/>
  <c r="D43" i="25"/>
  <c r="C11" i="25"/>
  <c r="C25" i="25"/>
  <c r="D8" i="25"/>
  <c r="D10" i="25"/>
  <c r="D20" i="25"/>
  <c r="D44" i="25" l="1"/>
  <c r="C24" i="25"/>
  <c r="C26" i="25" s="1"/>
  <c r="D23" i="25"/>
  <c r="D25" i="25"/>
  <c r="D13" i="25"/>
  <c r="D9" i="25"/>
  <c r="D11" i="25" s="1"/>
  <c r="D14" i="25" s="1"/>
  <c r="D28" i="25" l="1"/>
  <c r="D24" i="25"/>
  <c r="D26" i="25" s="1"/>
  <c r="D29" i="25" l="1"/>
  <c r="G23" i="18"/>
  <c r="D10" i="18" l="1"/>
  <c r="E5" i="14" s="1"/>
  <c r="E7" i="14" l="1"/>
  <c r="F10" i="18"/>
  <c r="G5" i="14" s="1"/>
  <c r="E10" i="18"/>
  <c r="F5" i="14" s="1"/>
  <c r="F7" i="14" s="1"/>
  <c r="F24" i="18"/>
  <c r="H23" i="18" l="1"/>
  <c r="G24" i="18"/>
  <c r="G7" i="14"/>
  <c r="H5" i="14"/>
  <c r="H7" i="14" s="1"/>
  <c r="H24" i="18" l="1"/>
  <c r="H9" i="14" l="1"/>
  <c r="H11" i="14" l="1"/>
  <c r="D4" i="13" s="1"/>
  <c r="E4" i="13" s="1"/>
  <c r="D5" i="13" l="1"/>
  <c r="E5" i="13" s="1"/>
  <c r="D6" i="13" l="1"/>
  <c r="E6" i="13" s="1"/>
  <c r="D7" i="13" l="1"/>
  <c r="E7" i="13" s="1"/>
  <c r="D8" i="13" l="1"/>
  <c r="E8" i="13" s="1"/>
  <c r="D9" i="13" l="1"/>
  <c r="E9" i="13" s="1"/>
  <c r="D10" i="13" l="1"/>
  <c r="E10" i="13" s="1"/>
  <c r="D11" i="13" l="1"/>
  <c r="E11" i="13" s="1"/>
  <c r="D12" i="13" l="1"/>
  <c r="E12" i="13" s="1"/>
  <c r="D13" i="13" l="1"/>
  <c r="E13" i="13" s="1"/>
  <c r="D14" i="13" l="1"/>
  <c r="E14" i="13" s="1"/>
  <c r="E42" i="18"/>
  <c r="D15" i="13" l="1"/>
  <c r="E15" i="13" s="1"/>
  <c r="D16" i="13"/>
  <c r="E16" i="13" s="1"/>
  <c r="E17" i="13" s="1"/>
  <c r="D17" i="13" l="1"/>
  <c r="F42" i="18" l="1"/>
</calcChain>
</file>

<file path=xl/sharedStrings.xml><?xml version="1.0" encoding="utf-8"?>
<sst xmlns="http://schemas.openxmlformats.org/spreadsheetml/2006/main" count="474" uniqueCount="252">
  <si>
    <t>Total</t>
  </si>
  <si>
    <t>Unmetered</t>
  </si>
  <si>
    <t>Residential</t>
  </si>
  <si>
    <t>Large Industrial</t>
  </si>
  <si>
    <t xml:space="preserve">Base Energy Costs </t>
  </si>
  <si>
    <t>Purchased Energy Costs</t>
  </si>
  <si>
    <t>Lepreau Energy Costs</t>
  </si>
  <si>
    <t>Base Rate/kWh</t>
  </si>
  <si>
    <t>Renewable Energy Costs</t>
  </si>
  <si>
    <t>Difference Between Actual &amp; Base Energy Costs</t>
  </si>
  <si>
    <t>Opening Balance - Pt Lepreau Replacement Costs</t>
  </si>
  <si>
    <t>Additions (Reductions)</t>
  </si>
  <si>
    <t>Closing Balance - Pt Lepreau Replacement Costs</t>
  </si>
  <si>
    <t>Additions/(Reductions)</t>
  </si>
  <si>
    <t>Rebated/(Collected) From Ratepayer</t>
  </si>
  <si>
    <t>General Ledger Closing Balance</t>
  </si>
  <si>
    <t>Energy Cost Adjustment Mechanism</t>
  </si>
  <si>
    <t>ACTUAL</t>
  </si>
  <si>
    <t>Proposed ECAM Rate Adjustment</t>
  </si>
  <si>
    <t>Collection Month</t>
  </si>
  <si>
    <t>Forecast kWh Sales</t>
  </si>
  <si>
    <t>Class</t>
  </si>
  <si>
    <t>ECAM Rate Adjustment per kWh</t>
  </si>
  <si>
    <t>ECAM Base Rate per kWh</t>
  </si>
  <si>
    <t>Total Base Energy Costs</t>
  </si>
  <si>
    <t>A</t>
  </si>
  <si>
    <t>B</t>
  </si>
  <si>
    <t>C</t>
  </si>
  <si>
    <t>E = A - D</t>
  </si>
  <si>
    <t>Energy Costs Deferred to ECAM</t>
  </si>
  <si>
    <t>Small Industrial</t>
  </si>
  <si>
    <t>Street Lighting</t>
  </si>
  <si>
    <t>F</t>
  </si>
  <si>
    <t>G = E - F</t>
  </si>
  <si>
    <t>ECAM Adjustment Rate per kWh</t>
  </si>
  <si>
    <t>TOTAL</t>
  </si>
  <si>
    <t>Impact on Annual Cost</t>
  </si>
  <si>
    <t>Annual Cost for Benchmark Rural Residential Customer (650kWh per Month/7,800 kWh per Year)</t>
  </si>
  <si>
    <t xml:space="preserve">  Before Tax Cost</t>
  </si>
  <si>
    <t xml:space="preserve">  Total Cost</t>
  </si>
  <si>
    <t>Annual Cost for Benchmark Urban Residential Customer (650kWh per Month/7,800 kWh per Year)</t>
  </si>
  <si>
    <t>Annual Cost for Benchmark General Service Customer (10,000kWh/50KW per Month / 120,000 kWh/600KW per Year)</t>
  </si>
  <si>
    <t>Proposed Rates</t>
  </si>
  <si>
    <t>UE 23-04 Approved Rates</t>
  </si>
  <si>
    <t>Actual</t>
  </si>
  <si>
    <t>GRA Forecast</t>
  </si>
  <si>
    <t>Consumption Period</t>
  </si>
  <si>
    <t>Forecast Growth</t>
  </si>
  <si>
    <t>General Service</t>
  </si>
  <si>
    <t>Energy Charge per kWh - Revenue Requirement (A)</t>
  </si>
  <si>
    <t>Residential - First Block</t>
  </si>
  <si>
    <t>Residential - Second Block</t>
  </si>
  <si>
    <t>General Service - First Block</t>
  </si>
  <si>
    <t>General Service - Second Block</t>
  </si>
  <si>
    <t>Small Industrial - First Block</t>
  </si>
  <si>
    <t>Small Industrial - Second Block</t>
  </si>
  <si>
    <t>Energy Charges per kWh - Other Amounts (B)</t>
  </si>
  <si>
    <t>Description</t>
  </si>
  <si>
    <t>ECAM Charge per kWh</t>
  </si>
  <si>
    <t>Total Energy Charge per kWh (A+B)</t>
  </si>
  <si>
    <t>Annual Cost for Rural Residential Customer (650kWh per Month/7,800 kWh per Year)</t>
  </si>
  <si>
    <t>March 1 to February 28</t>
  </si>
  <si>
    <t>Service Charge</t>
  </si>
  <si>
    <t>Basic Energy Charge</t>
  </si>
  <si>
    <t>ECAM Charge</t>
  </si>
  <si>
    <t>Provincial Energy Efficiency Program</t>
  </si>
  <si>
    <t>RORA</t>
  </si>
  <si>
    <t xml:space="preserve">  Sub-total</t>
  </si>
  <si>
    <t>HST</t>
  </si>
  <si>
    <t>Provincial Clean Energy Rebate*</t>
  </si>
  <si>
    <t>Total Annual Cost</t>
  </si>
  <si>
    <t>Percentage Annual Increase (%)</t>
  </si>
  <si>
    <t xml:space="preserve">    Before Tax</t>
  </si>
  <si>
    <t xml:space="preserve">      After Tax</t>
  </si>
  <si>
    <t>Demand Charge</t>
  </si>
  <si>
    <t>Annual Cost for General Service Customer</t>
  </si>
  <si>
    <t>Annual Cost for Urban Residential Customer (650kWh per Month/7,800 kWh per Year)</t>
  </si>
  <si>
    <t>(10,000kWh/50KW per Month / 120,000 kWh/600KW per Year)</t>
  </si>
  <si>
    <t>HST*</t>
  </si>
  <si>
    <t>Table 8</t>
  </si>
  <si>
    <t>Table 9</t>
  </si>
  <si>
    <t>Table 10</t>
  </si>
  <si>
    <t>Provincial Costs Recoverable</t>
  </si>
  <si>
    <t>Assumes October 1, 2023 rate adjustment will remain in effect beyond September 30, 2024.</t>
  </si>
  <si>
    <t>2025 Monthly ECAM Schedule</t>
  </si>
  <si>
    <t>Total Energy Purchase Cost - ECAM</t>
  </si>
  <si>
    <t>On-Island Generation</t>
  </si>
  <si>
    <t>ECAM Opening Balance</t>
  </si>
  <si>
    <t>Balance ECAM Effective for Rates</t>
  </si>
  <si>
    <t>2024 Monthly ECAM Schedule</t>
  </si>
  <si>
    <t>2023 Monthly ECAM Schedule</t>
  </si>
  <si>
    <t>-</t>
  </si>
  <si>
    <t>Other (page 6 - 2 of 2)</t>
  </si>
  <si>
    <t>Actual ECAM Collections from Customers</t>
  </si>
  <si>
    <t>Non ECAM Energy:</t>
  </si>
  <si>
    <t>Difference Between Actual and Base Energy Costs</t>
  </si>
  <si>
    <t>Total Actual Energy Costs Applicable to ECAM</t>
  </si>
  <si>
    <t>Total Actual Net Purchased and Produced Energy per kWh</t>
  </si>
  <si>
    <t>Fuel and Fuel Inventory Costs</t>
  </si>
  <si>
    <t>OM&amp;A Costs</t>
  </si>
  <si>
    <t>C = A x B</t>
  </si>
  <si>
    <t>D</t>
  </si>
  <si>
    <t>Cost of Replacement Energy</t>
  </si>
  <si>
    <t>Year</t>
  </si>
  <si>
    <t>Increase over GRA</t>
  </si>
  <si>
    <t>Section 5.2, Table 6</t>
  </si>
  <si>
    <t>Net Metering Costs</t>
  </si>
  <si>
    <t>Capacity Costs</t>
  </si>
  <si>
    <t>Reserve Costs - 10 Minute Non-Spinning</t>
  </si>
  <si>
    <t>Reserve Costs - 30 Minute Non-Spinning</t>
  </si>
  <si>
    <t>Imbalance Costs</t>
  </si>
  <si>
    <t>Increase (Decrease) over GRA</t>
  </si>
  <si>
    <t xml:space="preserve"> (Decrease) over GRA</t>
  </si>
  <si>
    <t>Interconnection Costs</t>
  </si>
  <si>
    <t>Generation Fuel Costs</t>
  </si>
  <si>
    <t>Additional Energy Costs Deferred to ECAM over GRA Forecast</t>
  </si>
  <si>
    <t>Monthly ECAM Collected from Customers</t>
  </si>
  <si>
    <t>Actual kWh Sales</t>
  </si>
  <si>
    <t>Actual Customer Collections ($)</t>
  </si>
  <si>
    <t>Actual ECAM Rate Adjustment  ($/kWh)</t>
  </si>
  <si>
    <t>GRA Forecast Customer Collections ($)</t>
  </si>
  <si>
    <t>GRA Forecast ECAM Rate Adjustment  ($/kWh)</t>
  </si>
  <si>
    <t>GRA Forecast kWh Sales</t>
  </si>
  <si>
    <t xml:space="preserve">A  </t>
  </si>
  <si>
    <t>E</t>
  </si>
  <si>
    <t>F = D x E</t>
  </si>
  <si>
    <t>Increase (Decrease) Over GRA</t>
  </si>
  <si>
    <t>G = F - C</t>
  </si>
  <si>
    <t>Forecast kWh Sales - March 1, 2026 to February 28, 2027</t>
  </si>
  <si>
    <t>Excess in Actual ECAM Collections compared to GRA Forecast</t>
  </si>
  <si>
    <t>ECAM Collected from Customers</t>
  </si>
  <si>
    <r>
      <t>May-23</t>
    </r>
    <r>
      <rPr>
        <vertAlign val="superscript"/>
        <sz val="10"/>
        <color theme="1"/>
        <rFont val="Arial"/>
        <family val="2"/>
      </rPr>
      <t>1</t>
    </r>
  </si>
  <si>
    <r>
      <t>October-23</t>
    </r>
    <r>
      <rPr>
        <vertAlign val="superscript"/>
        <sz val="10"/>
        <color theme="1"/>
        <rFont val="Arial"/>
        <family val="2"/>
      </rPr>
      <t>1</t>
    </r>
  </si>
  <si>
    <r>
      <t>March-24</t>
    </r>
    <r>
      <rPr>
        <vertAlign val="superscript"/>
        <sz val="10"/>
        <color theme="1"/>
        <rFont val="Arial"/>
        <family val="2"/>
      </rPr>
      <t>1</t>
    </r>
  </si>
  <si>
    <r>
      <t>March-25</t>
    </r>
    <r>
      <rPr>
        <vertAlign val="superscript"/>
        <sz val="10"/>
        <color theme="1"/>
        <rFont val="Arial"/>
        <family val="2"/>
      </rPr>
      <t>1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</si>
  <si>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>The ECAM Rate Adjustment was prorated on customer bills based on consumption period as set out in the Commission's letter of direction dated January 22, 2021.</t>
    </r>
  </si>
  <si>
    <t>Additional ECAM Balance to be Collected from Customers, December 31</t>
  </si>
  <si>
    <t xml:space="preserve">  Approved Order UE23-04 and UE23-09</t>
  </si>
  <si>
    <t xml:space="preserve">  Proposed March 1, 2026 Adjustment</t>
  </si>
  <si>
    <t>Total ECAM Charge per kWh</t>
  </si>
  <si>
    <t>Total Energy Charge per kWh - Other Amounts</t>
  </si>
  <si>
    <t>Provincial Energy Efficiency and Conservation Plan</t>
  </si>
  <si>
    <t>Sub-total</t>
  </si>
  <si>
    <t>Before Tax</t>
  </si>
  <si>
    <t>After Tax</t>
  </si>
  <si>
    <t>Total ECAM Balance, Dec 31, 2025 to be Collected from Customers - March 1, 2026 to February 28, 2027</t>
  </si>
  <si>
    <t>2023</t>
  </si>
  <si>
    <t>2024</t>
  </si>
  <si>
    <t>2025</t>
  </si>
  <si>
    <t>Approved ECAM Rate Adjustment  ($/kWh)</t>
  </si>
  <si>
    <t>Reference</t>
  </si>
  <si>
    <t>Appendix B Column A</t>
  </si>
  <si>
    <t>Appendix B Column C</t>
  </si>
  <si>
    <t>Appendix B Column D</t>
  </si>
  <si>
    <t>Appendix B Column F</t>
  </si>
  <si>
    <t>Appendix B Column G</t>
  </si>
  <si>
    <t>GRA Forecast Sales</t>
  </si>
  <si>
    <t>Actual Sales</t>
  </si>
  <si>
    <t>Increase over Forecast</t>
  </si>
  <si>
    <t>Section 5.2, Table 7</t>
  </si>
  <si>
    <t>Section 5.4, Table 9</t>
  </si>
  <si>
    <t>G</t>
  </si>
  <si>
    <t>D = A+B+C</t>
  </si>
  <si>
    <t>F = D+E</t>
  </si>
  <si>
    <t>H = F/G</t>
  </si>
  <si>
    <t>TABLE 23</t>
  </si>
  <si>
    <t>C = B - A</t>
  </si>
  <si>
    <t>Energy Generation</t>
  </si>
  <si>
    <t>Section 5.5, Table 10</t>
  </si>
  <si>
    <t>Section 5.6, Table 11</t>
  </si>
  <si>
    <t>Section 5.7, Table 12</t>
  </si>
  <si>
    <t>Section 5.8, Table 13</t>
  </si>
  <si>
    <t>Section 5.9, Table 14</t>
  </si>
  <si>
    <t>Section 5.10, Table 15</t>
  </si>
  <si>
    <t>Section 5.11, Table 16</t>
  </si>
  <si>
    <t>Wind Energy Purchase Costs</t>
  </si>
  <si>
    <t>Cost of Wind Replacement Energy</t>
  </si>
  <si>
    <t>Wind Energy Costs</t>
  </si>
  <si>
    <t>Difference in Hourly Energy Purchase Scheduled and Actual Consumed</t>
  </si>
  <si>
    <t>Energy Sales to Third Parties</t>
  </si>
  <si>
    <t>Non-Spinning Reserve Costs</t>
  </si>
  <si>
    <t>Replacement Cost of Energy Generation Produced Below GRA Forecast</t>
  </si>
  <si>
    <t>ECAM Adjustments Related to Variances in Energy Sales</t>
  </si>
  <si>
    <t>Section 5.12, Table 18</t>
  </si>
  <si>
    <t>Additional Energy Purchased to Meet Customer Sales</t>
  </si>
  <si>
    <t>Additional Energy Recovered from Customers Through Basic Rates</t>
  </si>
  <si>
    <t>Avoided Cost of Energy Not Required to be Purchased from Other Sources</t>
  </si>
  <si>
    <t>EPA Ratchet Costs over GRA Forecast</t>
  </si>
  <si>
    <t>GRA Forecast ECAM Collections from Customers</t>
  </si>
  <si>
    <t>C = A - B</t>
  </si>
  <si>
    <t>Actual ECAM Balance</t>
  </si>
  <si>
    <t>GRA Forecast ECAM Balance</t>
  </si>
  <si>
    <t>ECAM Balance above GRA Forecast</t>
  </si>
  <si>
    <t>Section 5.3, Table 8</t>
  </si>
  <si>
    <t>Point Lepreau Replacement Energy Costs</t>
  </si>
  <si>
    <t>Point Lepreau Operating and Maintenance Costs</t>
  </si>
  <si>
    <t>Energy Purchase agreement ("EPA") Ratchet Costs</t>
  </si>
  <si>
    <t>Increase (Decrease) over GRA Forecast</t>
  </si>
  <si>
    <t>TABLE 2
Energy Costs Deferred to ECAM 
January 1 to December 31</t>
  </si>
  <si>
    <t>TABLE 3
ECAM Collections from Customers
January 1 to December 31</t>
  </si>
  <si>
    <t>TABLE 4
ECAM Balance
January 1 to December 31</t>
  </si>
  <si>
    <t>TABLE 5
Additional Energy Costs Deferred to/(from) ECAM over GRA Forecast
January 1 to December 31</t>
  </si>
  <si>
    <t>D = B * C</t>
  </si>
  <si>
    <t>D = A + Table 2 E + Table 3 B</t>
  </si>
  <si>
    <t>E = B + Table 2 F + Table 3 A</t>
  </si>
  <si>
    <t>F = D - E</t>
  </si>
  <si>
    <t>TABLE 6
Point Lepreau Replacement Energy Costs</t>
  </si>
  <si>
    <t>Outage Days</t>
  </si>
  <si>
    <t>TABLE 7
Point Lepreau OM&amp;A Costs</t>
  </si>
  <si>
    <t>TABLE 8
Wind-Related Energy Costs</t>
  </si>
  <si>
    <t>TABLE 9
Net Metering Costs</t>
  </si>
  <si>
    <t>TABLE 10
EPA Ratchet Costs</t>
  </si>
  <si>
    <t>TABLE 11
Capacity Costs</t>
  </si>
  <si>
    <t>TABLE 12
Non-spinning Reserve Costs</t>
  </si>
  <si>
    <t>Imbalance Purchased/(Sold) at FHMC</t>
  </si>
  <si>
    <t>Imbalance Charges/(Recoveries) from Commercial Wind/Solar Participants</t>
  </si>
  <si>
    <t>TABLE 13
Imbalance Costs</t>
  </si>
  <si>
    <t>TABLE 14
Energy Sales to Third Parties</t>
  </si>
  <si>
    <t>(Decrease) over GRA</t>
  </si>
  <si>
    <t>TABLE 15
Interconnection Costs</t>
  </si>
  <si>
    <t>TABLE 16
Generation Costs</t>
  </si>
  <si>
    <t>Table 17 
Energy Sales Comparison</t>
  </si>
  <si>
    <t>Table 18
Impact of Increases in Energy Sales over GRA Forecast</t>
  </si>
  <si>
    <t>Table 19 
Summary of ECAM Collected from Customers</t>
  </si>
  <si>
    <t>Table 20
Proposed Increase to the ECAM Rate Adjustment to Customers' Bills</t>
  </si>
  <si>
    <t>GRA Forecast ECAM Balance, Dec 31, 2025</t>
  </si>
  <si>
    <t>Additional ECAM Balance to be Collected from Customers, Dec 31, 2022</t>
  </si>
  <si>
    <t>Sec 5.1, 
Table 2</t>
  </si>
  <si>
    <t>Sec 5.1, 
Table 3</t>
  </si>
  <si>
    <t>Order 
UE23-09</t>
  </si>
  <si>
    <t>Sec 5.1, 
Table 4</t>
  </si>
  <si>
    <t>Sec 7.4, 
Table 21</t>
  </si>
  <si>
    <t>Table 21
Forecast kWh Sales</t>
  </si>
  <si>
    <t>March 1, 2025 to
February 28, 2026</t>
  </si>
  <si>
    <t>March 1, 2026 to
February 28, 2027</t>
  </si>
  <si>
    <t>TOTAL SALES</t>
  </si>
  <si>
    <t>Table 22
Monthly ECAM Collected from Customers</t>
  </si>
  <si>
    <t>Customer Class</t>
  </si>
  <si>
    <t>Provincial Energy Efficiency and Conservation ("EE&amp;C") Plan per kWh    approved in Order UE23-04</t>
  </si>
  <si>
    <t>Table 24
Annual Cost for Rural Residential Customer 
(1,000 kWh per Month/12,000 kWh per Year)</t>
  </si>
  <si>
    <t>Approved 
UE23-04 and UE23-09 March 1, 2025</t>
  </si>
  <si>
    <t>Proposed 
March 1, 2026</t>
  </si>
  <si>
    <t>Provincial Clean Energy Rebate</t>
  </si>
  <si>
    <t>Table 25
Annual Cost for Urban Residential Customer
(1,000 kWh per Month/12,000 kWh per Year)</t>
  </si>
  <si>
    <t>Table 26
Annual Cost for General Service Customer
(10,000kWh/50KW per Month / 120,000 kWh/600KW per Year)</t>
  </si>
  <si>
    <t>GRA Forecast Energy Costs Deferred to ECAM</t>
  </si>
  <si>
    <t>Gross Energy Costs (Page 6, 2 of 2)</t>
  </si>
  <si>
    <t>Less Production - other (Page 6, 2 of 2)</t>
  </si>
  <si>
    <t>Add Amortization - other (Page 2)</t>
  </si>
  <si>
    <t>Net Purchased &amp; Produced Energy - kWh (Page 13)</t>
  </si>
  <si>
    <t>Energy Sales - kWh (Page 12)</t>
  </si>
  <si>
    <t>Total Energy Purchase Cost - ECAM (Page 6, 1 of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</si>
</sst>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.0000_);_(&quot;$&quot;* \(#,##0.0000\);_(&quot;$&quot;* &quot;-&quot;??_);_(@_)"/>
    <numFmt numFmtId="167" formatCode="_(&quot;$&quot;* #,##0.00000_);_(&quot;$&quot;* \(#,##0.00000\);_(&quot;$&quot;* &quot;-&quot;??_);_(@_)"/>
    <numFmt numFmtId="168" formatCode="0.00000"/>
    <numFmt numFmtId="169" formatCode="_(* #,##0.00000_);_(* \(#,##0.00000\);_(* &quot;-&quot;??_);_(@_)"/>
    <numFmt numFmtId="170" formatCode="_(&quot;$&quot;* #,##0_);_(&quot;$&quot;* \(#,##0\);_(&quot;$&quot;* &quot;-&quot;??_);_(@_)"/>
    <numFmt numFmtId="171" formatCode="[$-409]mmmm\-yy;@"/>
    <numFmt numFmtId="172" formatCode="&quot;$&quot;#,##0.0000_);[Red]\(&quot;$&quot;#,##0.0000\)"/>
    <numFmt numFmtId="173" formatCode="_(* #,##0.0000_);_(* \(#,##0.0000\);_(* &quot;-&quot;??_);_(@_)"/>
  </numFmts>
  <fonts count="1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vertAlign val="superscript"/>
      <sz val="10"/>
      <name val="Arial"/>
      <family val="2"/>
    </font>
    <font>
      <b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sz val="8"/>
      <name val="Arial"/>
      <family val="2"/>
    </font>
    <font>
      <b/>
      <sz val="10"/>
      <color indexed="37"/>
      <name val="Arial"/>
      <family val="2"/>
    </font>
    <font>
      <u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0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10" xfId="0" applyBorder="1"/>
    <xf numFmtId="165" fontId="0" fillId="0" borderId="2" xfId="3" applyNumberFormat="1" applyFont="1" applyBorder="1"/>
    <xf numFmtId="0" fontId="2" fillId="0" borderId="5" xfId="0" applyFont="1" applyBorder="1" applyAlignment="1">
      <alignment horizontal="center"/>
    </xf>
    <xf numFmtId="0" fontId="5" fillId="0" borderId="0" xfId="0" applyFont="1"/>
    <xf numFmtId="0" fontId="5" fillId="0" borderId="8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0" fillId="0" borderId="4" xfId="0" applyBorder="1"/>
    <xf numFmtId="0" fontId="0" fillId="0" borderId="12" xfId="0" applyBorder="1"/>
    <xf numFmtId="8" fontId="0" fillId="0" borderId="0" xfId="2" applyNumberFormat="1" applyFont="1" applyBorder="1"/>
    <xf numFmtId="165" fontId="0" fillId="0" borderId="0" xfId="3" applyNumberFormat="1" applyFont="1" applyBorder="1"/>
    <xf numFmtId="165" fontId="0" fillId="0" borderId="9" xfId="3" applyNumberFormat="1" applyFont="1" applyBorder="1"/>
    <xf numFmtId="0" fontId="0" fillId="0" borderId="14" xfId="0" applyBorder="1"/>
    <xf numFmtId="0" fontId="0" fillId="0" borderId="13" xfId="0" applyBorder="1"/>
    <xf numFmtId="0" fontId="0" fillId="0" borderId="11" xfId="0" applyBorder="1"/>
    <xf numFmtId="0" fontId="5" fillId="0" borderId="9" xfId="0" applyFont="1" applyBorder="1" applyAlignment="1">
      <alignment horizontal="center"/>
    </xf>
    <xf numFmtId="8" fontId="0" fillId="0" borderId="6" xfId="2" applyNumberFormat="1" applyFont="1" applyBorder="1"/>
    <xf numFmtId="0" fontId="5" fillId="0" borderId="8" xfId="0" applyFont="1" applyBorder="1" applyAlignment="1">
      <alignment horizontal="center" wrapText="1"/>
    </xf>
    <xf numFmtId="43" fontId="1" fillId="0" borderId="5" xfId="0" applyNumberFormat="1" applyFont="1" applyBorder="1"/>
    <xf numFmtId="43" fontId="2" fillId="0" borderId="5" xfId="0" applyNumberFormat="1" applyFont="1" applyBorder="1"/>
    <xf numFmtId="43" fontId="8" fillId="0" borderId="5" xfId="1" applyFont="1" applyBorder="1"/>
    <xf numFmtId="44" fontId="8" fillId="0" borderId="5" xfId="2" applyFont="1" applyBorder="1"/>
    <xf numFmtId="8" fontId="8" fillId="0" borderId="5" xfId="2" applyNumberFormat="1" applyFont="1" applyBorder="1"/>
    <xf numFmtId="43" fontId="8" fillId="0" borderId="5" xfId="0" applyNumberFormat="1" applyFont="1" applyBorder="1"/>
    <xf numFmtId="8" fontId="8" fillId="0" borderId="5" xfId="1" applyNumberFormat="1" applyFont="1" applyBorder="1"/>
    <xf numFmtId="44" fontId="7" fillId="0" borderId="5" xfId="2" applyFont="1" applyBorder="1"/>
    <xf numFmtId="165" fontId="7" fillId="0" borderId="5" xfId="3" applyNumberFormat="1" applyFont="1" applyBorder="1" applyAlignment="1">
      <alignment horizontal="center"/>
    </xf>
    <xf numFmtId="165" fontId="8" fillId="0" borderId="0" xfId="3" applyNumberFormat="1" applyFont="1" applyBorder="1"/>
    <xf numFmtId="165" fontId="7" fillId="0" borderId="0" xfId="3" applyNumberFormat="1" applyFont="1" applyBorder="1"/>
    <xf numFmtId="172" fontId="1" fillId="0" borderId="0" xfId="2" applyNumberFormat="1" applyFont="1" applyAlignment="1">
      <alignment horizontal="left"/>
    </xf>
    <xf numFmtId="165" fontId="8" fillId="0" borderId="0" xfId="3" applyNumberFormat="1" applyFont="1"/>
    <xf numFmtId="43" fontId="8" fillId="0" borderId="5" xfId="1" applyFont="1" applyFill="1" applyBorder="1"/>
    <xf numFmtId="44" fontId="7" fillId="0" borderId="5" xfId="0" applyNumberFormat="1" applyFont="1" applyBorder="1"/>
    <xf numFmtId="15" fontId="7" fillId="0" borderId="3" xfId="0" applyNumberFormat="1" applyFont="1" applyBorder="1" applyAlignment="1">
      <alignment horizontal="center"/>
    </xf>
    <xf numFmtId="172" fontId="3" fillId="0" borderId="25" xfId="2" applyNumberFormat="1" applyFont="1" applyBorder="1" applyAlignment="1">
      <alignment horizontal="left"/>
    </xf>
    <xf numFmtId="15" fontId="7" fillId="0" borderId="26" xfId="0" applyNumberFormat="1" applyFont="1" applyBorder="1" applyAlignment="1">
      <alignment horizontal="center"/>
    </xf>
    <xf numFmtId="0" fontId="8" fillId="0" borderId="27" xfId="0" applyFont="1" applyBorder="1"/>
    <xf numFmtId="44" fontId="8" fillId="0" borderId="28" xfId="2" applyFont="1" applyBorder="1"/>
    <xf numFmtId="43" fontId="8" fillId="0" borderId="28" xfId="1" applyFont="1" applyBorder="1"/>
    <xf numFmtId="172" fontId="3" fillId="0" borderId="27" xfId="2" applyNumberFormat="1" applyFont="1" applyBorder="1" applyAlignment="1">
      <alignment horizontal="left"/>
    </xf>
    <xf numFmtId="164" fontId="7" fillId="0" borderId="27" xfId="1" applyNumberFormat="1" applyFont="1" applyBorder="1" applyAlignment="1">
      <alignment horizontal="left"/>
    </xf>
    <xf numFmtId="43" fontId="8" fillId="0" borderId="28" xfId="1" applyFont="1" applyFill="1" applyBorder="1"/>
    <xf numFmtId="43" fontId="8" fillId="0" borderId="27" xfId="1" applyFont="1" applyBorder="1"/>
    <xf numFmtId="43" fontId="7" fillId="0" borderId="27" xfId="1" applyFont="1" applyBorder="1"/>
    <xf numFmtId="44" fontId="7" fillId="0" borderId="28" xfId="0" applyNumberFormat="1" applyFont="1" applyBorder="1"/>
    <xf numFmtId="165" fontId="7" fillId="0" borderId="27" xfId="3" applyNumberFormat="1" applyFont="1" applyBorder="1"/>
    <xf numFmtId="165" fontId="7" fillId="0" borderId="28" xfId="3" applyNumberFormat="1" applyFont="1" applyBorder="1" applyAlignment="1">
      <alignment horizontal="center"/>
    </xf>
    <xf numFmtId="165" fontId="7" fillId="0" borderId="29" xfId="3" applyNumberFormat="1" applyFont="1" applyBorder="1"/>
    <xf numFmtId="165" fontId="7" fillId="0" borderId="30" xfId="3" applyNumberFormat="1" applyFont="1" applyBorder="1" applyAlignment="1">
      <alignment horizontal="center"/>
    </xf>
    <xf numFmtId="165" fontId="7" fillId="0" borderId="31" xfId="3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8" fontId="8" fillId="0" borderId="28" xfId="2" applyNumberFormat="1" applyFont="1" applyBorder="1"/>
    <xf numFmtId="43" fontId="8" fillId="0" borderId="27" xfId="0" applyNumberFormat="1" applyFont="1" applyBorder="1"/>
    <xf numFmtId="8" fontId="8" fillId="0" borderId="28" xfId="1" applyNumberFormat="1" applyFont="1" applyBorder="1"/>
    <xf numFmtId="44" fontId="7" fillId="0" borderId="28" xfId="2" applyFont="1" applyBorder="1"/>
    <xf numFmtId="43" fontId="8" fillId="0" borderId="28" xfId="0" applyNumberFormat="1" applyFont="1" applyBorder="1"/>
    <xf numFmtId="8" fontId="0" fillId="0" borderId="13" xfId="2" applyNumberFormat="1" applyFont="1" applyBorder="1"/>
    <xf numFmtId="0" fontId="1" fillId="0" borderId="0" xfId="0" applyFont="1"/>
    <xf numFmtId="0" fontId="2" fillId="0" borderId="3" xfId="0" applyFont="1" applyBorder="1" applyAlignment="1">
      <alignment horizontal="center"/>
    </xf>
    <xf numFmtId="0" fontId="9" fillId="0" borderId="0" xfId="0" applyFont="1"/>
    <xf numFmtId="164" fontId="1" fillId="0" borderId="5" xfId="1" applyNumberFormat="1" applyFont="1" applyFill="1" applyBorder="1"/>
    <xf numFmtId="164" fontId="1" fillId="0" borderId="0" xfId="1" applyNumberFormat="1" applyFont="1" applyFill="1"/>
    <xf numFmtId="170" fontId="1" fillId="0" borderId="5" xfId="0" applyNumberFormat="1" applyFont="1" applyBorder="1" applyAlignment="1">
      <alignment horizontal="justify" vertical="center"/>
    </xf>
    <xf numFmtId="170" fontId="2" fillId="0" borderId="5" xfId="0" applyNumberFormat="1" applyFont="1" applyBorder="1" applyAlignment="1">
      <alignment horizontal="justify" vertical="center"/>
    </xf>
    <xf numFmtId="164" fontId="0" fillId="0" borderId="0" xfId="1" applyNumberFormat="1" applyFont="1"/>
    <xf numFmtId="164" fontId="12" fillId="0" borderId="5" xfId="1" applyNumberFormat="1" applyFont="1" applyFill="1" applyBorder="1"/>
    <xf numFmtId="170" fontId="14" fillId="0" borderId="5" xfId="0" applyNumberFormat="1" applyFont="1" applyBorder="1" applyAlignment="1">
      <alignment horizontal="justify" vertical="center"/>
    </xf>
    <xf numFmtId="170" fontId="12" fillId="0" borderId="5" xfId="0" applyNumberFormat="1" applyFont="1" applyBorder="1" applyAlignment="1">
      <alignment horizontal="justify" vertical="center"/>
    </xf>
    <xf numFmtId="164" fontId="9" fillId="0" borderId="0" xfId="1" applyNumberFormat="1" applyFont="1" applyFill="1"/>
    <xf numFmtId="0" fontId="0" fillId="0" borderId="5" xfId="0" applyBorder="1"/>
    <xf numFmtId="170" fontId="0" fillId="0" borderId="5" xfId="0" applyNumberFormat="1" applyBorder="1"/>
    <xf numFmtId="164" fontId="0" fillId="0" borderId="5" xfId="0" applyNumberFormat="1" applyBorder="1"/>
    <xf numFmtId="0" fontId="1" fillId="0" borderId="5" xfId="0" applyFont="1" applyBorder="1"/>
    <xf numFmtId="0" fontId="2" fillId="0" borderId="5" xfId="0" applyFont="1" applyBorder="1"/>
    <xf numFmtId="170" fontId="1" fillId="0" borderId="5" xfId="0" applyNumberFormat="1" applyFont="1" applyBorder="1"/>
    <xf numFmtId="164" fontId="1" fillId="0" borderId="5" xfId="0" applyNumberFormat="1" applyFont="1" applyBorder="1"/>
    <xf numFmtId="170" fontId="2" fillId="0" borderId="5" xfId="0" applyNumberFormat="1" applyFont="1" applyBorder="1"/>
    <xf numFmtId="164" fontId="9" fillId="4" borderId="0" xfId="1" applyNumberFormat="1" applyFont="1" applyFill="1"/>
    <xf numFmtId="164" fontId="1" fillId="0" borderId="5" xfId="1" applyNumberFormat="1" applyFont="1" applyBorder="1"/>
    <xf numFmtId="0" fontId="2" fillId="0" borderId="0" xfId="0" applyFont="1"/>
    <xf numFmtId="170" fontId="0" fillId="0" borderId="0" xfId="0" applyNumberFormat="1"/>
    <xf numFmtId="170" fontId="12" fillId="0" borderId="0" xfId="0" applyNumberFormat="1" applyFont="1" applyAlignment="1">
      <alignment horizontal="justify" vertical="center"/>
    </xf>
    <xf numFmtId="164" fontId="1" fillId="0" borderId="0" xfId="0" applyNumberFormat="1" applyFont="1"/>
    <xf numFmtId="0" fontId="1" fillId="0" borderId="5" xfId="0" applyFont="1" applyBorder="1" applyAlignment="1">
      <alignment wrapText="1"/>
    </xf>
    <xf numFmtId="164" fontId="12" fillId="0" borderId="5" xfId="1" applyNumberFormat="1" applyFont="1" applyBorder="1"/>
    <xf numFmtId="0" fontId="2" fillId="2" borderId="3" xfId="0" applyFont="1" applyFill="1" applyBorder="1" applyAlignment="1">
      <alignment horizontal="center" wrapText="1"/>
    </xf>
    <xf numFmtId="0" fontId="14" fillId="2" borderId="3" xfId="0" applyFont="1" applyFill="1" applyBorder="1" applyAlignment="1">
      <alignment horizontal="center" wrapText="1"/>
    </xf>
    <xf numFmtId="0" fontId="14" fillId="3" borderId="3" xfId="0" applyFont="1" applyFill="1" applyBorder="1"/>
    <xf numFmtId="0" fontId="14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171" fontId="12" fillId="0" borderId="5" xfId="0" applyNumberFormat="1" applyFont="1" applyBorder="1" applyAlignment="1">
      <alignment horizontal="left"/>
    </xf>
    <xf numFmtId="169" fontId="1" fillId="0" borderId="5" xfId="1" applyNumberFormat="1" applyFont="1" applyBorder="1"/>
    <xf numFmtId="170" fontId="1" fillId="0" borderId="5" xfId="2" applyNumberFormat="1" applyFont="1" applyBorder="1"/>
    <xf numFmtId="164" fontId="14" fillId="3" borderId="5" xfId="1" applyNumberFormat="1" applyFont="1" applyFill="1" applyBorder="1"/>
    <xf numFmtId="169" fontId="1" fillId="3" borderId="5" xfId="1" applyNumberFormat="1" applyFont="1" applyFill="1" applyBorder="1"/>
    <xf numFmtId="170" fontId="2" fillId="3" borderId="5" xfId="2" applyNumberFormat="1" applyFont="1" applyFill="1" applyBorder="1"/>
    <xf numFmtId="0" fontId="2" fillId="3" borderId="5" xfId="0" applyFont="1" applyFill="1" applyBorder="1"/>
    <xf numFmtId="164" fontId="2" fillId="3" borderId="5" xfId="0" applyNumberFormat="1" applyFont="1" applyFill="1" applyBorder="1"/>
    <xf numFmtId="167" fontId="2" fillId="3" borderId="5" xfId="2" applyNumberFormat="1" applyFont="1" applyFill="1" applyBorder="1"/>
    <xf numFmtId="164" fontId="1" fillId="0" borderId="0" xfId="1" applyNumberFormat="1" applyFont="1"/>
    <xf numFmtId="170" fontId="1" fillId="0" borderId="0" xfId="0" applyNumberFormat="1" applyFont="1"/>
    <xf numFmtId="44" fontId="1" fillId="0" borderId="0" xfId="0" applyNumberFormat="1" applyFont="1"/>
    <xf numFmtId="167" fontId="2" fillId="0" borderId="3" xfId="2" applyNumberFormat="1" applyFont="1" applyBorder="1"/>
    <xf numFmtId="166" fontId="1" fillId="0" borderId="3" xfId="2" applyNumberFormat="1" applyFont="1" applyBorder="1"/>
    <xf numFmtId="166" fontId="1" fillId="0" borderId="1" xfId="2" applyNumberFormat="1" applyFont="1" applyBorder="1"/>
    <xf numFmtId="43" fontId="7" fillId="0" borderId="5" xfId="1" applyFont="1" applyBorder="1"/>
    <xf numFmtId="167" fontId="2" fillId="0" borderId="15" xfId="0" applyNumberFormat="1" applyFont="1" applyBorder="1"/>
    <xf numFmtId="169" fontId="1" fillId="0" borderId="3" xfId="1" applyNumberFormat="1" applyFont="1" applyBorder="1"/>
    <xf numFmtId="169" fontId="1" fillId="0" borderId="5" xfId="1" applyNumberFormat="1" applyFont="1" applyFill="1" applyBorder="1"/>
    <xf numFmtId="170" fontId="1" fillId="0" borderId="5" xfId="2" applyNumberFormat="1" applyFont="1" applyFill="1" applyBorder="1"/>
    <xf numFmtId="43" fontId="11" fillId="0" borderId="0" xfId="1" applyFont="1" applyFill="1"/>
    <xf numFmtId="6" fontId="1" fillId="0" borderId="0" xfId="0" applyNumberFormat="1" applyFont="1"/>
    <xf numFmtId="164" fontId="1" fillId="0" borderId="15" xfId="0" applyNumberFormat="1" applyFont="1" applyBorder="1"/>
    <xf numFmtId="169" fontId="1" fillId="0" borderId="15" xfId="1" applyNumberFormat="1" applyFont="1" applyFill="1" applyBorder="1"/>
    <xf numFmtId="164" fontId="1" fillId="0" borderId="15" xfId="1" applyNumberFormat="1" applyFont="1" applyFill="1" applyBorder="1"/>
    <xf numFmtId="9" fontId="1" fillId="0" borderId="0" xfId="3" applyFont="1" applyFill="1"/>
    <xf numFmtId="170" fontId="12" fillId="0" borderId="5" xfId="0" applyNumberFormat="1" applyFont="1" applyBorder="1"/>
    <xf numFmtId="170" fontId="1" fillId="5" borderId="5" xfId="0" applyNumberFormat="1" applyFont="1" applyFill="1" applyBorder="1" applyAlignment="1">
      <alignment horizontal="justify" vertical="center"/>
    </xf>
    <xf numFmtId="164" fontId="2" fillId="0" borderId="5" xfId="0" applyNumberFormat="1" applyFont="1" applyBorder="1"/>
    <xf numFmtId="6" fontId="1" fillId="0" borderId="0" xfId="0" applyNumberFormat="1" applyFont="1" applyAlignment="1">
      <alignment horizontal="justify" vertical="center"/>
    </xf>
    <xf numFmtId="3" fontId="1" fillId="0" borderId="0" xfId="0" applyNumberFormat="1" applyFont="1" applyAlignment="1">
      <alignment horizontal="justify" vertical="center"/>
    </xf>
    <xf numFmtId="3" fontId="1" fillId="0" borderId="0" xfId="0" applyNumberFormat="1" applyFont="1" applyAlignment="1">
      <alignment horizontal="center" vertical="center"/>
    </xf>
    <xf numFmtId="0" fontId="2" fillId="6" borderId="5" xfId="0" applyFont="1" applyFill="1" applyBorder="1"/>
    <xf numFmtId="0" fontId="0" fillId="6" borderId="5" xfId="0" applyFill="1" applyBorder="1"/>
    <xf numFmtId="0" fontId="14" fillId="6" borderId="5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1" fillId="6" borderId="5" xfId="0" applyFont="1" applyFill="1" applyBorder="1"/>
    <xf numFmtId="0" fontId="0" fillId="0" borderId="0" xfId="0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9" fillId="0" borderId="0" xfId="0" applyFont="1" applyAlignment="1">
      <alignment horizontal="center"/>
    </xf>
    <xf numFmtId="167" fontId="1" fillId="0" borderId="5" xfId="2" applyNumberFormat="1" applyFont="1" applyBorder="1"/>
    <xf numFmtId="170" fontId="12" fillId="0" borderId="5" xfId="2" applyNumberFormat="1" applyFont="1" applyBorder="1"/>
    <xf numFmtId="170" fontId="14" fillId="6" borderId="5" xfId="0" applyNumberFormat="1" applyFont="1" applyFill="1" applyBorder="1"/>
    <xf numFmtId="164" fontId="2" fillId="6" borderId="5" xfId="0" applyNumberFormat="1" applyFont="1" applyFill="1" applyBorder="1"/>
    <xf numFmtId="0" fontId="1" fillId="6" borderId="0" xfId="0" applyFont="1" applyFill="1"/>
    <xf numFmtId="0" fontId="1" fillId="0" borderId="5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164" fontId="2" fillId="0" borderId="0" xfId="0" applyNumberFormat="1" applyFont="1"/>
    <xf numFmtId="0" fontId="1" fillId="0" borderId="8" xfId="0" applyFont="1" applyBorder="1" applyAlignment="1">
      <alignment horizontal="left"/>
    </xf>
    <xf numFmtId="0" fontId="1" fillId="0" borderId="15" xfId="0" applyFont="1" applyBorder="1" applyAlignment="1">
      <alignment vertical="center"/>
    </xf>
    <xf numFmtId="164" fontId="1" fillId="0" borderId="5" xfId="1" applyNumberFormat="1" applyFont="1" applyFill="1" applyBorder="1" applyAlignment="1">
      <alignment horizontal="center"/>
    </xf>
    <xf numFmtId="9" fontId="1" fillId="0" borderId="0" xfId="3" applyFont="1"/>
    <xf numFmtId="0" fontId="10" fillId="0" borderId="0" xfId="0" applyFont="1"/>
    <xf numFmtId="0" fontId="2" fillId="6" borderId="4" xfId="0" applyFont="1" applyFill="1" applyBorder="1"/>
    <xf numFmtId="164" fontId="2" fillId="6" borderId="5" xfId="1" applyNumberFormat="1" applyFont="1" applyFill="1" applyBorder="1" applyAlignment="1">
      <alignment horizontal="center"/>
    </xf>
    <xf numFmtId="1" fontId="1" fillId="0" borderId="0" xfId="0" applyNumberFormat="1" applyFont="1"/>
    <xf numFmtId="43" fontId="1" fillId="0" borderId="0" xfId="1" applyFont="1" applyBorder="1"/>
    <xf numFmtId="164" fontId="1" fillId="0" borderId="0" xfId="1" applyNumberFormat="1" applyFont="1" applyBorder="1"/>
    <xf numFmtId="43" fontId="1" fillId="0" borderId="0" xfId="0" applyNumberFormat="1" applyFont="1"/>
    <xf numFmtId="170" fontId="1" fillId="6" borderId="5" xfId="0" applyNumberFormat="1" applyFont="1" applyFill="1" applyBorder="1"/>
    <xf numFmtId="170" fontId="2" fillId="6" borderId="5" xfId="0" applyNumberFormat="1" applyFont="1" applyFill="1" applyBorder="1"/>
    <xf numFmtId="0" fontId="1" fillId="0" borderId="3" xfId="0" applyFont="1" applyBorder="1"/>
    <xf numFmtId="170" fontId="0" fillId="0" borderId="3" xfId="0" applyNumberFormat="1" applyBorder="1"/>
    <xf numFmtId="170" fontId="12" fillId="0" borderId="3" xfId="0" applyNumberFormat="1" applyFont="1" applyBorder="1" applyAlignment="1">
      <alignment horizontal="justify" vertical="center"/>
    </xf>
    <xf numFmtId="0" fontId="0" fillId="0" borderId="5" xfId="0" applyBorder="1" applyAlignment="1">
      <alignment horizontal="center"/>
    </xf>
    <xf numFmtId="0" fontId="11" fillId="0" borderId="5" xfId="0" applyFont="1" applyBorder="1" applyAlignment="1">
      <alignment horizontal="center"/>
    </xf>
    <xf numFmtId="170" fontId="12" fillId="0" borderId="0" xfId="0" applyNumberFormat="1" applyFont="1"/>
    <xf numFmtId="170" fontId="14" fillId="0" borderId="0" xfId="0" applyNumberFormat="1" applyFont="1" applyAlignment="1">
      <alignment horizontal="justify" vertical="center"/>
    </xf>
    <xf numFmtId="170" fontId="12" fillId="0" borderId="3" xfId="0" applyNumberFormat="1" applyFont="1" applyBorder="1"/>
    <xf numFmtId="170" fontId="14" fillId="0" borderId="3" xfId="0" applyNumberFormat="1" applyFont="1" applyBorder="1" applyAlignment="1">
      <alignment horizontal="justify" vertical="center"/>
    </xf>
    <xf numFmtId="170" fontId="14" fillId="6" borderId="5" xfId="0" applyNumberFormat="1" applyFont="1" applyFill="1" applyBorder="1" applyAlignment="1">
      <alignment horizontal="justify" vertical="center"/>
    </xf>
    <xf numFmtId="170" fontId="9" fillId="0" borderId="0" xfId="0" applyNumberFormat="1" applyFont="1"/>
    <xf numFmtId="0" fontId="14" fillId="0" borderId="3" xfId="0" applyFont="1" applyBorder="1" applyAlignment="1">
      <alignment horizontal="center"/>
    </xf>
    <xf numFmtId="0" fontId="1" fillId="0" borderId="3" xfId="0" applyFont="1" applyBorder="1" applyAlignment="1">
      <alignment wrapText="1"/>
    </xf>
    <xf numFmtId="170" fontId="1" fillId="0" borderId="3" xfId="0" applyNumberFormat="1" applyFont="1" applyBorder="1"/>
    <xf numFmtId="170" fontId="1" fillId="0" borderId="3" xfId="0" applyNumberFormat="1" applyFont="1" applyBorder="1" applyAlignment="1">
      <alignment horizontal="justify" vertical="center"/>
    </xf>
    <xf numFmtId="170" fontId="1" fillId="5" borderId="3" xfId="0" applyNumberFormat="1" applyFont="1" applyFill="1" applyBorder="1"/>
    <xf numFmtId="170" fontId="1" fillId="5" borderId="3" xfId="0" applyNumberFormat="1" applyFont="1" applyFill="1" applyBorder="1" applyAlignment="1">
      <alignment horizontal="justify" vertical="center"/>
    </xf>
    <xf numFmtId="43" fontId="0" fillId="0" borderId="5" xfId="1" applyFont="1" applyBorder="1"/>
    <xf numFmtId="170" fontId="0" fillId="0" borderId="5" xfId="0" applyNumberFormat="1" applyBorder="1" applyAlignment="1">
      <alignment vertical="center"/>
    </xf>
    <xf numFmtId="164" fontId="0" fillId="0" borderId="5" xfId="1" applyNumberFormat="1" applyFont="1" applyBorder="1" applyAlignment="1">
      <alignment vertical="center"/>
    </xf>
    <xf numFmtId="170" fontId="1" fillId="0" borderId="5" xfId="0" applyNumberFormat="1" applyFont="1" applyBorder="1" applyAlignment="1">
      <alignment vertical="center"/>
    </xf>
    <xf numFmtId="170" fontId="1" fillId="0" borderId="3" xfId="0" applyNumberFormat="1" applyFont="1" applyBorder="1" applyAlignment="1">
      <alignment vertical="center"/>
    </xf>
    <xf numFmtId="164" fontId="1" fillId="0" borderId="5" xfId="1" applyNumberFormat="1" applyFont="1" applyBorder="1" applyAlignment="1">
      <alignment vertical="center"/>
    </xf>
    <xf numFmtId="170" fontId="1" fillId="5" borderId="3" xfId="0" applyNumberFormat="1" applyFont="1" applyFill="1" applyBorder="1" applyAlignment="1">
      <alignment vertical="center"/>
    </xf>
    <xf numFmtId="164" fontId="1" fillId="5" borderId="5" xfId="1" applyNumberFormat="1" applyFont="1" applyFill="1" applyBorder="1" applyAlignment="1">
      <alignment vertical="center"/>
    </xf>
    <xf numFmtId="170" fontId="1" fillId="5" borderId="5" xfId="0" applyNumberFormat="1" applyFont="1" applyFill="1" applyBorder="1" applyAlignment="1">
      <alignment vertical="center"/>
    </xf>
    <xf numFmtId="170" fontId="2" fillId="0" borderId="5" xfId="0" applyNumberFormat="1" applyFont="1" applyBorder="1" applyAlignment="1">
      <alignment vertical="center"/>
    </xf>
    <xf numFmtId="170" fontId="0" fillId="0" borderId="3" xfId="0" applyNumberFormat="1" applyBorder="1" applyAlignment="1">
      <alignment vertical="center"/>
    </xf>
    <xf numFmtId="164" fontId="12" fillId="0" borderId="5" xfId="1" applyNumberFormat="1" applyFont="1" applyBorder="1" applyAlignment="1">
      <alignment horizontal="justify" vertical="center"/>
    </xf>
    <xf numFmtId="43" fontId="0" fillId="0" borderId="5" xfId="1" applyFont="1" applyBorder="1" applyAlignment="1">
      <alignment vertical="center"/>
    </xf>
    <xf numFmtId="170" fontId="1" fillId="0" borderId="5" xfId="2" applyNumberFormat="1" applyFont="1" applyBorder="1" applyAlignment="1">
      <alignment vertical="center"/>
    </xf>
    <xf numFmtId="165" fontId="2" fillId="6" borderId="5" xfId="3" applyNumberFormat="1" applyFont="1" applyFill="1" applyBorder="1"/>
    <xf numFmtId="0" fontId="14" fillId="6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 wrapText="1"/>
    </xf>
    <xf numFmtId="164" fontId="1" fillId="0" borderId="3" xfId="1" applyNumberFormat="1" applyFont="1" applyFill="1" applyBorder="1"/>
    <xf numFmtId="170" fontId="2" fillId="0" borderId="5" xfId="2" applyNumberFormat="1" applyFont="1" applyFill="1" applyBorder="1"/>
    <xf numFmtId="170" fontId="1" fillId="0" borderId="3" xfId="2" applyNumberFormat="1" applyFont="1" applyFill="1" applyBorder="1"/>
    <xf numFmtId="171" fontId="14" fillId="0" borderId="5" xfId="0" quotePrefix="1" applyNumberFormat="1" applyFont="1" applyBorder="1" applyAlignment="1">
      <alignment horizontal="left"/>
    </xf>
    <xf numFmtId="0" fontId="2" fillId="0" borderId="5" xfId="0" quotePrefix="1" applyFont="1" applyBorder="1"/>
    <xf numFmtId="0" fontId="14" fillId="7" borderId="3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 wrapText="1"/>
    </xf>
    <xf numFmtId="0" fontId="14" fillId="7" borderId="3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vertical="center"/>
    </xf>
    <xf numFmtId="0" fontId="14" fillId="6" borderId="3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/>
    </xf>
    <xf numFmtId="169" fontId="1" fillId="6" borderId="5" xfId="1" applyNumberFormat="1" applyFont="1" applyFill="1" applyBorder="1"/>
    <xf numFmtId="170" fontId="2" fillId="6" borderId="5" xfId="2" applyNumberFormat="1" applyFont="1" applyFill="1" applyBorder="1"/>
    <xf numFmtId="164" fontId="14" fillId="6" borderId="11" xfId="1" applyNumberFormat="1" applyFont="1" applyFill="1" applyBorder="1"/>
    <xf numFmtId="169" fontId="1" fillId="6" borderId="4" xfId="1" applyNumberFormat="1" applyFont="1" applyFill="1" applyBorder="1"/>
    <xf numFmtId="170" fontId="2" fillId="6" borderId="12" xfId="2" applyNumberFormat="1" applyFont="1" applyFill="1" applyBorder="1"/>
    <xf numFmtId="0" fontId="12" fillId="0" borderId="5" xfId="0" applyFont="1" applyBorder="1" applyAlignment="1">
      <alignment horizontal="center"/>
    </xf>
    <xf numFmtId="164" fontId="12" fillId="0" borderId="5" xfId="0" applyNumberFormat="1" applyFont="1" applyBorder="1"/>
    <xf numFmtId="164" fontId="14" fillId="0" borderId="5" xfId="0" applyNumberFormat="1" applyFont="1" applyBorder="1"/>
    <xf numFmtId="0" fontId="2" fillId="0" borderId="5" xfId="0" applyFont="1" applyBorder="1" applyAlignment="1">
      <alignment wrapText="1"/>
    </xf>
    <xf numFmtId="164" fontId="11" fillId="0" borderId="0" xfId="0" applyNumberFormat="1" applyFont="1"/>
    <xf numFmtId="43" fontId="1" fillId="0" borderId="0" xfId="1" applyFont="1"/>
    <xf numFmtId="173" fontId="1" fillId="0" borderId="0" xfId="0" applyNumberFormat="1" applyFont="1"/>
    <xf numFmtId="168" fontId="1" fillId="0" borderId="0" xfId="0" applyNumberFormat="1" applyFont="1"/>
    <xf numFmtId="0" fontId="14" fillId="6" borderId="8" xfId="0" applyFont="1" applyFill="1" applyBorder="1" applyAlignment="1">
      <alignment horizontal="center"/>
    </xf>
    <xf numFmtId="0" fontId="14" fillId="6" borderId="2" xfId="0" applyFont="1" applyFill="1" applyBorder="1" applyAlignment="1">
      <alignment horizontal="center"/>
    </xf>
    <xf numFmtId="0" fontId="12" fillId="0" borderId="5" xfId="0" applyFont="1" applyBorder="1" applyAlignment="1">
      <alignment horizontal="left" wrapText="1"/>
    </xf>
    <xf numFmtId="0" fontId="1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70" fontId="12" fillId="0" borderId="5" xfId="2" applyNumberFormat="1" applyFont="1" applyBorder="1" applyAlignment="1">
      <alignment horizontal="center"/>
    </xf>
    <xf numFmtId="0" fontId="14" fillId="6" borderId="5" xfId="0" applyFont="1" applyFill="1" applyBorder="1" applyAlignment="1">
      <alignment wrapText="1"/>
    </xf>
    <xf numFmtId="0" fontId="14" fillId="6" borderId="5" xfId="0" applyFont="1" applyFill="1" applyBorder="1"/>
    <xf numFmtId="0" fontId="14" fillId="6" borderId="5" xfId="0" applyFont="1" applyFill="1" applyBorder="1" applyAlignment="1">
      <alignment horizontal="center"/>
    </xf>
    <xf numFmtId="44" fontId="14" fillId="6" borderId="5" xfId="2" applyFont="1" applyFill="1" applyBorder="1"/>
    <xf numFmtId="167" fontId="14" fillId="6" borderId="5" xfId="2" applyNumberFormat="1" applyFont="1" applyFill="1" applyBorder="1"/>
    <xf numFmtId="0" fontId="2" fillId="6" borderId="3" xfId="0" applyFont="1" applyFill="1" applyBorder="1" applyAlignment="1">
      <alignment horizontal="center" vertical="center"/>
    </xf>
    <xf numFmtId="16" fontId="1" fillId="0" borderId="0" xfId="0" applyNumberFormat="1" applyFont="1"/>
    <xf numFmtId="165" fontId="12" fillId="0" borderId="3" xfId="3" applyNumberFormat="1" applyFont="1" applyBorder="1"/>
    <xf numFmtId="165" fontId="12" fillId="0" borderId="5" xfId="3" applyNumberFormat="1" applyFont="1" applyBorder="1"/>
    <xf numFmtId="0" fontId="2" fillId="6" borderId="5" xfId="0" applyFont="1" applyFill="1" applyBorder="1" applyAlignment="1">
      <alignment horizontal="center" wrapText="1"/>
    </xf>
    <xf numFmtId="164" fontId="14" fillId="6" borderId="5" xfId="0" applyNumberFormat="1" applyFont="1" applyFill="1" applyBorder="1"/>
    <xf numFmtId="165" fontId="14" fillId="6" borderId="5" xfId="3" applyNumberFormat="1" applyFont="1" applyFill="1" applyBorder="1"/>
    <xf numFmtId="164" fontId="12" fillId="0" borderId="3" xfId="1" applyNumberFormat="1" applyFont="1" applyBorder="1" applyAlignment="1"/>
    <xf numFmtId="167" fontId="12" fillId="0" borderId="5" xfId="2" applyNumberFormat="1" applyFont="1" applyBorder="1"/>
    <xf numFmtId="169" fontId="12" fillId="0" borderId="5" xfId="1" applyNumberFormat="1" applyFont="1" applyBorder="1"/>
    <xf numFmtId="0" fontId="2" fillId="6" borderId="3" xfId="0" applyFont="1" applyFill="1" applyBorder="1" applyAlignment="1">
      <alignment vertical="center"/>
    </xf>
    <xf numFmtId="170" fontId="14" fillId="6" borderId="5" xfId="2" applyNumberFormat="1" applyFont="1" applyFill="1" applyBorder="1"/>
    <xf numFmtId="43" fontId="1" fillId="0" borderId="3" xfId="0" applyNumberFormat="1" applyFont="1" applyBorder="1"/>
    <xf numFmtId="43" fontId="1" fillId="0" borderId="15" xfId="0" applyNumberFormat="1" applyFont="1" applyBorder="1"/>
    <xf numFmtId="0" fontId="1" fillId="0" borderId="11" xfId="0" applyFont="1" applyBorder="1"/>
    <xf numFmtId="167" fontId="1" fillId="0" borderId="3" xfId="2" applyNumberFormat="1" applyFont="1" applyBorder="1"/>
    <xf numFmtId="43" fontId="1" fillId="0" borderId="3" xfId="1" applyFont="1" applyBorder="1"/>
    <xf numFmtId="0" fontId="9" fillId="0" borderId="0" xfId="0" applyFont="1" applyAlignment="1">
      <alignment horizontal="justify" vertical="center"/>
    </xf>
    <xf numFmtId="164" fontId="14" fillId="0" borderId="15" xfId="1" applyNumberFormat="1" applyFont="1" applyBorder="1" applyAlignment="1">
      <alignment horizontal="left"/>
    </xf>
    <xf numFmtId="15" fontId="2" fillId="6" borderId="5" xfId="0" applyNumberFormat="1" applyFont="1" applyFill="1" applyBorder="1" applyAlignment="1">
      <alignment horizontal="center"/>
    </xf>
    <xf numFmtId="15" fontId="14" fillId="6" borderId="5" xfId="0" applyNumberFormat="1" applyFont="1" applyFill="1" applyBorder="1" applyAlignment="1">
      <alignment horizontal="center"/>
    </xf>
    <xf numFmtId="0" fontId="2" fillId="6" borderId="5" xfId="0" applyFont="1" applyFill="1" applyBorder="1" applyAlignment="1">
      <alignment horizontal="left"/>
    </xf>
    <xf numFmtId="0" fontId="14" fillId="6" borderId="5" xfId="0" applyFont="1" applyFill="1" applyBorder="1" applyAlignment="1">
      <alignment horizontal="left"/>
    </xf>
    <xf numFmtId="170" fontId="1" fillId="0" borderId="3" xfId="2" applyNumberFormat="1" applyFont="1" applyBorder="1"/>
    <xf numFmtId="43" fontId="1" fillId="0" borderId="5" xfId="0" applyNumberFormat="1" applyFont="1" applyBorder="1" applyAlignment="1">
      <alignment horizontal="left" wrapText="1"/>
    </xf>
    <xf numFmtId="43" fontId="8" fillId="0" borderId="5" xfId="1" applyFont="1" applyBorder="1" applyAlignment="1">
      <alignment horizontal="left"/>
    </xf>
    <xf numFmtId="43" fontId="8" fillId="0" borderId="5" xfId="0" applyNumberFormat="1" applyFont="1" applyBorder="1" applyAlignment="1">
      <alignment horizontal="left"/>
    </xf>
    <xf numFmtId="44" fontId="8" fillId="0" borderId="5" xfId="0" applyNumberFormat="1" applyFont="1" applyBorder="1" applyAlignment="1">
      <alignment horizontal="left"/>
    </xf>
    <xf numFmtId="44" fontId="3" fillId="0" borderId="5" xfId="2" applyFont="1" applyBorder="1" applyAlignment="1">
      <alignment horizontal="left"/>
    </xf>
    <xf numFmtId="0" fontId="7" fillId="6" borderId="3" xfId="0" applyFont="1" applyFill="1" applyBorder="1" applyAlignment="1">
      <alignment horizontal="center"/>
    </xf>
    <xf numFmtId="43" fontId="7" fillId="6" borderId="5" xfId="0" applyNumberFormat="1" applyFont="1" applyFill="1" applyBorder="1" applyAlignment="1">
      <alignment horizontal="left"/>
    </xf>
    <xf numFmtId="43" fontId="7" fillId="6" borderId="5" xfId="1" applyFont="1" applyFill="1" applyBorder="1"/>
    <xf numFmtId="44" fontId="4" fillId="6" borderId="5" xfId="2" applyFont="1" applyFill="1" applyBorder="1" applyAlignment="1">
      <alignment horizontal="left"/>
    </xf>
    <xf numFmtId="44" fontId="7" fillId="6" borderId="5" xfId="1" applyNumberFormat="1" applyFont="1" applyFill="1" applyBorder="1" applyAlignment="1">
      <alignment horizontal="left"/>
    </xf>
    <xf numFmtId="43" fontId="8" fillId="6" borderId="5" xfId="1" applyFont="1" applyFill="1" applyBorder="1"/>
    <xf numFmtId="44" fontId="7" fillId="6" borderId="5" xfId="0" applyNumberFormat="1" applyFont="1" applyFill="1" applyBorder="1"/>
    <xf numFmtId="165" fontId="7" fillId="6" borderId="5" xfId="3" applyNumberFormat="1" applyFont="1" applyFill="1" applyBorder="1" applyAlignment="1">
      <alignment horizontal="center"/>
    </xf>
    <xf numFmtId="44" fontId="7" fillId="6" borderId="5" xfId="3" applyNumberFormat="1" applyFont="1" applyFill="1" applyBorder="1"/>
    <xf numFmtId="15" fontId="7" fillId="6" borderId="3" xfId="0" applyNumberFormat="1" applyFont="1" applyFill="1" applyBorder="1" applyAlignment="1">
      <alignment horizontal="center" vertical="center" wrapText="1"/>
    </xf>
    <xf numFmtId="44" fontId="7" fillId="6" borderId="5" xfId="1" applyNumberFormat="1" applyFont="1" applyFill="1" applyBorder="1"/>
    <xf numFmtId="44" fontId="7" fillId="6" borderId="5" xfId="2" applyFont="1" applyFill="1" applyBorder="1"/>
    <xf numFmtId="44" fontId="8" fillId="0" borderId="5" xfId="0" applyNumberFormat="1" applyFont="1" applyBorder="1"/>
    <xf numFmtId="172" fontId="3" fillId="6" borderId="3" xfId="2" applyNumberFormat="1" applyFont="1" applyFill="1" applyBorder="1" applyAlignment="1">
      <alignment horizontal="left"/>
    </xf>
    <xf numFmtId="43" fontId="7" fillId="6" borderId="5" xfId="0" applyNumberFormat="1" applyFont="1" applyFill="1" applyBorder="1"/>
    <xf numFmtId="44" fontId="7" fillId="0" borderId="0" xfId="3" applyNumberFormat="1" applyFont="1" applyFill="1" applyBorder="1"/>
    <xf numFmtId="44" fontId="7" fillId="0" borderId="0" xfId="0" applyNumberFormat="1" applyFont="1"/>
    <xf numFmtId="165" fontId="7" fillId="0" borderId="0" xfId="3" applyNumberFormat="1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/>
    <xf numFmtId="0" fontId="1" fillId="0" borderId="6" xfId="0" applyFont="1" applyBorder="1"/>
    <xf numFmtId="0" fontId="17" fillId="3" borderId="5" xfId="0" applyFont="1" applyFill="1" applyBorder="1" applyAlignment="1">
      <alignment vertical="center"/>
    </xf>
    <xf numFmtId="17" fontId="2" fillId="3" borderId="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3" borderId="1" xfId="0" applyFont="1" applyFill="1" applyBorder="1"/>
    <xf numFmtId="164" fontId="1" fillId="0" borderId="1" xfId="1" applyNumberFormat="1" applyFont="1" applyFill="1" applyBorder="1"/>
    <xf numFmtId="164" fontId="1" fillId="0" borderId="1" xfId="1" applyNumberFormat="1" applyFont="1" applyBorder="1"/>
    <xf numFmtId="164" fontId="1" fillId="0" borderId="1" xfId="0" applyNumberFormat="1" applyFont="1" applyBorder="1"/>
    <xf numFmtId="164" fontId="1" fillId="0" borderId="3" xfId="0" applyNumberFormat="1" applyFont="1" applyBorder="1"/>
    <xf numFmtId="0" fontId="1" fillId="3" borderId="7" xfId="0" applyFont="1" applyFill="1" applyBorder="1"/>
    <xf numFmtId="164" fontId="1" fillId="0" borderId="13" xfId="1" applyNumberFormat="1" applyFont="1" applyFill="1" applyBorder="1"/>
    <xf numFmtId="164" fontId="1" fillId="0" borderId="13" xfId="0" applyNumberFormat="1" applyFont="1" applyBorder="1"/>
    <xf numFmtId="0" fontId="1" fillId="0" borderId="1" xfId="0" applyFont="1" applyBorder="1"/>
    <xf numFmtId="168" fontId="1" fillId="0" borderId="1" xfId="0" applyNumberFormat="1" applyFont="1" applyBorder="1"/>
    <xf numFmtId="164" fontId="9" fillId="0" borderId="1" xfId="1" applyNumberFormat="1" applyFont="1" applyBorder="1"/>
    <xf numFmtId="164" fontId="1" fillId="0" borderId="32" xfId="1" applyNumberFormat="1" applyFont="1" applyBorder="1"/>
    <xf numFmtId="164" fontId="1" fillId="0" borderId="3" xfId="1" applyNumberFormat="1" applyFont="1" applyBorder="1"/>
    <xf numFmtId="0" fontId="2" fillId="3" borderId="1" xfId="0" applyFont="1" applyFill="1" applyBorder="1"/>
    <xf numFmtId="164" fontId="2" fillId="0" borderId="33" xfId="0" applyNumberFormat="1" applyFont="1" applyBorder="1"/>
    <xf numFmtId="0" fontId="18" fillId="3" borderId="1" xfId="0" applyFont="1" applyFill="1" applyBorder="1"/>
    <xf numFmtId="169" fontId="1" fillId="0" borderId="3" xfId="1" applyNumberFormat="1" applyFont="1" applyFill="1" applyBorder="1"/>
    <xf numFmtId="0" fontId="1" fillId="3" borderId="3" xfId="0" applyFont="1" applyFill="1" applyBorder="1"/>
    <xf numFmtId="164" fontId="2" fillId="0" borderId="0" xfId="0" applyNumberFormat="1" applyFont="1" applyAlignment="1">
      <alignment horizontal="center" vertical="center"/>
    </xf>
    <xf numFmtId="164" fontId="1" fillId="0" borderId="1" xfId="1" applyNumberFormat="1" applyFont="1" applyFill="1" applyBorder="1" applyAlignment="1">
      <alignment horizontal="center"/>
    </xf>
    <xf numFmtId="169" fontId="1" fillId="0" borderId="3" xfId="0" applyNumberFormat="1" applyFont="1" applyBorder="1"/>
    <xf numFmtId="164" fontId="1" fillId="0" borderId="15" xfId="1" applyNumberFormat="1" applyFont="1" applyBorder="1"/>
    <xf numFmtId="164" fontId="1" fillId="0" borderId="14" xfId="1" applyNumberFormat="1" applyFont="1" applyBorder="1"/>
    <xf numFmtId="164" fontId="9" fillId="0" borderId="7" xfId="1" applyNumberFormat="1" applyFont="1" applyBorder="1"/>
    <xf numFmtId="164" fontId="1" fillId="0" borderId="32" xfId="1" applyNumberFormat="1" applyFont="1" applyFill="1" applyBorder="1"/>
    <xf numFmtId="164" fontId="2" fillId="0" borderId="1" xfId="0" applyNumberFormat="1" applyFont="1" applyBorder="1"/>
    <xf numFmtId="164" fontId="2" fillId="0" borderId="5" xfId="1" applyNumberFormat="1" applyFont="1" applyBorder="1"/>
    <xf numFmtId="164" fontId="1" fillId="0" borderId="7" xfId="0" applyNumberFormat="1" applyFont="1" applyBorder="1"/>
    <xf numFmtId="169" fontId="1" fillId="0" borderId="1" xfId="0" applyNumberFormat="1" applyFont="1" applyBorder="1"/>
    <xf numFmtId="0" fontId="10" fillId="0" borderId="1" xfId="0" applyFont="1" applyBorder="1"/>
    <xf numFmtId="0" fontId="9" fillId="0" borderId="1" xfId="0" applyFont="1" applyBorder="1"/>
    <xf numFmtId="164" fontId="10" fillId="0" borderId="1" xfId="1" applyNumberFormat="1" applyFont="1" applyBorder="1"/>
    <xf numFmtId="43" fontId="10" fillId="0" borderId="3" xfId="1" applyFont="1" applyBorder="1"/>
    <xf numFmtId="164" fontId="10" fillId="0" borderId="3" xfId="1" applyNumberFormat="1" applyFont="1" applyBorder="1"/>
    <xf numFmtId="43" fontId="9" fillId="0" borderId="3" xfId="1" applyFont="1" applyBorder="1"/>
    <xf numFmtId="164" fontId="9" fillId="0" borderId="3" xfId="1" applyNumberFormat="1" applyFont="1" applyBorder="1"/>
    <xf numFmtId="0" fontId="9" fillId="0" borderId="0" xfId="0" applyFont="1" applyAlignment="1">
      <alignment vertical="center"/>
    </xf>
    <xf numFmtId="164" fontId="9" fillId="0" borderId="0" xfId="0" applyNumberFormat="1" applyFont="1"/>
    <xf numFmtId="168" fontId="9" fillId="0" borderId="0" xfId="0" applyNumberFormat="1" applyFont="1"/>
    <xf numFmtId="169" fontId="1" fillId="0" borderId="0" xfId="0" applyNumberFormat="1" applyFont="1"/>
    <xf numFmtId="164" fontId="1" fillId="0" borderId="0" xfId="1" applyNumberFormat="1" applyFont="1" applyFill="1" applyBorder="1"/>
    <xf numFmtId="164" fontId="11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vertical="center"/>
    </xf>
    <xf numFmtId="164" fontId="2" fillId="0" borderId="32" xfId="1" applyNumberFormat="1" applyFont="1" applyBorder="1"/>
    <xf numFmtId="164" fontId="2" fillId="0" borderId="15" xfId="0" applyNumberFormat="1" applyFont="1" applyBorder="1"/>
    <xf numFmtId="0" fontId="2" fillId="0" borderId="0" xfId="0" applyFont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6" borderId="8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6" borderId="14" xfId="0" applyFont="1" applyFill="1" applyBorder="1" applyAlignment="1">
      <alignment horizontal="center"/>
    </xf>
    <xf numFmtId="0" fontId="2" fillId="6" borderId="1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 wrapText="1"/>
    </xf>
    <xf numFmtId="0" fontId="2" fillId="7" borderId="4" xfId="0" applyFont="1" applyFill="1" applyBorder="1" applyAlignment="1">
      <alignment horizontal="center" wrapText="1"/>
    </xf>
    <xf numFmtId="0" fontId="2" fillId="7" borderId="12" xfId="0" applyFont="1" applyFill="1" applyBorder="1" applyAlignment="1">
      <alignment horizontal="center" wrapText="1"/>
    </xf>
    <xf numFmtId="0" fontId="0" fillId="6" borderId="11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14" fillId="7" borderId="5" xfId="0" applyFont="1" applyFill="1" applyBorder="1" applyAlignment="1">
      <alignment horizontal="center" vertical="center" wrapText="1"/>
    </xf>
    <xf numFmtId="0" fontId="14" fillId="7" borderId="5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left"/>
    </xf>
    <xf numFmtId="0" fontId="2" fillId="6" borderId="12" xfId="0" applyFont="1" applyFill="1" applyBorder="1" applyAlignment="1">
      <alignment horizontal="left"/>
    </xf>
    <xf numFmtId="0" fontId="1" fillId="6" borderId="1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2" fillId="7" borderId="14" xfId="0" applyFont="1" applyFill="1" applyBorder="1" applyAlignment="1">
      <alignment horizontal="center" wrapText="1"/>
    </xf>
    <xf numFmtId="0" fontId="2" fillId="7" borderId="10" xfId="0" applyFont="1" applyFill="1" applyBorder="1" applyAlignment="1">
      <alignment horizontal="center"/>
    </xf>
    <xf numFmtId="0" fontId="2" fillId="7" borderId="1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171" fontId="14" fillId="6" borderId="11" xfId="0" quotePrefix="1" applyNumberFormat="1" applyFont="1" applyFill="1" applyBorder="1" applyAlignment="1">
      <alignment horizontal="left"/>
    </xf>
    <xf numFmtId="171" fontId="14" fillId="6" borderId="12" xfId="0" quotePrefix="1" applyNumberFormat="1" applyFont="1" applyFill="1" applyBorder="1" applyAlignment="1">
      <alignment horizontal="left"/>
    </xf>
    <xf numFmtId="0" fontId="2" fillId="7" borderId="4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left" vertical="center"/>
    </xf>
    <xf numFmtId="0" fontId="2" fillId="6" borderId="3" xfId="0" applyFont="1" applyFill="1" applyBorder="1" applyAlignment="1">
      <alignment horizontal="left" vertical="center"/>
    </xf>
    <xf numFmtId="0" fontId="14" fillId="7" borderId="5" xfId="0" applyFont="1" applyFill="1" applyBorder="1" applyAlignment="1">
      <alignment horizontal="center"/>
    </xf>
    <xf numFmtId="43" fontId="14" fillId="6" borderId="5" xfId="0" applyNumberFormat="1" applyFont="1" applyFill="1" applyBorder="1" applyAlignment="1">
      <alignment horizontal="center"/>
    </xf>
    <xf numFmtId="0" fontId="14" fillId="6" borderId="11" xfId="0" applyFont="1" applyFill="1" applyBorder="1" applyAlignment="1">
      <alignment horizontal="center"/>
    </xf>
    <xf numFmtId="0" fontId="14" fillId="6" borderId="4" xfId="0" applyFont="1" applyFill="1" applyBorder="1" applyAlignment="1">
      <alignment horizontal="center"/>
    </xf>
    <xf numFmtId="0" fontId="14" fillId="6" borderId="12" xfId="0" applyFont="1" applyFill="1" applyBorder="1" applyAlignment="1">
      <alignment horizontal="center"/>
    </xf>
    <xf numFmtId="43" fontId="14" fillId="6" borderId="11" xfId="0" applyNumberFormat="1" applyFont="1" applyFill="1" applyBorder="1" applyAlignment="1">
      <alignment horizontal="center"/>
    </xf>
    <xf numFmtId="43" fontId="14" fillId="6" borderId="4" xfId="0" applyNumberFormat="1" applyFont="1" applyFill="1" applyBorder="1" applyAlignment="1">
      <alignment horizontal="center"/>
    </xf>
    <xf numFmtId="43" fontId="14" fillId="6" borderId="12" xfId="0" applyNumberFormat="1" applyFont="1" applyFill="1" applyBorder="1" applyAlignment="1">
      <alignment horizontal="center"/>
    </xf>
    <xf numFmtId="172" fontId="4" fillId="7" borderId="11" xfId="2" applyNumberFormat="1" applyFont="1" applyFill="1" applyBorder="1" applyAlignment="1">
      <alignment horizontal="center" vertical="center" wrapText="1"/>
    </xf>
    <xf numFmtId="172" fontId="4" fillId="7" borderId="4" xfId="2" applyNumberFormat="1" applyFont="1" applyFill="1" applyBorder="1" applyAlignment="1">
      <alignment horizontal="center" vertical="center" wrapText="1"/>
    </xf>
    <xf numFmtId="172" fontId="4" fillId="7" borderId="12" xfId="2" applyNumberFormat="1" applyFont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2" fontId="4" fillId="7" borderId="4" xfId="2" applyNumberFormat="1" applyFont="1" applyFill="1" applyBorder="1" applyAlignment="1">
      <alignment horizontal="center" vertical="center"/>
    </xf>
    <xf numFmtId="172" fontId="4" fillId="7" borderId="12" xfId="2" applyNumberFormat="1" applyFont="1" applyFill="1" applyBorder="1" applyAlignment="1">
      <alignment horizontal="center" vertical="center"/>
    </xf>
    <xf numFmtId="172" fontId="6" fillId="0" borderId="11" xfId="2" applyNumberFormat="1" applyFont="1" applyFill="1" applyBorder="1" applyAlignment="1">
      <alignment horizontal="center" wrapText="1"/>
    </xf>
    <xf numFmtId="172" fontId="6" fillId="0" borderId="4" xfId="2" applyNumberFormat="1" applyFont="1" applyFill="1" applyBorder="1" applyAlignment="1">
      <alignment horizontal="center" wrapText="1"/>
    </xf>
    <xf numFmtId="172" fontId="6" fillId="0" borderId="12" xfId="2" applyNumberFormat="1" applyFont="1" applyFill="1" applyBorder="1" applyAlignment="1">
      <alignment horizontal="center" wrapText="1"/>
    </xf>
    <xf numFmtId="0" fontId="5" fillId="0" borderId="1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1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7" fillId="0" borderId="1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172" fontId="4" fillId="0" borderId="16" xfId="2" applyNumberFormat="1" applyFont="1" applyBorder="1" applyAlignment="1">
      <alignment horizontal="center"/>
    </xf>
    <xf numFmtId="172" fontId="4" fillId="0" borderId="17" xfId="2" applyNumberFormat="1" applyFont="1" applyBorder="1" applyAlignment="1">
      <alignment horizontal="center"/>
    </xf>
    <xf numFmtId="172" fontId="4" fillId="0" borderId="18" xfId="2" applyNumberFormat="1" applyFont="1" applyBorder="1" applyAlignment="1">
      <alignment horizontal="center"/>
    </xf>
    <xf numFmtId="172" fontId="4" fillId="0" borderId="19" xfId="2" applyNumberFormat="1" applyFont="1" applyFill="1" applyBorder="1" applyAlignment="1">
      <alignment horizontal="center"/>
    </xf>
    <xf numFmtId="172" fontId="4" fillId="0" borderId="10" xfId="2" applyNumberFormat="1" applyFont="1" applyFill="1" applyBorder="1" applyAlignment="1">
      <alignment horizontal="center"/>
    </xf>
    <xf numFmtId="172" fontId="4" fillId="0" borderId="20" xfId="2" applyNumberFormat="1" applyFont="1" applyFill="1" applyBorder="1" applyAlignment="1">
      <alignment horizontal="center"/>
    </xf>
    <xf numFmtId="172" fontId="4" fillId="0" borderId="21" xfId="2" applyNumberFormat="1" applyFont="1" applyBorder="1" applyAlignment="1">
      <alignment horizontal="center"/>
    </xf>
    <xf numFmtId="172" fontId="4" fillId="0" borderId="2" xfId="2" applyNumberFormat="1" applyFont="1" applyBorder="1" applyAlignment="1">
      <alignment horizontal="center"/>
    </xf>
    <xf numFmtId="172" fontId="4" fillId="0" borderId="22" xfId="2" applyNumberFormat="1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B1:S114"/>
  <sheetViews>
    <sheetView tabSelected="1" zoomScaleNormal="100" zoomScaleSheetLayoutView="90" workbookViewId="0">
      <selection activeCell="Q19" sqref="Q19"/>
    </sheetView>
  </sheetViews>
  <sheetFormatPr defaultRowHeight="12.75" x14ac:dyDescent="0.2"/>
  <cols>
    <col min="1" max="1" width="3.28515625" style="59" customWidth="1"/>
    <col min="2" max="2" width="47" style="59" customWidth="1"/>
    <col min="3" max="14" width="12.28515625" style="59" bestFit="1" customWidth="1"/>
    <col min="15" max="15" width="14" style="59" bestFit="1" customWidth="1"/>
    <col min="16" max="16" width="15.140625" style="61" bestFit="1" customWidth="1"/>
    <col min="17" max="17" width="17.42578125" style="59" bestFit="1" customWidth="1"/>
    <col min="18" max="23" width="11.42578125" style="59" bestFit="1" customWidth="1"/>
    <col min="24" max="16384" width="9.140625" style="59"/>
  </cols>
  <sheetData>
    <row r="1" spans="2:18" ht="13.5" customHeight="1" x14ac:dyDescent="0.2"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</row>
    <row r="2" spans="2:18" ht="36" customHeight="1" x14ac:dyDescent="0.2">
      <c r="B2" s="329" t="s">
        <v>90</v>
      </c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1"/>
    </row>
    <row r="3" spans="2:18" ht="9" hidden="1" customHeight="1" x14ac:dyDescent="0.2">
      <c r="B3" s="332"/>
      <c r="C3" s="333"/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34"/>
    </row>
    <row r="4" spans="2:18" ht="9.75" hidden="1" customHeight="1" x14ac:dyDescent="0.2">
      <c r="B4" s="278"/>
      <c r="O4" s="279"/>
    </row>
    <row r="5" spans="2:18" ht="9.75" hidden="1" customHeight="1" x14ac:dyDescent="0.2">
      <c r="B5" s="278"/>
      <c r="O5" s="279"/>
    </row>
    <row r="6" spans="2:18" hidden="1" x14ac:dyDescent="0.2">
      <c r="B6" s="278"/>
      <c r="O6" s="279"/>
    </row>
    <row r="7" spans="2:18" hidden="1" x14ac:dyDescent="0.2">
      <c r="B7" s="278"/>
      <c r="O7" s="279"/>
    </row>
    <row r="8" spans="2:18" hidden="1" x14ac:dyDescent="0.2">
      <c r="B8" s="278"/>
      <c r="O8" s="279"/>
    </row>
    <row r="9" spans="2:18" hidden="1" x14ac:dyDescent="0.2">
      <c r="B9" s="278"/>
      <c r="C9" s="333" t="s">
        <v>17</v>
      </c>
      <c r="D9" s="333"/>
      <c r="E9" s="333"/>
      <c r="F9" s="333"/>
      <c r="G9" s="333"/>
      <c r="H9" s="333"/>
      <c r="I9" s="333"/>
      <c r="J9" s="333"/>
      <c r="K9" s="333"/>
      <c r="L9" s="333"/>
      <c r="M9" s="333"/>
      <c r="N9" s="333"/>
      <c r="O9" s="334"/>
    </row>
    <row r="10" spans="2:18" s="282" customFormat="1" ht="24" customHeight="1" x14ac:dyDescent="0.2">
      <c r="B10" s="280" t="s">
        <v>16</v>
      </c>
      <c r="C10" s="281">
        <v>44957</v>
      </c>
      <c r="D10" s="281">
        <f>+C10+28</f>
        <v>44985</v>
      </c>
      <c r="E10" s="281">
        <f t="shared" ref="E10" si="0">+D10+29</f>
        <v>45014</v>
      </c>
      <c r="F10" s="281">
        <f t="shared" ref="F10" si="1">+E10+29</f>
        <v>45043</v>
      </c>
      <c r="G10" s="281">
        <f t="shared" ref="G10" si="2">+F10+29</f>
        <v>45072</v>
      </c>
      <c r="H10" s="281">
        <f t="shared" ref="H10" si="3">+G10+29</f>
        <v>45101</v>
      </c>
      <c r="I10" s="281">
        <f t="shared" ref="I10" si="4">+H10+29</f>
        <v>45130</v>
      </c>
      <c r="J10" s="281">
        <f t="shared" ref="J10" si="5">+I10+29</f>
        <v>45159</v>
      </c>
      <c r="K10" s="281">
        <f t="shared" ref="K10" si="6">+J10+29</f>
        <v>45188</v>
      </c>
      <c r="L10" s="281">
        <f t="shared" ref="L10" si="7">+K10+29</f>
        <v>45217</v>
      </c>
      <c r="M10" s="281">
        <f t="shared" ref="M10" si="8">+L10+29</f>
        <v>45246</v>
      </c>
      <c r="N10" s="281">
        <f t="shared" ref="N10" si="9">+M10+29</f>
        <v>45275</v>
      </c>
      <c r="O10" s="281" t="s">
        <v>35</v>
      </c>
      <c r="P10" s="319"/>
      <c r="Q10" s="277"/>
      <c r="R10" s="277"/>
    </row>
    <row r="11" spans="2:18" ht="18" hidden="1" customHeight="1" x14ac:dyDescent="0.2">
      <c r="B11" s="283" t="s">
        <v>5</v>
      </c>
      <c r="C11" s="284">
        <v>13720227</v>
      </c>
      <c r="D11" s="285">
        <v>9122444</v>
      </c>
      <c r="E11" s="285">
        <v>9702898</v>
      </c>
      <c r="F11" s="285">
        <v>8669062</v>
      </c>
      <c r="G11" s="285">
        <v>8122258</v>
      </c>
      <c r="H11" s="285">
        <v>6860776</v>
      </c>
      <c r="I11" s="285">
        <v>8579563</v>
      </c>
      <c r="J11" s="285">
        <f>7650790-1690</f>
        <v>7649100</v>
      </c>
      <c r="K11" s="285">
        <f>7115885+1690</f>
        <v>7117575</v>
      </c>
      <c r="L11" s="285">
        <v>7366021</v>
      </c>
      <c r="M11" s="285">
        <v>9314855</v>
      </c>
      <c r="N11" s="285">
        <v>9420922</v>
      </c>
      <c r="O11" s="286">
        <f>SUM(C11:N11)</f>
        <v>105645701</v>
      </c>
      <c r="P11" s="319"/>
      <c r="Q11" s="84"/>
      <c r="R11" s="84"/>
    </row>
    <row r="12" spans="2:18" ht="18" hidden="1" customHeight="1" x14ac:dyDescent="0.2">
      <c r="B12" s="283" t="s">
        <v>6</v>
      </c>
      <c r="C12" s="284">
        <v>2285866</v>
      </c>
      <c r="D12" s="284">
        <v>2096107</v>
      </c>
      <c r="E12" s="284">
        <v>2338259</v>
      </c>
      <c r="F12" s="284">
        <v>1896787</v>
      </c>
      <c r="G12" s="284">
        <v>2291525</v>
      </c>
      <c r="H12" s="284">
        <v>1824348</v>
      </c>
      <c r="I12" s="284">
        <v>2251564</v>
      </c>
      <c r="J12" s="284">
        <v>2304530</v>
      </c>
      <c r="K12" s="284">
        <v>2087205</v>
      </c>
      <c r="L12" s="284">
        <v>2426457</v>
      </c>
      <c r="M12" s="284">
        <v>1450269</v>
      </c>
      <c r="N12" s="284">
        <v>2229725</v>
      </c>
      <c r="O12" s="286">
        <f>SUM(C12:N12)</f>
        <v>25482642</v>
      </c>
      <c r="P12" s="319"/>
      <c r="Q12" s="84"/>
      <c r="R12" s="84"/>
    </row>
    <row r="13" spans="2:18" ht="18" hidden="1" customHeight="1" x14ac:dyDescent="0.2">
      <c r="B13" s="283" t="s">
        <v>8</v>
      </c>
      <c r="C13" s="284">
        <v>1722341</v>
      </c>
      <c r="D13" s="285">
        <v>1577369</v>
      </c>
      <c r="E13" s="285">
        <v>1704948</v>
      </c>
      <c r="F13" s="285">
        <v>1665157</v>
      </c>
      <c r="G13" s="285">
        <v>2101598</v>
      </c>
      <c r="H13" s="285">
        <v>1725794</v>
      </c>
      <c r="I13" s="285">
        <v>1170741</v>
      </c>
      <c r="J13" s="285">
        <v>1417432</v>
      </c>
      <c r="K13" s="285">
        <v>1489399</v>
      </c>
      <c r="L13" s="285">
        <v>1624734</v>
      </c>
      <c r="M13" s="285">
        <v>1882099</v>
      </c>
      <c r="N13" s="285">
        <v>2364512</v>
      </c>
      <c r="O13" s="286">
        <f>SUM(C13:N13)</f>
        <v>20446124</v>
      </c>
      <c r="P13" s="319"/>
      <c r="Q13" s="84"/>
      <c r="R13" s="84"/>
    </row>
    <row r="14" spans="2:18" ht="18" hidden="1" customHeight="1" x14ac:dyDescent="0.2">
      <c r="B14" s="283" t="s">
        <v>86</v>
      </c>
      <c r="C14" s="284">
        <v>12529</v>
      </c>
      <c r="D14" s="284">
        <v>838542</v>
      </c>
      <c r="E14" s="284">
        <v>15324</v>
      </c>
      <c r="F14" s="284">
        <v>16303</v>
      </c>
      <c r="G14" s="284">
        <v>8155</v>
      </c>
      <c r="H14" s="284">
        <v>37152</v>
      </c>
      <c r="I14" s="284">
        <v>5135</v>
      </c>
      <c r="J14" s="284">
        <v>6144</v>
      </c>
      <c r="K14" s="284">
        <v>14149</v>
      </c>
      <c r="L14" s="284">
        <v>12555</v>
      </c>
      <c r="M14" s="284">
        <v>32743</v>
      </c>
      <c r="N14" s="284">
        <v>16126</v>
      </c>
      <c r="O14" s="286">
        <f>SUM(C14:N14)</f>
        <v>1014857</v>
      </c>
      <c r="P14" s="319"/>
      <c r="Q14" s="84"/>
      <c r="R14" s="84"/>
    </row>
    <row r="15" spans="2:18" ht="18" hidden="1" customHeight="1" x14ac:dyDescent="0.2">
      <c r="B15" s="283" t="s">
        <v>92</v>
      </c>
      <c r="C15" s="194">
        <f>30822+21606+41806+106591+86066</f>
        <v>286891</v>
      </c>
      <c r="D15" s="194">
        <f>17082+30586+29462+86315+85649</f>
        <v>249094</v>
      </c>
      <c r="E15" s="194">
        <f>46554+21717+40242+95013+86953</f>
        <v>290479</v>
      </c>
      <c r="F15" s="194">
        <v>250191</v>
      </c>
      <c r="G15" s="194"/>
      <c r="H15" s="194"/>
      <c r="I15" s="194"/>
      <c r="J15" s="194"/>
      <c r="K15" s="194"/>
      <c r="L15" s="194"/>
      <c r="M15" s="194"/>
      <c r="N15" s="194"/>
      <c r="O15" s="287"/>
      <c r="P15" s="319"/>
      <c r="Q15" s="84"/>
      <c r="R15" s="84"/>
    </row>
    <row r="16" spans="2:18" ht="18" customHeight="1" x14ac:dyDescent="0.2">
      <c r="B16" s="288" t="s">
        <v>246</v>
      </c>
      <c r="C16" s="118">
        <f>SUM(C11:C15)</f>
        <v>18027854</v>
      </c>
      <c r="D16" s="289">
        <f t="shared" ref="D16:N16" si="10">SUM(D11:D15)</f>
        <v>13883556</v>
      </c>
      <c r="E16" s="289">
        <f t="shared" si="10"/>
        <v>14051908</v>
      </c>
      <c r="F16" s="289">
        <f t="shared" si="10"/>
        <v>12497500</v>
      </c>
      <c r="G16" s="289">
        <f t="shared" si="10"/>
        <v>12523536</v>
      </c>
      <c r="H16" s="289">
        <f t="shared" si="10"/>
        <v>10448070</v>
      </c>
      <c r="I16" s="289">
        <f t="shared" si="10"/>
        <v>12007003</v>
      </c>
      <c r="J16" s="289">
        <f t="shared" si="10"/>
        <v>11377206</v>
      </c>
      <c r="K16" s="289">
        <f t="shared" si="10"/>
        <v>10708328</v>
      </c>
      <c r="L16" s="289">
        <f t="shared" si="10"/>
        <v>11429767</v>
      </c>
      <c r="M16" s="289">
        <f t="shared" si="10"/>
        <v>12679966</v>
      </c>
      <c r="N16" s="289">
        <f t="shared" si="10"/>
        <v>14031285</v>
      </c>
      <c r="O16" s="290">
        <f>SUM(C16:N16)</f>
        <v>153665979</v>
      </c>
      <c r="P16" s="319"/>
      <c r="Q16" s="84"/>
      <c r="R16" s="84"/>
    </row>
    <row r="17" spans="2:18" ht="18" customHeight="1" x14ac:dyDescent="0.2">
      <c r="B17" s="283" t="s">
        <v>94</v>
      </c>
      <c r="C17" s="284"/>
      <c r="D17" s="284"/>
      <c r="E17" s="284"/>
      <c r="F17" s="284"/>
      <c r="G17" s="284"/>
      <c r="H17" s="284"/>
      <c r="I17" s="284"/>
      <c r="J17" s="284"/>
      <c r="K17" s="284"/>
      <c r="L17" s="284"/>
      <c r="M17" s="284"/>
      <c r="N17" s="284"/>
      <c r="O17" s="286"/>
      <c r="P17" s="319"/>
      <c r="Q17" s="84"/>
      <c r="R17" s="84"/>
    </row>
    <row r="18" spans="2:18" ht="18" customHeight="1" x14ac:dyDescent="0.2">
      <c r="B18" s="283" t="s">
        <v>247</v>
      </c>
      <c r="C18" s="284">
        <v>-86066</v>
      </c>
      <c r="D18" s="284">
        <v>-85649</v>
      </c>
      <c r="E18" s="284">
        <v>-86953</v>
      </c>
      <c r="F18" s="284">
        <v>-87115</v>
      </c>
      <c r="G18" s="284"/>
      <c r="H18" s="284"/>
      <c r="I18" s="284"/>
      <c r="J18" s="284"/>
      <c r="K18" s="284"/>
      <c r="L18" s="284"/>
      <c r="M18" s="284"/>
      <c r="N18" s="284"/>
      <c r="O18" s="286">
        <f>SUM(C18:N18)</f>
        <v>-345783</v>
      </c>
      <c r="P18" s="319"/>
      <c r="Q18" s="84"/>
      <c r="R18" s="84"/>
    </row>
    <row r="19" spans="2:18" ht="18" customHeight="1" x14ac:dyDescent="0.2">
      <c r="B19" s="283" t="s">
        <v>248</v>
      </c>
      <c r="C19" s="284">
        <v>14405</v>
      </c>
      <c r="D19" s="284">
        <v>14405</v>
      </c>
      <c r="E19" s="284">
        <v>14405</v>
      </c>
      <c r="F19" s="284">
        <v>-12083</v>
      </c>
      <c r="G19" s="284"/>
      <c r="H19" s="284"/>
      <c r="I19" s="284"/>
      <c r="J19" s="284"/>
      <c r="K19" s="284"/>
      <c r="L19" s="284"/>
      <c r="M19" s="284"/>
      <c r="N19" s="284"/>
      <c r="O19" s="286">
        <f>SUM(C19:N19)</f>
        <v>31132</v>
      </c>
      <c r="P19" s="319"/>
      <c r="Q19" s="84"/>
      <c r="R19" s="84"/>
    </row>
    <row r="20" spans="2:18" ht="18" customHeight="1" x14ac:dyDescent="0.2">
      <c r="B20" s="283" t="s">
        <v>85</v>
      </c>
      <c r="C20" s="77">
        <f>SUM(C16:C19)</f>
        <v>17956193</v>
      </c>
      <c r="D20" s="77">
        <f>SUM(D16:D19)</f>
        <v>13812312</v>
      </c>
      <c r="E20" s="77">
        <f t="shared" ref="E20:N20" si="11">SUM(E16:E19)</f>
        <v>13979360</v>
      </c>
      <c r="F20" s="77">
        <f t="shared" si="11"/>
        <v>12398302</v>
      </c>
      <c r="G20" s="77">
        <f t="shared" si="11"/>
        <v>12523536</v>
      </c>
      <c r="H20" s="77">
        <f t="shared" si="11"/>
        <v>10448070</v>
      </c>
      <c r="I20" s="77">
        <f t="shared" si="11"/>
        <v>12007003</v>
      </c>
      <c r="J20" s="77">
        <f t="shared" si="11"/>
        <v>11377206</v>
      </c>
      <c r="K20" s="77">
        <f t="shared" si="11"/>
        <v>10708328</v>
      </c>
      <c r="L20" s="77">
        <f t="shared" si="11"/>
        <v>11429767</v>
      </c>
      <c r="M20" s="77">
        <f t="shared" si="11"/>
        <v>12679966</v>
      </c>
      <c r="N20" s="77">
        <f t="shared" si="11"/>
        <v>14031285</v>
      </c>
      <c r="O20" s="122">
        <f>SUM(O16:O19)</f>
        <v>153351328</v>
      </c>
      <c r="P20" s="320"/>
      <c r="Q20" s="84"/>
      <c r="R20" s="84"/>
    </row>
    <row r="21" spans="2:18" ht="12" customHeight="1" x14ac:dyDescent="0.2">
      <c r="B21" s="283"/>
      <c r="C21" s="291"/>
      <c r="D21" s="291"/>
      <c r="E21" s="291"/>
      <c r="F21" s="291"/>
      <c r="G21" s="291"/>
      <c r="H21" s="291"/>
      <c r="I21" s="291"/>
      <c r="J21" s="291"/>
      <c r="K21" s="291"/>
      <c r="L21" s="291"/>
      <c r="M21" s="291"/>
      <c r="N21" s="291"/>
      <c r="O21" s="291"/>
    </row>
    <row r="22" spans="2:18" ht="18" customHeight="1" x14ac:dyDescent="0.2">
      <c r="B22" s="283" t="s">
        <v>249</v>
      </c>
      <c r="C22" s="285">
        <v>157290588</v>
      </c>
      <c r="D22" s="285">
        <v>156570639</v>
      </c>
      <c r="E22" s="285">
        <v>149540134</v>
      </c>
      <c r="F22" s="285">
        <v>122627811</v>
      </c>
      <c r="G22" s="285">
        <v>116581575</v>
      </c>
      <c r="H22" s="285">
        <v>111621411</v>
      </c>
      <c r="I22" s="285">
        <v>127831468</v>
      </c>
      <c r="J22" s="285">
        <v>119472733</v>
      </c>
      <c r="K22" s="285">
        <v>110544083</v>
      </c>
      <c r="L22" s="285">
        <v>116866554</v>
      </c>
      <c r="M22" s="285">
        <v>141105016</v>
      </c>
      <c r="N22" s="285">
        <v>156391595</v>
      </c>
      <c r="O22" s="286">
        <f>SUM(C22:N22)</f>
        <v>1586443607</v>
      </c>
      <c r="Q22" s="84"/>
      <c r="R22" s="84"/>
    </row>
    <row r="23" spans="2:18" ht="18" customHeight="1" x14ac:dyDescent="0.2">
      <c r="B23" s="283" t="s">
        <v>7</v>
      </c>
      <c r="C23" s="292">
        <v>9.2439999999999994E-2</v>
      </c>
      <c r="D23" s="292">
        <v>9.2439999999999994E-2</v>
      </c>
      <c r="E23" s="292">
        <v>9.2439999999999994E-2</v>
      </c>
      <c r="F23" s="292">
        <v>9.2439999999999994E-2</v>
      </c>
      <c r="G23" s="292">
        <v>9.0499999999999997E-2</v>
      </c>
      <c r="H23" s="292">
        <v>9.0499999999999997E-2</v>
      </c>
      <c r="I23" s="292">
        <v>9.0499999999999997E-2</v>
      </c>
      <c r="J23" s="292">
        <v>9.0499999999999997E-2</v>
      </c>
      <c r="K23" s="292">
        <v>9.0499999999999997E-2</v>
      </c>
      <c r="L23" s="292">
        <v>9.0499999999999997E-2</v>
      </c>
      <c r="M23" s="292">
        <v>9.0499999999999997E-2</v>
      </c>
      <c r="N23" s="292">
        <v>9.0499999999999997E-2</v>
      </c>
      <c r="O23" s="311">
        <f>+O24/O22</f>
        <v>9.1216632213501667E-2</v>
      </c>
      <c r="P23" s="321"/>
      <c r="Q23" s="322"/>
      <c r="R23" s="322"/>
    </row>
    <row r="24" spans="2:18" ht="18" customHeight="1" x14ac:dyDescent="0.2">
      <c r="B24" s="283" t="s">
        <v>4</v>
      </c>
      <c r="C24" s="80">
        <f>+C22*C23</f>
        <v>14539941.95472</v>
      </c>
      <c r="D24" s="80">
        <f t="shared" ref="D24:H24" si="12">+D22*D23</f>
        <v>14473389.869159998</v>
      </c>
      <c r="E24" s="80">
        <f t="shared" si="12"/>
        <v>13823489.986959999</v>
      </c>
      <c r="F24" s="80">
        <f t="shared" si="12"/>
        <v>11335714.84884</v>
      </c>
      <c r="G24" s="80">
        <f t="shared" si="12"/>
        <v>10550632.5375</v>
      </c>
      <c r="H24" s="80">
        <f t="shared" si="12"/>
        <v>10101737.695499999</v>
      </c>
      <c r="I24" s="80">
        <f>+I22*I23</f>
        <v>11568747.854</v>
      </c>
      <c r="J24" s="80">
        <f t="shared" ref="J24:M24" si="13">+J22*J23</f>
        <v>10812282.3365</v>
      </c>
      <c r="K24" s="80">
        <f t="shared" si="13"/>
        <v>10004239.511499999</v>
      </c>
      <c r="L24" s="80">
        <f t="shared" si="13"/>
        <v>10576423.137</v>
      </c>
      <c r="M24" s="80">
        <f t="shared" si="13"/>
        <v>12770003.947999999</v>
      </c>
      <c r="N24" s="80">
        <f>+N22*N23</f>
        <v>14153439.3475</v>
      </c>
      <c r="O24" s="80">
        <f>SUM(C24:N24)</f>
        <v>144710043.02717999</v>
      </c>
      <c r="Q24" s="323"/>
      <c r="R24" s="323"/>
    </row>
    <row r="25" spans="2:18" ht="6" customHeight="1" x14ac:dyDescent="0.2">
      <c r="B25" s="283"/>
      <c r="C25" s="293"/>
      <c r="D25" s="293"/>
      <c r="E25" s="293"/>
      <c r="F25" s="293"/>
      <c r="G25" s="293"/>
      <c r="H25" s="293"/>
      <c r="I25" s="293"/>
      <c r="J25" s="293"/>
      <c r="K25" s="293"/>
      <c r="L25" s="293"/>
      <c r="M25" s="293"/>
      <c r="N25" s="293"/>
      <c r="O25" s="293"/>
    </row>
    <row r="26" spans="2:18" ht="18" customHeight="1" thickBot="1" x14ac:dyDescent="0.25">
      <c r="B26" s="283" t="s">
        <v>95</v>
      </c>
      <c r="C26" s="294">
        <f>C20-C24</f>
        <v>3416251.0452800002</v>
      </c>
      <c r="D26" s="294">
        <f>D20-D24</f>
        <v>-661077.86915999837</v>
      </c>
      <c r="E26" s="294">
        <f t="shared" ref="E26:N26" si="14">E20-E24</f>
        <v>155870.01304000057</v>
      </c>
      <c r="F26" s="294">
        <f t="shared" si="14"/>
        <v>1062587.1511599999</v>
      </c>
      <c r="G26" s="294">
        <f t="shared" si="14"/>
        <v>1972903.4625000004</v>
      </c>
      <c r="H26" s="294">
        <f t="shared" si="14"/>
        <v>346332.30450000055</v>
      </c>
      <c r="I26" s="294">
        <f t="shared" si="14"/>
        <v>438255.14599999972</v>
      </c>
      <c r="J26" s="294">
        <f t="shared" si="14"/>
        <v>564923.66349999979</v>
      </c>
      <c r="K26" s="294">
        <f t="shared" si="14"/>
        <v>704088.48850000091</v>
      </c>
      <c r="L26" s="294">
        <f t="shared" si="14"/>
        <v>853343.8629999999</v>
      </c>
      <c r="M26" s="294">
        <f t="shared" si="14"/>
        <v>-90037.947999998927</v>
      </c>
      <c r="N26" s="294">
        <f t="shared" si="14"/>
        <v>-122154.34750000015</v>
      </c>
      <c r="O26" s="326">
        <f>+O20-O24</f>
        <v>8641284.9728200138</v>
      </c>
      <c r="P26" s="320"/>
      <c r="Q26" s="323"/>
      <c r="R26" s="323"/>
    </row>
    <row r="27" spans="2:18" ht="8.25" customHeight="1" thickTop="1" x14ac:dyDescent="0.2">
      <c r="B27" s="283"/>
      <c r="C27" s="291"/>
      <c r="D27" s="291"/>
      <c r="E27" s="291"/>
      <c r="F27" s="291"/>
      <c r="G27" s="291"/>
      <c r="H27" s="291"/>
      <c r="I27" s="291"/>
      <c r="J27" s="291"/>
      <c r="K27" s="291"/>
      <c r="L27" s="291"/>
      <c r="M27" s="291"/>
      <c r="N27" s="291"/>
      <c r="O27" s="291"/>
    </row>
    <row r="28" spans="2:18" hidden="1" x14ac:dyDescent="0.2">
      <c r="B28" s="283" t="s">
        <v>10</v>
      </c>
      <c r="C28" s="285">
        <v>0</v>
      </c>
      <c r="D28" s="285">
        <v>0</v>
      </c>
      <c r="E28" s="285">
        <v>0</v>
      </c>
      <c r="F28" s="285">
        <v>0</v>
      </c>
      <c r="G28" s="285">
        <v>0</v>
      </c>
      <c r="H28" s="285">
        <v>0</v>
      </c>
      <c r="I28" s="285">
        <v>0</v>
      </c>
      <c r="J28" s="285">
        <v>0</v>
      </c>
      <c r="K28" s="285">
        <v>0</v>
      </c>
      <c r="L28" s="285">
        <v>0</v>
      </c>
      <c r="M28" s="285">
        <v>0</v>
      </c>
      <c r="N28" s="285">
        <v>0</v>
      </c>
      <c r="O28" s="285">
        <f>+C28</f>
        <v>0</v>
      </c>
      <c r="Q28" s="323"/>
      <c r="R28" s="323"/>
    </row>
    <row r="29" spans="2:18" hidden="1" x14ac:dyDescent="0.2">
      <c r="B29" s="283" t="s">
        <v>11</v>
      </c>
      <c r="C29" s="246">
        <v>0</v>
      </c>
      <c r="D29" s="246">
        <v>0</v>
      </c>
      <c r="E29" s="246">
        <v>0</v>
      </c>
      <c r="F29" s="246">
        <v>0</v>
      </c>
      <c r="G29" s="246">
        <v>0</v>
      </c>
      <c r="H29" s="295">
        <v>0</v>
      </c>
      <c r="I29" s="246">
        <v>0</v>
      </c>
      <c r="J29" s="246">
        <v>0</v>
      </c>
      <c r="K29" s="246">
        <v>0</v>
      </c>
      <c r="L29" s="295">
        <v>0</v>
      </c>
      <c r="M29" s="246">
        <v>0</v>
      </c>
      <c r="N29" s="246">
        <v>0</v>
      </c>
      <c r="O29" s="295">
        <f>SUM(C29:N29)</f>
        <v>0</v>
      </c>
      <c r="Q29" s="323"/>
      <c r="R29" s="323"/>
    </row>
    <row r="30" spans="2:18" hidden="1" x14ac:dyDescent="0.2">
      <c r="B30" s="283" t="s">
        <v>12</v>
      </c>
      <c r="C30" s="285">
        <f>+C28+C29</f>
        <v>0</v>
      </c>
      <c r="D30" s="285">
        <f t="shared" ref="D30:O30" si="15">+D28+D29</f>
        <v>0</v>
      </c>
      <c r="E30" s="285">
        <f t="shared" si="15"/>
        <v>0</v>
      </c>
      <c r="F30" s="285">
        <f t="shared" si="15"/>
        <v>0</v>
      </c>
      <c r="G30" s="285">
        <f t="shared" si="15"/>
        <v>0</v>
      </c>
      <c r="H30" s="285">
        <f t="shared" si="15"/>
        <v>0</v>
      </c>
      <c r="I30" s="285">
        <f t="shared" si="15"/>
        <v>0</v>
      </c>
      <c r="J30" s="285">
        <f t="shared" si="15"/>
        <v>0</v>
      </c>
      <c r="K30" s="285">
        <f t="shared" si="15"/>
        <v>0</v>
      </c>
      <c r="L30" s="285">
        <f t="shared" si="15"/>
        <v>0</v>
      </c>
      <c r="M30" s="285">
        <f t="shared" si="15"/>
        <v>0</v>
      </c>
      <c r="N30" s="285">
        <f t="shared" si="15"/>
        <v>0</v>
      </c>
      <c r="O30" s="285">
        <f t="shared" si="15"/>
        <v>0</v>
      </c>
      <c r="Q30" s="323"/>
      <c r="R30" s="323"/>
    </row>
    <row r="31" spans="2:18" ht="7.5" customHeight="1" x14ac:dyDescent="0.2">
      <c r="B31" s="283"/>
      <c r="C31" s="285"/>
      <c r="D31" s="285"/>
      <c r="E31" s="285"/>
      <c r="F31" s="285"/>
      <c r="G31" s="285"/>
      <c r="H31" s="285"/>
      <c r="I31" s="285"/>
      <c r="J31" s="285"/>
      <c r="K31" s="285"/>
      <c r="L31" s="285"/>
      <c r="M31" s="285"/>
      <c r="N31" s="285"/>
      <c r="O31" s="285"/>
      <c r="Q31" s="323"/>
      <c r="R31" s="323"/>
    </row>
    <row r="32" spans="2:18" ht="18" customHeight="1" x14ac:dyDescent="0.2">
      <c r="B32" s="283" t="s">
        <v>87</v>
      </c>
      <c r="C32" s="284">
        <v>11655299</v>
      </c>
      <c r="D32" s="286">
        <f t="shared" ref="D32:N32" si="16">C35</f>
        <v>14501150.753860001</v>
      </c>
      <c r="E32" s="286">
        <f t="shared" si="16"/>
        <v>13243314.083440002</v>
      </c>
      <c r="F32" s="286">
        <f t="shared" si="16"/>
        <v>12838636.888400003</v>
      </c>
      <c r="G32" s="286">
        <f t="shared" si="16"/>
        <v>13365230.151300004</v>
      </c>
      <c r="H32" s="286">
        <f t="shared" si="16"/>
        <v>14727209.662940003</v>
      </c>
      <c r="I32" s="286">
        <f t="shared" si="16"/>
        <v>14445600.668300003</v>
      </c>
      <c r="J32" s="286">
        <f t="shared" si="16"/>
        <v>14228963.400670003</v>
      </c>
      <c r="K32" s="286">
        <f t="shared" si="16"/>
        <v>14111519.326050002</v>
      </c>
      <c r="L32" s="286">
        <f t="shared" si="16"/>
        <v>14174923.865590002</v>
      </c>
      <c r="M32" s="286">
        <f t="shared" si="16"/>
        <v>14249406.195350002</v>
      </c>
      <c r="N32" s="286">
        <f t="shared" si="16"/>
        <v>13090460.930590004</v>
      </c>
      <c r="O32" s="286">
        <f>+C32</f>
        <v>11655299</v>
      </c>
      <c r="Q32" s="84"/>
      <c r="R32" s="84"/>
    </row>
    <row r="33" spans="2:18" ht="18" customHeight="1" x14ac:dyDescent="0.2">
      <c r="B33" s="283" t="s">
        <v>13</v>
      </c>
      <c r="C33" s="286">
        <f>C26</f>
        <v>3416251.0452800002</v>
      </c>
      <c r="D33" s="286">
        <f t="shared" ref="D33:N33" si="17">D26</f>
        <v>-661077.86915999837</v>
      </c>
      <c r="E33" s="286">
        <f t="shared" si="17"/>
        <v>155870.01304000057</v>
      </c>
      <c r="F33" s="286">
        <f t="shared" si="17"/>
        <v>1062587.1511599999</v>
      </c>
      <c r="G33" s="286">
        <f t="shared" si="17"/>
        <v>1972903.4625000004</v>
      </c>
      <c r="H33" s="286">
        <f t="shared" si="17"/>
        <v>346332.30450000055</v>
      </c>
      <c r="I33" s="286">
        <f t="shared" si="17"/>
        <v>438255.14599999972</v>
      </c>
      <c r="J33" s="286">
        <f t="shared" si="17"/>
        <v>564923.66349999979</v>
      </c>
      <c r="K33" s="286">
        <f t="shared" si="17"/>
        <v>704088.48850000091</v>
      </c>
      <c r="L33" s="286">
        <f t="shared" si="17"/>
        <v>853343.8629999999</v>
      </c>
      <c r="M33" s="286">
        <f t="shared" si="17"/>
        <v>-90037.947999998927</v>
      </c>
      <c r="N33" s="286">
        <f t="shared" si="17"/>
        <v>-122154.34750000015</v>
      </c>
      <c r="O33" s="286">
        <f>SUM(C33:N33)</f>
        <v>8641284.9728200044</v>
      </c>
      <c r="P33" s="70"/>
      <c r="Q33" s="320"/>
      <c r="R33" s="320"/>
    </row>
    <row r="34" spans="2:18" ht="18" customHeight="1" x14ac:dyDescent="0.2">
      <c r="B34" s="283" t="s">
        <v>14</v>
      </c>
      <c r="C34" s="295">
        <f>-C41</f>
        <v>-570399.29142000002</v>
      </c>
      <c r="D34" s="295">
        <f t="shared" ref="D34:N34" si="18">-D41</f>
        <v>-596758.80125999998</v>
      </c>
      <c r="E34" s="295">
        <f t="shared" si="18"/>
        <v>-560547.20808000001</v>
      </c>
      <c r="F34" s="295">
        <f t="shared" si="18"/>
        <v>-535993.88826000004</v>
      </c>
      <c r="G34" s="295">
        <f t="shared" si="18"/>
        <v>-610923.95086000033</v>
      </c>
      <c r="H34" s="295">
        <f t="shared" si="18"/>
        <v>-627941.29914000002</v>
      </c>
      <c r="I34" s="295">
        <f t="shared" si="18"/>
        <v>-654892.41363000008</v>
      </c>
      <c r="J34" s="295">
        <f t="shared" si="18"/>
        <v>-682367.73811999999</v>
      </c>
      <c r="K34" s="295">
        <f t="shared" si="18"/>
        <v>-640683.94896000007</v>
      </c>
      <c r="L34" s="295">
        <f t="shared" si="18"/>
        <v>-778861.53324000048</v>
      </c>
      <c r="M34" s="295">
        <f t="shared" si="18"/>
        <v>-1068907.3167600001</v>
      </c>
      <c r="N34" s="295">
        <f t="shared" si="18"/>
        <v>-1282075.3954</v>
      </c>
      <c r="O34" s="287">
        <f>SUM(C34:N34)</f>
        <v>-8610352.7851300016</v>
      </c>
      <c r="P34" s="70"/>
      <c r="Q34" s="320"/>
      <c r="R34" s="320"/>
    </row>
    <row r="35" spans="2:18" ht="18" customHeight="1" x14ac:dyDescent="0.2">
      <c r="B35" s="283" t="s">
        <v>88</v>
      </c>
      <c r="C35" s="80">
        <f>SUM(C32:C34)</f>
        <v>14501150.753860001</v>
      </c>
      <c r="D35" s="80">
        <f>SUM(D32:D34)</f>
        <v>13243314.083440002</v>
      </c>
      <c r="E35" s="80">
        <f t="shared" ref="E35:O35" si="19">SUM(E32:E34)</f>
        <v>12838636.888400003</v>
      </c>
      <c r="F35" s="80">
        <f>SUM(F32:F34)</f>
        <v>13365230.151300004</v>
      </c>
      <c r="G35" s="80">
        <f t="shared" si="19"/>
        <v>14727209.662940003</v>
      </c>
      <c r="H35" s="80">
        <f t="shared" si="19"/>
        <v>14445600.668300003</v>
      </c>
      <c r="I35" s="80">
        <f t="shared" si="19"/>
        <v>14228963.400670003</v>
      </c>
      <c r="J35" s="80">
        <f t="shared" si="19"/>
        <v>14111519.326050002</v>
      </c>
      <c r="K35" s="80">
        <f t="shared" si="19"/>
        <v>14174923.865590002</v>
      </c>
      <c r="L35" s="80">
        <f t="shared" si="19"/>
        <v>14249406.195350002</v>
      </c>
      <c r="M35" s="80">
        <f t="shared" si="19"/>
        <v>13090460.930590004</v>
      </c>
      <c r="N35" s="80">
        <f t="shared" si="19"/>
        <v>11686231.187690003</v>
      </c>
      <c r="O35" s="309">
        <f t="shared" si="19"/>
        <v>11686231.187690005</v>
      </c>
      <c r="P35" s="320"/>
      <c r="Q35" s="323"/>
      <c r="R35" s="323"/>
    </row>
    <row r="36" spans="2:18" ht="18" hidden="1" customHeight="1" thickBot="1" x14ac:dyDescent="0.25">
      <c r="B36" s="296" t="s">
        <v>15</v>
      </c>
      <c r="C36" s="297">
        <f>+C30+C35</f>
        <v>14501150.753860001</v>
      </c>
      <c r="D36" s="297">
        <f>+D30+D35</f>
        <v>13243314.083440002</v>
      </c>
      <c r="E36" s="297">
        <f t="shared" ref="E36:O36" si="20">+E30+E35</f>
        <v>12838636.888400003</v>
      </c>
      <c r="F36" s="297">
        <f t="shared" si="20"/>
        <v>13365230.151300004</v>
      </c>
      <c r="G36" s="297">
        <f t="shared" si="20"/>
        <v>14727209.662940003</v>
      </c>
      <c r="H36" s="297">
        <f t="shared" si="20"/>
        <v>14445600.668300003</v>
      </c>
      <c r="I36" s="297">
        <f t="shared" si="20"/>
        <v>14228963.400670003</v>
      </c>
      <c r="J36" s="297">
        <f t="shared" si="20"/>
        <v>14111519.326050002</v>
      </c>
      <c r="K36" s="297">
        <f t="shared" si="20"/>
        <v>14174923.865590002</v>
      </c>
      <c r="L36" s="297">
        <f t="shared" si="20"/>
        <v>14249406.195350002</v>
      </c>
      <c r="M36" s="297">
        <f t="shared" si="20"/>
        <v>13090460.930590004</v>
      </c>
      <c r="N36" s="297">
        <f t="shared" si="20"/>
        <v>11686231.187690003</v>
      </c>
      <c r="O36" s="297">
        <f t="shared" si="20"/>
        <v>11686231.187690005</v>
      </c>
      <c r="Q36" s="84"/>
      <c r="R36" s="84"/>
    </row>
    <row r="37" spans="2:18" ht="12" customHeight="1" x14ac:dyDescent="0.2">
      <c r="B37" s="283"/>
      <c r="C37" s="285"/>
      <c r="D37" s="285"/>
      <c r="E37" s="285"/>
      <c r="F37" s="285"/>
      <c r="G37" s="285"/>
      <c r="H37" s="285"/>
      <c r="I37" s="285"/>
      <c r="J37" s="285"/>
      <c r="K37" s="285"/>
      <c r="L37" s="285"/>
      <c r="M37" s="291"/>
      <c r="N37" s="291"/>
      <c r="O37" s="291"/>
    </row>
    <row r="38" spans="2:18" ht="18" customHeight="1" x14ac:dyDescent="0.2">
      <c r="B38" s="298" t="s">
        <v>14</v>
      </c>
      <c r="C38" s="285"/>
      <c r="D38" s="285"/>
      <c r="E38" s="285"/>
      <c r="F38" s="285"/>
      <c r="G38" s="285"/>
      <c r="H38" s="285"/>
      <c r="I38" s="285"/>
      <c r="J38" s="285"/>
      <c r="K38" s="285"/>
      <c r="L38" s="285"/>
      <c r="M38" s="291"/>
      <c r="N38" s="291"/>
      <c r="O38" s="291"/>
    </row>
    <row r="39" spans="2:18" ht="18" customHeight="1" x14ac:dyDescent="0.2">
      <c r="B39" s="283" t="s">
        <v>250</v>
      </c>
      <c r="C39" s="285">
        <v>141890371</v>
      </c>
      <c r="D39" s="285">
        <v>148447463</v>
      </c>
      <c r="E39" s="285">
        <v>139439604</v>
      </c>
      <c r="F39" s="285">
        <v>133331813</v>
      </c>
      <c r="G39" s="285">
        <v>114119479</v>
      </c>
      <c r="H39" s="285">
        <v>106611426</v>
      </c>
      <c r="I39" s="284">
        <v>111187167</v>
      </c>
      <c r="J39" s="285">
        <v>115851908</v>
      </c>
      <c r="K39" s="285">
        <v>108774864</v>
      </c>
      <c r="L39" s="285">
        <v>103690120</v>
      </c>
      <c r="M39" s="285">
        <v>116312004</v>
      </c>
      <c r="N39" s="285">
        <v>139507660</v>
      </c>
      <c r="O39" s="286">
        <f>SUM(C39:N39)</f>
        <v>1479163879</v>
      </c>
      <c r="P39" s="70"/>
      <c r="Q39" s="320"/>
      <c r="R39" s="320"/>
    </row>
    <row r="40" spans="2:18" ht="18" customHeight="1" x14ac:dyDescent="0.2">
      <c r="B40" s="283" t="s">
        <v>34</v>
      </c>
      <c r="C40" s="299">
        <v>4.0200000000000001E-3</v>
      </c>
      <c r="D40" s="299">
        <v>4.0200000000000001E-3</v>
      </c>
      <c r="E40" s="299">
        <v>4.0200000000000001E-3</v>
      </c>
      <c r="F40" s="299">
        <v>4.0200000000000001E-3</v>
      </c>
      <c r="G40" s="299">
        <v>5.3533713631833202E-3</v>
      </c>
      <c r="H40" s="299">
        <v>5.8900000000000003E-3</v>
      </c>
      <c r="I40" s="299">
        <v>5.8900000000000003E-3</v>
      </c>
      <c r="J40" s="299">
        <v>5.8900000000000003E-3</v>
      </c>
      <c r="K40" s="299">
        <v>5.8900000000000003E-3</v>
      </c>
      <c r="L40" s="299">
        <v>7.5114343896988496E-3</v>
      </c>
      <c r="M40" s="299">
        <v>9.1900000000000003E-3</v>
      </c>
      <c r="N40" s="299">
        <v>9.1900000000000003E-3</v>
      </c>
      <c r="O40" s="299">
        <f>+O41/O39</f>
        <v>5.8210945435951938E-3</v>
      </c>
    </row>
    <row r="41" spans="2:18" ht="18" customHeight="1" x14ac:dyDescent="0.2">
      <c r="B41" s="300" t="str">
        <f>+B35</f>
        <v>Balance ECAM Effective for Rates</v>
      </c>
      <c r="C41" s="80">
        <f>+C39*C40</f>
        <v>570399.29142000002</v>
      </c>
      <c r="D41" s="80">
        <f t="shared" ref="D41:L41" si="21">+D39*D40</f>
        <v>596758.80125999998</v>
      </c>
      <c r="E41" s="80">
        <f t="shared" si="21"/>
        <v>560547.20808000001</v>
      </c>
      <c r="F41" s="80">
        <f t="shared" si="21"/>
        <v>535993.88826000004</v>
      </c>
      <c r="G41" s="80">
        <f t="shared" si="21"/>
        <v>610923.95086000033</v>
      </c>
      <c r="H41" s="80">
        <f t="shared" si="21"/>
        <v>627941.29914000002</v>
      </c>
      <c r="I41" s="80">
        <f t="shared" si="21"/>
        <v>654892.41363000008</v>
      </c>
      <c r="J41" s="80">
        <f t="shared" si="21"/>
        <v>682367.73811999999</v>
      </c>
      <c r="K41" s="80">
        <f t="shared" si="21"/>
        <v>640683.94896000007</v>
      </c>
      <c r="L41" s="80">
        <f t="shared" si="21"/>
        <v>778861.53324000048</v>
      </c>
      <c r="M41" s="80">
        <f>+M39*M40</f>
        <v>1068907.3167600001</v>
      </c>
      <c r="N41" s="80">
        <f>+N39*N40</f>
        <v>1282075.3954</v>
      </c>
      <c r="O41" s="122">
        <f>SUM(C41:N41)</f>
        <v>8610352.7851300016</v>
      </c>
      <c r="P41" s="324"/>
    </row>
    <row r="42" spans="2:18" ht="16.899999999999999" customHeight="1" x14ac:dyDescent="0.2">
      <c r="B42" s="277"/>
      <c r="C42" s="301"/>
      <c r="D42" s="301"/>
      <c r="E42" s="301"/>
      <c r="F42" s="301"/>
      <c r="G42" s="301"/>
      <c r="H42" s="301"/>
      <c r="I42" s="301"/>
      <c r="J42" s="301"/>
      <c r="K42" s="301"/>
      <c r="L42" s="301"/>
      <c r="M42" s="301"/>
      <c r="N42" s="301"/>
    </row>
    <row r="43" spans="2:18" ht="36" customHeight="1" x14ac:dyDescent="0.2">
      <c r="B43" s="329" t="s">
        <v>89</v>
      </c>
      <c r="C43" s="330"/>
      <c r="D43" s="330"/>
      <c r="E43" s="330"/>
      <c r="F43" s="330"/>
      <c r="G43" s="330"/>
      <c r="H43" s="330"/>
      <c r="I43" s="330"/>
      <c r="J43" s="330"/>
      <c r="K43" s="330"/>
      <c r="L43" s="330"/>
      <c r="M43" s="330"/>
      <c r="N43" s="330"/>
      <c r="O43" s="331"/>
    </row>
    <row r="44" spans="2:18" ht="9" hidden="1" customHeight="1" x14ac:dyDescent="0.2">
      <c r="B44" s="332"/>
      <c r="C44" s="333"/>
      <c r="D44" s="333"/>
      <c r="E44" s="333"/>
      <c r="F44" s="333"/>
      <c r="G44" s="333"/>
      <c r="H44" s="333"/>
      <c r="I44" s="333"/>
      <c r="J44" s="333"/>
      <c r="K44" s="333"/>
      <c r="L44" s="333"/>
      <c r="M44" s="333"/>
      <c r="N44" s="333"/>
      <c r="O44" s="334"/>
    </row>
    <row r="45" spans="2:18" ht="9.75" hidden="1" customHeight="1" x14ac:dyDescent="0.2">
      <c r="B45" s="278"/>
      <c r="O45" s="279"/>
    </row>
    <row r="46" spans="2:18" ht="9.75" hidden="1" customHeight="1" x14ac:dyDescent="0.2">
      <c r="B46" s="278"/>
      <c r="O46" s="279"/>
    </row>
    <row r="47" spans="2:18" hidden="1" x14ac:dyDescent="0.2">
      <c r="B47" s="278"/>
      <c r="O47" s="279"/>
    </row>
    <row r="48" spans="2:18" hidden="1" x14ac:dyDescent="0.2">
      <c r="B48" s="278"/>
      <c r="O48" s="279"/>
    </row>
    <row r="49" spans="2:19" hidden="1" x14ac:dyDescent="0.2">
      <c r="B49" s="278"/>
      <c r="O49" s="279"/>
    </row>
    <row r="50" spans="2:19" hidden="1" x14ac:dyDescent="0.2">
      <c r="B50" s="278"/>
      <c r="C50" s="333" t="s">
        <v>17</v>
      </c>
      <c r="D50" s="333"/>
      <c r="E50" s="333"/>
      <c r="F50" s="333"/>
      <c r="G50" s="333"/>
      <c r="H50" s="333"/>
      <c r="I50" s="333"/>
      <c r="J50" s="333"/>
      <c r="K50" s="333"/>
      <c r="L50" s="333"/>
      <c r="M50" s="333"/>
      <c r="N50" s="333"/>
      <c r="O50" s="334"/>
    </row>
    <row r="51" spans="2:19" s="282" customFormat="1" ht="24" customHeight="1" x14ac:dyDescent="0.2">
      <c r="B51" s="280" t="s">
        <v>16</v>
      </c>
      <c r="C51" s="281">
        <v>45322</v>
      </c>
      <c r="D51" s="281">
        <f>+C51+28</f>
        <v>45350</v>
      </c>
      <c r="E51" s="281">
        <f t="shared" ref="E51" si="22">+D51+29</f>
        <v>45379</v>
      </c>
      <c r="F51" s="281">
        <f t="shared" ref="F51" si="23">+E51+29</f>
        <v>45408</v>
      </c>
      <c r="G51" s="281">
        <f t="shared" ref="G51" si="24">+F51+29</f>
        <v>45437</v>
      </c>
      <c r="H51" s="281">
        <f t="shared" ref="H51" si="25">+G51+29</f>
        <v>45466</v>
      </c>
      <c r="I51" s="281">
        <f t="shared" ref="I51" si="26">+H51+29</f>
        <v>45495</v>
      </c>
      <c r="J51" s="281">
        <f t="shared" ref="J51" si="27">+I51+29</f>
        <v>45524</v>
      </c>
      <c r="K51" s="281">
        <f t="shared" ref="K51" si="28">+J51+29</f>
        <v>45553</v>
      </c>
      <c r="L51" s="281">
        <f t="shared" ref="L51" si="29">+K51+29</f>
        <v>45582</v>
      </c>
      <c r="M51" s="281">
        <f t="shared" ref="M51" si="30">+L51+29</f>
        <v>45611</v>
      </c>
      <c r="N51" s="281">
        <f t="shared" ref="N51" si="31">+M51+29</f>
        <v>45640</v>
      </c>
      <c r="O51" s="281" t="s">
        <v>35</v>
      </c>
      <c r="P51" s="319"/>
      <c r="Q51" s="277"/>
      <c r="R51" s="277"/>
    </row>
    <row r="52" spans="2:19" ht="18" hidden="1" customHeight="1" x14ac:dyDescent="0.2">
      <c r="B52" s="283" t="s">
        <v>5</v>
      </c>
      <c r="C52" s="285">
        <v>12129897</v>
      </c>
      <c r="D52" s="285">
        <v>10503351</v>
      </c>
      <c r="E52" s="285">
        <v>9717983</v>
      </c>
      <c r="F52" s="285">
        <v>9098368</v>
      </c>
      <c r="G52" s="285">
        <v>9157155</v>
      </c>
      <c r="H52" s="285">
        <v>8534028</v>
      </c>
      <c r="I52" s="285">
        <v>9810703</v>
      </c>
      <c r="J52" s="285">
        <v>9848917</v>
      </c>
      <c r="K52" s="285">
        <v>8403006</v>
      </c>
      <c r="L52" s="285">
        <v>9205727</v>
      </c>
      <c r="M52" s="285">
        <v>10089592</v>
      </c>
      <c r="N52" s="285">
        <v>12657115</v>
      </c>
      <c r="O52" s="286">
        <f>SUM(C52:N52)</f>
        <v>119155842</v>
      </c>
      <c r="P52" s="319"/>
      <c r="Q52" s="84"/>
      <c r="R52" s="84"/>
    </row>
    <row r="53" spans="2:19" ht="18" hidden="1" customHeight="1" x14ac:dyDescent="0.2">
      <c r="B53" s="283" t="s">
        <v>6</v>
      </c>
      <c r="C53" s="284">
        <v>1925290</v>
      </c>
      <c r="D53" s="284">
        <v>2146790</v>
      </c>
      <c r="E53" s="284">
        <v>2297402</v>
      </c>
      <c r="F53" s="284">
        <v>962093</v>
      </c>
      <c r="G53" s="284">
        <v>1821027</v>
      </c>
      <c r="H53" s="284">
        <v>1985814</v>
      </c>
      <c r="I53" s="284">
        <v>1764662</v>
      </c>
      <c r="J53" s="284">
        <v>1601392</v>
      </c>
      <c r="K53" s="284">
        <v>2440797</v>
      </c>
      <c r="L53" s="284">
        <v>3729057</v>
      </c>
      <c r="M53" s="284">
        <v>2564852</v>
      </c>
      <c r="N53" s="284">
        <v>2456161</v>
      </c>
      <c r="O53" s="286">
        <f>SUM(C53:N53)</f>
        <v>25695337</v>
      </c>
      <c r="P53" s="319"/>
      <c r="Q53" s="84"/>
      <c r="R53" s="84"/>
    </row>
    <row r="54" spans="2:19" ht="18" hidden="1" customHeight="1" x14ac:dyDescent="0.2">
      <c r="B54" s="283" t="s">
        <v>8</v>
      </c>
      <c r="C54" s="285">
        <v>2054937</v>
      </c>
      <c r="D54" s="285">
        <v>2037078</v>
      </c>
      <c r="E54" s="285">
        <v>2228434</v>
      </c>
      <c r="F54" s="285">
        <v>2325856</v>
      </c>
      <c r="G54" s="285">
        <v>1881274</v>
      </c>
      <c r="H54" s="285">
        <v>2134752</v>
      </c>
      <c r="I54" s="285">
        <v>2174439</v>
      </c>
      <c r="J54" s="285">
        <v>1792805</v>
      </c>
      <c r="K54" s="285">
        <v>2196396</v>
      </c>
      <c r="L54" s="285">
        <v>2526411</v>
      </c>
      <c r="M54" s="285">
        <v>3173698</v>
      </c>
      <c r="N54" s="285">
        <v>2404938</v>
      </c>
      <c r="O54" s="286">
        <f>SUM(C54:N54)</f>
        <v>26931018</v>
      </c>
      <c r="P54" s="325"/>
      <c r="Q54" s="320"/>
      <c r="R54" s="320"/>
      <c r="S54" s="320"/>
    </row>
    <row r="55" spans="2:19" ht="18" hidden="1" customHeight="1" x14ac:dyDescent="0.2">
      <c r="B55" s="283" t="s">
        <v>86</v>
      </c>
      <c r="C55" s="284">
        <v>49732</v>
      </c>
      <c r="D55" s="284">
        <v>79447</v>
      </c>
      <c r="E55" s="284">
        <v>39172</v>
      </c>
      <c r="F55" s="284">
        <v>46744</v>
      </c>
      <c r="G55" s="284">
        <v>11469</v>
      </c>
      <c r="H55" s="284">
        <v>18276</v>
      </c>
      <c r="I55" s="302" t="s">
        <v>91</v>
      </c>
      <c r="J55" s="284">
        <v>52920</v>
      </c>
      <c r="K55" s="284">
        <v>13769</v>
      </c>
      <c r="L55" s="284">
        <v>11951</v>
      </c>
      <c r="M55" s="284">
        <v>152408</v>
      </c>
      <c r="N55" s="284">
        <v>205706</v>
      </c>
      <c r="O55" s="286">
        <f>SUM(C55:N55)</f>
        <v>681594</v>
      </c>
      <c r="P55" s="319"/>
      <c r="Q55" s="84"/>
      <c r="R55" s="84"/>
    </row>
    <row r="56" spans="2:19" ht="18" customHeight="1" x14ac:dyDescent="0.2">
      <c r="B56" s="283" t="s">
        <v>251</v>
      </c>
      <c r="C56" s="116">
        <f t="shared" ref="C56:O56" si="32">SUM(C52:C55)</f>
        <v>16159856</v>
      </c>
      <c r="D56" s="116">
        <f t="shared" si="32"/>
        <v>14766666</v>
      </c>
      <c r="E56" s="116">
        <f>SUM(E52:E55)</f>
        <v>14282991</v>
      </c>
      <c r="F56" s="116">
        <f t="shared" si="32"/>
        <v>12433061</v>
      </c>
      <c r="G56" s="116">
        <f t="shared" si="32"/>
        <v>12870925</v>
      </c>
      <c r="H56" s="116">
        <f t="shared" si="32"/>
        <v>12672870</v>
      </c>
      <c r="I56" s="116">
        <f t="shared" si="32"/>
        <v>13749804</v>
      </c>
      <c r="J56" s="116">
        <f>SUM(J52:J55)</f>
        <v>13296034</v>
      </c>
      <c r="K56" s="116">
        <f t="shared" si="32"/>
        <v>13053968</v>
      </c>
      <c r="L56" s="116">
        <f t="shared" si="32"/>
        <v>15473146</v>
      </c>
      <c r="M56" s="116">
        <f t="shared" si="32"/>
        <v>15980550</v>
      </c>
      <c r="N56" s="116">
        <f t="shared" si="32"/>
        <v>17723920</v>
      </c>
      <c r="O56" s="327">
        <f t="shared" si="32"/>
        <v>172463791</v>
      </c>
      <c r="P56" s="70"/>
      <c r="Q56" s="320"/>
      <c r="R56" s="320"/>
    </row>
    <row r="57" spans="2:19" x14ac:dyDescent="0.2">
      <c r="B57" s="288"/>
      <c r="C57" s="278"/>
      <c r="D57" s="278"/>
      <c r="E57" s="278"/>
      <c r="F57" s="278"/>
      <c r="G57" s="278"/>
      <c r="H57" s="278"/>
      <c r="I57" s="278"/>
      <c r="J57" s="278"/>
      <c r="K57" s="278"/>
      <c r="L57" s="278"/>
      <c r="M57" s="278"/>
      <c r="N57" s="278"/>
      <c r="O57" s="291"/>
    </row>
    <row r="58" spans="2:19" ht="18" customHeight="1" x14ac:dyDescent="0.2">
      <c r="B58" s="283" t="s">
        <v>249</v>
      </c>
      <c r="C58" s="285">
        <v>177222700</v>
      </c>
      <c r="D58" s="285">
        <v>158341233</v>
      </c>
      <c r="E58" s="285">
        <v>149459808</v>
      </c>
      <c r="F58" s="285">
        <v>127269637</v>
      </c>
      <c r="G58" s="285">
        <v>117273204</v>
      </c>
      <c r="H58" s="285">
        <v>112476672</v>
      </c>
      <c r="I58" s="285">
        <v>126718458</v>
      </c>
      <c r="J58" s="285">
        <v>127508409</v>
      </c>
      <c r="K58" s="285">
        <v>108840060</v>
      </c>
      <c r="L58" s="285">
        <v>123178345</v>
      </c>
      <c r="M58" s="285">
        <v>136250602</v>
      </c>
      <c r="N58" s="285">
        <v>170413591</v>
      </c>
      <c r="O58" s="286">
        <f>SUM(C58:N58)</f>
        <v>1634952719</v>
      </c>
      <c r="Q58" s="84"/>
      <c r="R58" s="84"/>
    </row>
    <row r="59" spans="2:19" ht="18" customHeight="1" x14ac:dyDescent="0.2">
      <c r="B59" s="283" t="s">
        <v>7</v>
      </c>
      <c r="C59" s="292">
        <v>9.0499999999999997E-2</v>
      </c>
      <c r="D59" s="292">
        <v>9.0499999999999997E-2</v>
      </c>
      <c r="E59" s="292">
        <v>9.4399999999999998E-2</v>
      </c>
      <c r="F59" s="292">
        <v>9.4399999999999998E-2</v>
      </c>
      <c r="G59" s="292">
        <v>9.4399999999999998E-2</v>
      </c>
      <c r="H59" s="292">
        <v>9.4399999999999998E-2</v>
      </c>
      <c r="I59" s="292">
        <v>9.4399999999999998E-2</v>
      </c>
      <c r="J59" s="292">
        <v>9.4399999999999998E-2</v>
      </c>
      <c r="K59" s="292">
        <v>9.4399999999999998E-2</v>
      </c>
      <c r="L59" s="292">
        <v>9.4399999999999998E-2</v>
      </c>
      <c r="M59" s="292">
        <v>9.4399999999999998E-2</v>
      </c>
      <c r="N59" s="292">
        <v>9.4399999999999998E-2</v>
      </c>
      <c r="O59" s="303">
        <f>+O60/O58</f>
        <v>9.359954912243551E-2</v>
      </c>
      <c r="Q59" s="322"/>
      <c r="R59" s="322"/>
    </row>
    <row r="60" spans="2:19" ht="18" customHeight="1" x14ac:dyDescent="0.2">
      <c r="B60" s="283" t="s">
        <v>4</v>
      </c>
      <c r="C60" s="304">
        <f>+C58*C59</f>
        <v>16038654.35</v>
      </c>
      <c r="D60" s="304">
        <f>+D58*D59</f>
        <v>14329881.5865</v>
      </c>
      <c r="E60" s="304">
        <f>+E58*E59</f>
        <v>14109005.8752</v>
      </c>
      <c r="F60" s="304">
        <f t="shared" ref="F60:H60" si="33">+F58*F59</f>
        <v>12014253.732799999</v>
      </c>
      <c r="G60" s="304">
        <f>+G58*G59</f>
        <v>11070590.457599999</v>
      </c>
      <c r="H60" s="304">
        <f t="shared" si="33"/>
        <v>10617797.8368</v>
      </c>
      <c r="I60" s="304">
        <f>+I58*I59</f>
        <v>11962222.4352</v>
      </c>
      <c r="J60" s="304">
        <f t="shared" ref="J60:M60" si="34">+J58*J59</f>
        <v>12036793.809599999</v>
      </c>
      <c r="K60" s="304">
        <f t="shared" si="34"/>
        <v>10274501.663999999</v>
      </c>
      <c r="L60" s="304">
        <f t="shared" si="34"/>
        <v>11628035.767999999</v>
      </c>
      <c r="M60" s="304">
        <f t="shared" si="34"/>
        <v>12862056.8288</v>
      </c>
      <c r="N60" s="305">
        <f>+N58*N59</f>
        <v>16087042.9904</v>
      </c>
      <c r="O60" s="304">
        <f>SUM(C60:N60)</f>
        <v>153030837.33489999</v>
      </c>
      <c r="Q60" s="323"/>
      <c r="R60" s="323"/>
    </row>
    <row r="61" spans="2:19" ht="9" customHeight="1" x14ac:dyDescent="0.2">
      <c r="B61" s="288"/>
      <c r="C61" s="306"/>
      <c r="D61" s="306"/>
      <c r="E61" s="306"/>
      <c r="F61" s="306"/>
      <c r="G61" s="306"/>
      <c r="H61" s="306"/>
      <c r="I61" s="306"/>
      <c r="J61" s="306"/>
      <c r="K61" s="306"/>
      <c r="L61" s="306"/>
      <c r="M61" s="306"/>
      <c r="N61" s="306"/>
      <c r="O61" s="291"/>
    </row>
    <row r="62" spans="2:19" ht="18" customHeight="1" thickBot="1" x14ac:dyDescent="0.25">
      <c r="B62" s="283" t="s">
        <v>9</v>
      </c>
      <c r="C62" s="294">
        <f>C56-C60</f>
        <v>121201.65000000037</v>
      </c>
      <c r="D62" s="294">
        <f t="shared" ref="D62:N62" si="35">D56-D60</f>
        <v>436784.41349999979</v>
      </c>
      <c r="E62" s="307">
        <f>E56-E60</f>
        <v>173985.12480000034</v>
      </c>
      <c r="F62" s="307">
        <f t="shared" ref="F62:H62" si="36">F56-F60</f>
        <v>418807.26720000058</v>
      </c>
      <c r="G62" s="307">
        <f t="shared" si="36"/>
        <v>1800334.5424000006</v>
      </c>
      <c r="H62" s="307">
        <f t="shared" si="36"/>
        <v>2055072.1632000003</v>
      </c>
      <c r="I62" s="307">
        <f>I56-I60</f>
        <v>1787581.5647999998</v>
      </c>
      <c r="J62" s="307">
        <f>J56-J60</f>
        <v>1259240.1904000007</v>
      </c>
      <c r="K62" s="307">
        <f>K56-K60</f>
        <v>2779466.3360000011</v>
      </c>
      <c r="L62" s="294">
        <f t="shared" si="35"/>
        <v>3845110.2320000008</v>
      </c>
      <c r="M62" s="294">
        <f t="shared" si="35"/>
        <v>3118493.1711999997</v>
      </c>
      <c r="N62" s="294">
        <f t="shared" si="35"/>
        <v>1636877.0096000005</v>
      </c>
      <c r="O62" s="326">
        <f>+O56-O60</f>
        <v>19432953.665100008</v>
      </c>
      <c r="P62" s="320"/>
      <c r="Q62" s="320"/>
      <c r="R62" s="320"/>
    </row>
    <row r="63" spans="2:19" ht="8.25" customHeight="1" thickTop="1" x14ac:dyDescent="0.2">
      <c r="B63" s="283"/>
      <c r="C63" s="291"/>
      <c r="D63" s="291"/>
      <c r="E63" s="291"/>
      <c r="F63" s="291"/>
      <c r="G63" s="291"/>
      <c r="H63" s="291"/>
      <c r="I63" s="291"/>
      <c r="J63" s="291"/>
      <c r="K63" s="291"/>
      <c r="L63" s="291"/>
      <c r="M63" s="291"/>
      <c r="N63" s="291"/>
      <c r="O63" s="291"/>
    </row>
    <row r="64" spans="2:19" hidden="1" x14ac:dyDescent="0.2">
      <c r="B64" s="283" t="s">
        <v>10</v>
      </c>
      <c r="C64" s="285">
        <v>0</v>
      </c>
      <c r="D64" s="285">
        <v>0</v>
      </c>
      <c r="E64" s="285">
        <v>0</v>
      </c>
      <c r="F64" s="285">
        <v>0</v>
      </c>
      <c r="G64" s="285">
        <v>0</v>
      </c>
      <c r="H64" s="285">
        <v>0</v>
      </c>
      <c r="I64" s="285">
        <v>0</v>
      </c>
      <c r="J64" s="285">
        <v>0</v>
      </c>
      <c r="K64" s="285">
        <v>0</v>
      </c>
      <c r="L64" s="285">
        <v>0</v>
      </c>
      <c r="M64" s="285">
        <v>0</v>
      </c>
      <c r="N64" s="285">
        <v>0</v>
      </c>
      <c r="O64" s="285">
        <f>+C64</f>
        <v>0</v>
      </c>
      <c r="Q64" s="323"/>
      <c r="R64" s="323"/>
    </row>
    <row r="65" spans="2:18" hidden="1" x14ac:dyDescent="0.2">
      <c r="B65" s="283" t="s">
        <v>11</v>
      </c>
      <c r="C65" s="246">
        <v>0</v>
      </c>
      <c r="D65" s="246">
        <v>0</v>
      </c>
      <c r="E65" s="246">
        <v>0</v>
      </c>
      <c r="F65" s="246">
        <v>0</v>
      </c>
      <c r="G65" s="246">
        <v>0</v>
      </c>
      <c r="H65" s="295">
        <v>0</v>
      </c>
      <c r="I65" s="246">
        <v>0</v>
      </c>
      <c r="J65" s="246">
        <v>0</v>
      </c>
      <c r="K65" s="246">
        <v>0</v>
      </c>
      <c r="L65" s="295">
        <v>0</v>
      </c>
      <c r="M65" s="246">
        <v>0</v>
      </c>
      <c r="N65" s="246">
        <v>0</v>
      </c>
      <c r="O65" s="295">
        <f>SUM(C65:N65)</f>
        <v>0</v>
      </c>
      <c r="Q65" s="323"/>
      <c r="R65" s="323"/>
    </row>
    <row r="66" spans="2:18" hidden="1" x14ac:dyDescent="0.2">
      <c r="B66" s="283" t="s">
        <v>12</v>
      </c>
      <c r="C66" s="285">
        <f>+C64+C65</f>
        <v>0</v>
      </c>
      <c r="D66" s="285">
        <f t="shared" ref="D66:O66" si="37">+D64+D65</f>
        <v>0</v>
      </c>
      <c r="E66" s="285">
        <f t="shared" si="37"/>
        <v>0</v>
      </c>
      <c r="F66" s="285">
        <f t="shared" si="37"/>
        <v>0</v>
      </c>
      <c r="G66" s="285">
        <f t="shared" si="37"/>
        <v>0</v>
      </c>
      <c r="H66" s="285">
        <f t="shared" si="37"/>
        <v>0</v>
      </c>
      <c r="I66" s="285">
        <f t="shared" si="37"/>
        <v>0</v>
      </c>
      <c r="J66" s="285">
        <f t="shared" si="37"/>
        <v>0</v>
      </c>
      <c r="K66" s="285">
        <f t="shared" si="37"/>
        <v>0</v>
      </c>
      <c r="L66" s="285">
        <f t="shared" si="37"/>
        <v>0</v>
      </c>
      <c r="M66" s="285">
        <f t="shared" si="37"/>
        <v>0</v>
      </c>
      <c r="N66" s="285">
        <f t="shared" si="37"/>
        <v>0</v>
      </c>
      <c r="O66" s="285">
        <f t="shared" si="37"/>
        <v>0</v>
      </c>
      <c r="Q66" s="323"/>
      <c r="R66" s="323"/>
    </row>
    <row r="67" spans="2:18" ht="7.5" customHeight="1" x14ac:dyDescent="0.2">
      <c r="B67" s="283"/>
      <c r="C67" s="285"/>
      <c r="D67" s="285"/>
      <c r="E67" s="285"/>
      <c r="F67" s="285"/>
      <c r="G67" s="285"/>
      <c r="H67" s="285"/>
      <c r="I67" s="285"/>
      <c r="J67" s="285"/>
      <c r="K67" s="285"/>
      <c r="L67" s="285"/>
      <c r="M67" s="285"/>
      <c r="N67" s="285"/>
      <c r="O67" s="285"/>
      <c r="Q67" s="323"/>
      <c r="R67" s="323"/>
    </row>
    <row r="68" spans="2:18" ht="18" customHeight="1" x14ac:dyDescent="0.2">
      <c r="B68" s="283" t="s">
        <v>87</v>
      </c>
      <c r="C68" s="284">
        <v>11686231</v>
      </c>
      <c r="D68" s="286">
        <f t="shared" ref="D68:I68" si="38">C71</f>
        <v>10412362.896200001</v>
      </c>
      <c r="E68" s="286">
        <f t="shared" si="38"/>
        <v>9363987.572350001</v>
      </c>
      <c r="F68" s="286">
        <f t="shared" si="38"/>
        <v>8427796.0871500019</v>
      </c>
      <c r="G68" s="286">
        <f t="shared" si="38"/>
        <v>8036797.6660300028</v>
      </c>
      <c r="H68" s="286">
        <f t="shared" si="38"/>
        <v>9093949.8901200034</v>
      </c>
      <c r="I68" s="286">
        <f t="shared" si="38"/>
        <v>10478773.447840003</v>
      </c>
      <c r="J68" s="286">
        <f t="shared" ref="J68:M68" si="39">I71</f>
        <v>11593737.522040004</v>
      </c>
      <c r="K68" s="286">
        <f t="shared" si="39"/>
        <v>12103879.073680004</v>
      </c>
      <c r="L68" s="286">
        <f t="shared" si="39"/>
        <v>14188930.771370005</v>
      </c>
      <c r="M68" s="286">
        <f t="shared" si="39"/>
        <v>17383016.464330006</v>
      </c>
      <c r="N68" s="286">
        <f>M71</f>
        <v>19770495.050820008</v>
      </c>
      <c r="O68" s="286">
        <f>+C68</f>
        <v>11686231</v>
      </c>
      <c r="Q68" s="84"/>
      <c r="R68" s="84"/>
    </row>
    <row r="69" spans="2:18" ht="18" customHeight="1" x14ac:dyDescent="0.2">
      <c r="B69" s="283" t="s">
        <v>13</v>
      </c>
      <c r="C69" s="286">
        <f>C62</f>
        <v>121201.65000000037</v>
      </c>
      <c r="D69" s="286">
        <f t="shared" ref="D69:N69" si="40">D62</f>
        <v>436784.41349999979</v>
      </c>
      <c r="E69" s="286">
        <f t="shared" si="40"/>
        <v>173985.12480000034</v>
      </c>
      <c r="F69" s="286">
        <f t="shared" si="40"/>
        <v>418807.26720000058</v>
      </c>
      <c r="G69" s="286">
        <f t="shared" si="40"/>
        <v>1800334.5424000006</v>
      </c>
      <c r="H69" s="286">
        <f t="shared" si="40"/>
        <v>2055072.1632000003</v>
      </c>
      <c r="I69" s="286">
        <f t="shared" si="40"/>
        <v>1787581.5647999998</v>
      </c>
      <c r="J69" s="286">
        <f t="shared" si="40"/>
        <v>1259240.1904000007</v>
      </c>
      <c r="K69" s="286">
        <f t="shared" si="40"/>
        <v>2779466.3360000011</v>
      </c>
      <c r="L69" s="286">
        <f t="shared" si="40"/>
        <v>3845110.2320000008</v>
      </c>
      <c r="M69" s="286">
        <f t="shared" si="40"/>
        <v>3118493.1711999997</v>
      </c>
      <c r="N69" s="286">
        <f t="shared" si="40"/>
        <v>1636877.0096000005</v>
      </c>
      <c r="O69" s="286">
        <f>SUM(C69:N69)</f>
        <v>19432953.665100001</v>
      </c>
      <c r="P69" s="320"/>
      <c r="Q69" s="320"/>
      <c r="R69" s="320"/>
    </row>
    <row r="70" spans="2:18" ht="18" customHeight="1" x14ac:dyDescent="0.2">
      <c r="B70" s="283" t="s">
        <v>14</v>
      </c>
      <c r="C70" s="295">
        <f>-C77</f>
        <v>-1395069.7538000001</v>
      </c>
      <c r="D70" s="295">
        <f t="shared" ref="D70:N70" si="41">-D77</f>
        <v>-1485159.7373500001</v>
      </c>
      <c r="E70" s="295">
        <f t="shared" si="41"/>
        <v>-1110176.6100000001</v>
      </c>
      <c r="F70" s="295">
        <f t="shared" si="41"/>
        <v>-809805.68832000007</v>
      </c>
      <c r="G70" s="295">
        <f t="shared" si="41"/>
        <v>-743182.31831</v>
      </c>
      <c r="H70" s="295">
        <f t="shared" si="41"/>
        <v>-670248.60548000003</v>
      </c>
      <c r="I70" s="295">
        <f t="shared" si="41"/>
        <v>-672617.49060000002</v>
      </c>
      <c r="J70" s="295">
        <f t="shared" si="41"/>
        <v>-749098.63876</v>
      </c>
      <c r="K70" s="295">
        <f t="shared" si="41"/>
        <v>-694414.63831000007</v>
      </c>
      <c r="L70" s="295">
        <f t="shared" si="41"/>
        <v>-651024.53904000006</v>
      </c>
      <c r="M70" s="295">
        <f t="shared" si="41"/>
        <v>-731014.58470999997</v>
      </c>
      <c r="N70" s="295">
        <f t="shared" si="41"/>
        <v>-856455.71325999999</v>
      </c>
      <c r="O70" s="287">
        <f>SUM(C70:N70)</f>
        <v>-10568268.31794</v>
      </c>
      <c r="P70" s="320"/>
      <c r="Q70" s="320"/>
      <c r="R70" s="320"/>
    </row>
    <row r="71" spans="2:18" ht="18" customHeight="1" x14ac:dyDescent="0.2">
      <c r="B71" s="283" t="s">
        <v>88</v>
      </c>
      <c r="C71" s="80">
        <f>SUM(C68:C70)</f>
        <v>10412362.896200001</v>
      </c>
      <c r="D71" s="80">
        <f t="shared" ref="D71:N71" si="42">SUM(D68:D70)</f>
        <v>9363987.572350001</v>
      </c>
      <c r="E71" s="80">
        <f t="shared" si="42"/>
        <v>8427796.0871500019</v>
      </c>
      <c r="F71" s="80">
        <f t="shared" si="42"/>
        <v>8036797.6660300028</v>
      </c>
      <c r="G71" s="80">
        <f t="shared" si="42"/>
        <v>9093949.8901200034</v>
      </c>
      <c r="H71" s="80">
        <f t="shared" si="42"/>
        <v>10478773.447840003</v>
      </c>
      <c r="I71" s="80">
        <f t="shared" si="42"/>
        <v>11593737.522040004</v>
      </c>
      <c r="J71" s="80">
        <f t="shared" si="42"/>
        <v>12103879.073680004</v>
      </c>
      <c r="K71" s="80">
        <f t="shared" si="42"/>
        <v>14188930.771370005</v>
      </c>
      <c r="L71" s="80">
        <f t="shared" si="42"/>
        <v>17383016.464330006</v>
      </c>
      <c r="M71" s="80">
        <f t="shared" si="42"/>
        <v>19770495.050820008</v>
      </c>
      <c r="N71" s="80">
        <f t="shared" si="42"/>
        <v>20550916.347160008</v>
      </c>
      <c r="O71" s="309">
        <f>SUM(O68:O70)+1</f>
        <v>20550917.34716</v>
      </c>
      <c r="P71" s="320"/>
      <c r="Q71" s="323"/>
      <c r="R71" s="323"/>
    </row>
    <row r="72" spans="2:18" ht="18" hidden="1" customHeight="1" thickBot="1" x14ac:dyDescent="0.25">
      <c r="B72" s="296" t="s">
        <v>15</v>
      </c>
      <c r="C72" s="297">
        <f>+C66+C71</f>
        <v>10412362.896200001</v>
      </c>
      <c r="D72" s="297">
        <f>+D66+D71</f>
        <v>9363987.572350001</v>
      </c>
      <c r="E72" s="297">
        <f t="shared" ref="E72:O72" si="43">+E66+E71</f>
        <v>8427796.0871500019</v>
      </c>
      <c r="F72" s="297">
        <f t="shared" si="43"/>
        <v>8036797.6660300028</v>
      </c>
      <c r="G72" s="297">
        <f t="shared" si="43"/>
        <v>9093949.8901200034</v>
      </c>
      <c r="H72" s="297">
        <f t="shared" si="43"/>
        <v>10478773.447840003</v>
      </c>
      <c r="I72" s="297">
        <f t="shared" si="43"/>
        <v>11593737.522040004</v>
      </c>
      <c r="J72" s="297">
        <f t="shared" si="43"/>
        <v>12103879.073680004</v>
      </c>
      <c r="K72" s="297">
        <f t="shared" si="43"/>
        <v>14188930.771370005</v>
      </c>
      <c r="L72" s="297">
        <f t="shared" si="43"/>
        <v>17383016.464330006</v>
      </c>
      <c r="M72" s="297">
        <f t="shared" si="43"/>
        <v>19770495.050820008</v>
      </c>
      <c r="N72" s="297">
        <f t="shared" si="43"/>
        <v>20550916.347160008</v>
      </c>
      <c r="O72" s="297">
        <f t="shared" si="43"/>
        <v>20550917.34716</v>
      </c>
      <c r="Q72" s="84"/>
      <c r="R72" s="84"/>
    </row>
    <row r="73" spans="2:18" ht="12" customHeight="1" x14ac:dyDescent="0.2">
      <c r="B73" s="283"/>
      <c r="C73" s="285"/>
      <c r="D73" s="285"/>
      <c r="E73" s="285"/>
      <c r="F73" s="285"/>
      <c r="G73" s="285"/>
      <c r="H73" s="285"/>
      <c r="I73" s="285"/>
      <c r="J73" s="285"/>
      <c r="K73" s="285"/>
      <c r="L73" s="285"/>
      <c r="M73" s="291"/>
      <c r="N73" s="291"/>
      <c r="O73" s="291"/>
    </row>
    <row r="74" spans="2:18" ht="18" customHeight="1" x14ac:dyDescent="0.2">
      <c r="B74" s="298" t="s">
        <v>14</v>
      </c>
      <c r="C74" s="285"/>
      <c r="D74" s="285"/>
      <c r="E74" s="285"/>
      <c r="F74" s="285"/>
      <c r="G74" s="285"/>
      <c r="H74" s="285"/>
      <c r="I74" s="285"/>
      <c r="J74" s="285"/>
      <c r="K74" s="285"/>
      <c r="L74" s="285"/>
      <c r="M74" s="291"/>
      <c r="N74" s="291"/>
      <c r="O74" s="291"/>
    </row>
    <row r="75" spans="2:18" ht="18" customHeight="1" x14ac:dyDescent="0.2">
      <c r="B75" s="283" t="s">
        <v>250</v>
      </c>
      <c r="C75" s="285">
        <v>151803020</v>
      </c>
      <c r="D75" s="285">
        <v>161606065</v>
      </c>
      <c r="E75" s="285">
        <v>143436991</v>
      </c>
      <c r="F75" s="285">
        <v>131248896</v>
      </c>
      <c r="G75" s="285">
        <v>120450943</v>
      </c>
      <c r="H75" s="285">
        <v>108630244</v>
      </c>
      <c r="I75" s="285">
        <v>109014180</v>
      </c>
      <c r="J75" s="285">
        <v>121409828</v>
      </c>
      <c r="K75" s="285">
        <v>112546943</v>
      </c>
      <c r="L75" s="285">
        <v>105514512</v>
      </c>
      <c r="M75" s="285">
        <v>118478863</v>
      </c>
      <c r="N75" s="285">
        <v>138809678</v>
      </c>
      <c r="O75" s="286">
        <f>SUM(C75:N75)</f>
        <v>1522950163</v>
      </c>
    </row>
    <row r="76" spans="2:18" ht="18" customHeight="1" x14ac:dyDescent="0.2">
      <c r="B76" s="283" t="s">
        <v>34</v>
      </c>
      <c r="C76" s="299">
        <v>9.1900000000000003E-3</v>
      </c>
      <c r="D76" s="299">
        <v>9.1900000000000003E-3</v>
      </c>
      <c r="E76" s="299">
        <v>7.7398208248805229E-3</v>
      </c>
      <c r="F76" s="299">
        <v>6.1700000000000001E-3</v>
      </c>
      <c r="G76" s="299">
        <v>6.1700000000000001E-3</v>
      </c>
      <c r="H76" s="299">
        <v>6.1700000000000001E-3</v>
      </c>
      <c r="I76" s="299">
        <v>6.1700000000000001E-3</v>
      </c>
      <c r="J76" s="299">
        <v>6.1700000000000001E-3</v>
      </c>
      <c r="K76" s="299">
        <v>6.1700000000000001E-3</v>
      </c>
      <c r="L76" s="299">
        <v>6.1700000000000001E-3</v>
      </c>
      <c r="M76" s="299">
        <v>6.1700000000000001E-3</v>
      </c>
      <c r="N76" s="299">
        <v>6.1700000000000001E-3</v>
      </c>
      <c r="O76" s="111">
        <f>+O77/O75</f>
        <v>6.9393395625776625E-3</v>
      </c>
    </row>
    <row r="77" spans="2:18" ht="18" customHeight="1" x14ac:dyDescent="0.2">
      <c r="B77" s="300" t="str">
        <f>+B71</f>
        <v>Balance ECAM Effective for Rates</v>
      </c>
      <c r="C77" s="80">
        <f>+C75*C76</f>
        <v>1395069.7538000001</v>
      </c>
      <c r="D77" s="80">
        <f t="shared" ref="D77:L77" si="44">+D75*D76</f>
        <v>1485159.7373500001</v>
      </c>
      <c r="E77" s="80">
        <f t="shared" si="44"/>
        <v>1110176.6100000001</v>
      </c>
      <c r="F77" s="80">
        <f t="shared" si="44"/>
        <v>809805.68832000007</v>
      </c>
      <c r="G77" s="80">
        <f t="shared" si="44"/>
        <v>743182.31831</v>
      </c>
      <c r="H77" s="80">
        <f t="shared" si="44"/>
        <v>670248.60548000003</v>
      </c>
      <c r="I77" s="80">
        <f t="shared" si="44"/>
        <v>672617.49060000002</v>
      </c>
      <c r="J77" s="80">
        <f t="shared" si="44"/>
        <v>749098.63876</v>
      </c>
      <c r="K77" s="80">
        <f t="shared" si="44"/>
        <v>694414.63831000007</v>
      </c>
      <c r="L77" s="80">
        <f t="shared" si="44"/>
        <v>651024.53904000006</v>
      </c>
      <c r="M77" s="80">
        <f>+M75*M76</f>
        <v>731014.58470999997</v>
      </c>
      <c r="N77" s="80">
        <f>+N75*N76</f>
        <v>856455.71325999999</v>
      </c>
      <c r="O77" s="122">
        <f>SUM(C77:N77)</f>
        <v>10568268.31794</v>
      </c>
    </row>
    <row r="78" spans="2:18" ht="16.899999999999999" customHeight="1" x14ac:dyDescent="0.2">
      <c r="B78" s="277"/>
      <c r="C78" s="301"/>
      <c r="D78" s="301"/>
      <c r="E78" s="301"/>
      <c r="F78" s="301"/>
      <c r="G78" s="301"/>
      <c r="H78" s="301"/>
      <c r="I78" s="301"/>
      <c r="J78" s="301"/>
      <c r="K78" s="301"/>
      <c r="L78" s="301"/>
      <c r="M78" s="301"/>
      <c r="N78" s="301"/>
    </row>
    <row r="79" spans="2:18" ht="36" customHeight="1" x14ac:dyDescent="0.2">
      <c r="B79" s="329" t="s">
        <v>84</v>
      </c>
      <c r="C79" s="330"/>
      <c r="D79" s="330"/>
      <c r="E79" s="330"/>
      <c r="F79" s="330"/>
      <c r="G79" s="330"/>
      <c r="H79" s="330"/>
      <c r="I79" s="330"/>
      <c r="J79" s="330"/>
      <c r="K79" s="330"/>
      <c r="L79" s="330"/>
      <c r="M79" s="330"/>
      <c r="N79" s="330"/>
      <c r="O79" s="331"/>
    </row>
    <row r="80" spans="2:18" ht="9" hidden="1" customHeight="1" x14ac:dyDescent="0.2">
      <c r="B80" s="332"/>
      <c r="C80" s="333"/>
      <c r="D80" s="333"/>
      <c r="E80" s="333"/>
      <c r="F80" s="333"/>
      <c r="G80" s="333"/>
      <c r="H80" s="333"/>
      <c r="I80" s="333"/>
      <c r="J80" s="333"/>
      <c r="K80" s="333"/>
      <c r="L80" s="333"/>
      <c r="M80" s="333"/>
      <c r="N80" s="333"/>
      <c r="O80" s="334"/>
    </row>
    <row r="81" spans="2:18" ht="9.75" hidden="1" customHeight="1" x14ac:dyDescent="0.2">
      <c r="B81" s="278"/>
      <c r="O81" s="279"/>
    </row>
    <row r="82" spans="2:18" ht="9.75" hidden="1" customHeight="1" x14ac:dyDescent="0.2">
      <c r="B82" s="278"/>
      <c r="O82" s="279"/>
    </row>
    <row r="83" spans="2:18" hidden="1" x14ac:dyDescent="0.2">
      <c r="B83" s="278"/>
      <c r="O83" s="279"/>
    </row>
    <row r="84" spans="2:18" hidden="1" x14ac:dyDescent="0.2">
      <c r="B84" s="278"/>
      <c r="O84" s="279"/>
    </row>
    <row r="85" spans="2:18" hidden="1" x14ac:dyDescent="0.2">
      <c r="B85" s="278"/>
      <c r="O85" s="279"/>
    </row>
    <row r="86" spans="2:18" hidden="1" x14ac:dyDescent="0.2">
      <c r="B86" s="278"/>
      <c r="C86" s="333" t="s">
        <v>17</v>
      </c>
      <c r="D86" s="333"/>
      <c r="E86" s="333"/>
      <c r="F86" s="333"/>
      <c r="G86" s="333"/>
      <c r="H86" s="333"/>
      <c r="I86" s="333"/>
      <c r="J86" s="333"/>
      <c r="K86" s="333"/>
      <c r="L86" s="333"/>
      <c r="M86" s="333"/>
      <c r="N86" s="333"/>
      <c r="O86" s="334"/>
    </row>
    <row r="87" spans="2:18" s="282" customFormat="1" ht="24" customHeight="1" x14ac:dyDescent="0.2">
      <c r="B87" s="280" t="s">
        <v>16</v>
      </c>
      <c r="C87" s="281">
        <v>45688</v>
      </c>
      <c r="D87" s="281">
        <f>+C87+28</f>
        <v>45716</v>
      </c>
      <c r="E87" s="281">
        <f t="shared" ref="E87:K87" si="45">+D87+29</f>
        <v>45745</v>
      </c>
      <c r="F87" s="281">
        <f t="shared" si="45"/>
        <v>45774</v>
      </c>
      <c r="G87" s="281">
        <f t="shared" si="45"/>
        <v>45803</v>
      </c>
      <c r="H87" s="281">
        <f t="shared" si="45"/>
        <v>45832</v>
      </c>
      <c r="I87" s="281">
        <f t="shared" si="45"/>
        <v>45861</v>
      </c>
      <c r="J87" s="281">
        <f t="shared" si="45"/>
        <v>45890</v>
      </c>
      <c r="K87" s="281">
        <f t="shared" si="45"/>
        <v>45919</v>
      </c>
      <c r="L87" s="281">
        <v>45955</v>
      </c>
      <c r="M87" s="281">
        <v>45986</v>
      </c>
      <c r="N87" s="281">
        <v>46016</v>
      </c>
      <c r="O87" s="281" t="s">
        <v>35</v>
      </c>
      <c r="P87" s="319"/>
      <c r="Q87" s="277"/>
      <c r="R87" s="277"/>
    </row>
    <row r="88" spans="2:18" ht="18" hidden="1" customHeight="1" x14ac:dyDescent="0.2">
      <c r="B88" s="283" t="s">
        <v>5</v>
      </c>
      <c r="C88" s="285">
        <v>12512164</v>
      </c>
      <c r="D88" s="285">
        <v>10563335</v>
      </c>
      <c r="E88" s="285">
        <v>9921521</v>
      </c>
      <c r="F88" s="285">
        <v>9073222</v>
      </c>
      <c r="G88" s="285">
        <v>7053504</v>
      </c>
      <c r="H88" s="285">
        <v>6736433</v>
      </c>
      <c r="I88" s="285">
        <v>9425377</v>
      </c>
      <c r="J88" s="285">
        <v>10723986</v>
      </c>
      <c r="K88" s="285">
        <v>9520429</v>
      </c>
      <c r="L88" s="285">
        <v>10620275.586257184</v>
      </c>
      <c r="M88" s="285">
        <v>11173878.337020531</v>
      </c>
      <c r="N88" s="285">
        <v>13240660.756207995</v>
      </c>
      <c r="O88" s="286">
        <f>SUM(C88:N88)</f>
        <v>120564785.67948571</v>
      </c>
      <c r="P88" s="319"/>
      <c r="Q88" s="84"/>
      <c r="R88" s="84"/>
    </row>
    <row r="89" spans="2:18" ht="18" hidden="1" customHeight="1" x14ac:dyDescent="0.2">
      <c r="B89" s="283" t="s">
        <v>6</v>
      </c>
      <c r="C89" s="284">
        <v>2343011</v>
      </c>
      <c r="D89" s="284">
        <v>2870715</v>
      </c>
      <c r="E89" s="284">
        <v>2219527</v>
      </c>
      <c r="F89" s="284">
        <v>2050524</v>
      </c>
      <c r="G89" s="284">
        <v>2485249</v>
      </c>
      <c r="H89" s="284">
        <v>2511075</v>
      </c>
      <c r="I89" s="284">
        <v>2492919</v>
      </c>
      <c r="J89" s="284">
        <v>2036591</v>
      </c>
      <c r="K89" s="284">
        <v>2866705</v>
      </c>
      <c r="L89" s="284">
        <v>2228757.0139509821</v>
      </c>
      <c r="M89" s="284">
        <v>2242733.6794229681</v>
      </c>
      <c r="N89" s="284">
        <v>2304330.959569932</v>
      </c>
      <c r="O89" s="286">
        <f>SUM(C89:N89)</f>
        <v>28652137.652943879</v>
      </c>
      <c r="P89" s="319"/>
      <c r="Q89" s="84"/>
      <c r="R89" s="84"/>
    </row>
    <row r="90" spans="2:18" ht="18" hidden="1" customHeight="1" x14ac:dyDescent="0.2">
      <c r="B90" s="283" t="s">
        <v>8</v>
      </c>
      <c r="C90" s="285">
        <v>2638016</v>
      </c>
      <c r="D90" s="285">
        <v>2494775</v>
      </c>
      <c r="E90" s="285">
        <v>2651648</v>
      </c>
      <c r="F90" s="285">
        <v>2524654</v>
      </c>
      <c r="G90" s="285">
        <v>2698706</v>
      </c>
      <c r="H90" s="285">
        <v>3192493</v>
      </c>
      <c r="I90" s="285">
        <v>1916546</v>
      </c>
      <c r="J90" s="285">
        <v>2271245</v>
      </c>
      <c r="K90" s="285">
        <v>2415290</v>
      </c>
      <c r="L90" s="285">
        <v>1757959.3598421956</v>
      </c>
      <c r="M90" s="285">
        <v>2732151.4797854344</v>
      </c>
      <c r="N90" s="285">
        <v>2707336.553120858</v>
      </c>
      <c r="O90" s="286">
        <f>SUM(C90:N90)</f>
        <v>30000820.39274849</v>
      </c>
      <c r="P90" s="319"/>
      <c r="Q90" s="84"/>
      <c r="R90" s="84"/>
    </row>
    <row r="91" spans="2:18" ht="18" hidden="1" customHeight="1" x14ac:dyDescent="0.2">
      <c r="B91" s="283" t="s">
        <v>86</v>
      </c>
      <c r="C91" s="284">
        <v>692338</v>
      </c>
      <c r="D91" s="284">
        <v>1334064</v>
      </c>
      <c r="E91" s="284">
        <v>103665</v>
      </c>
      <c r="F91" s="284">
        <v>67597</v>
      </c>
      <c r="G91" s="284">
        <v>16431</v>
      </c>
      <c r="H91" s="284">
        <v>3163</v>
      </c>
      <c r="I91" s="284">
        <v>18690</v>
      </c>
      <c r="J91" s="284">
        <v>14616</v>
      </c>
      <c r="K91" s="284">
        <v>20729</v>
      </c>
      <c r="L91" s="284">
        <v>20233.395698004686</v>
      </c>
      <c r="M91" s="284">
        <v>20233.395698004693</v>
      </c>
      <c r="N91" s="284">
        <v>439646.95118736185</v>
      </c>
      <c r="O91" s="286">
        <f>SUM(C91:N91)</f>
        <v>2751406.7425833717</v>
      </c>
      <c r="P91" s="319"/>
      <c r="Q91" s="84"/>
      <c r="R91" s="84"/>
    </row>
    <row r="92" spans="2:18" ht="18" customHeight="1" x14ac:dyDescent="0.2">
      <c r="B92" s="288" t="s">
        <v>251</v>
      </c>
      <c r="C92" s="310">
        <f t="shared" ref="C92:O92" si="46">SUM(C88:C91)</f>
        <v>18185529</v>
      </c>
      <c r="D92" s="310">
        <f t="shared" si="46"/>
        <v>17262889</v>
      </c>
      <c r="E92" s="310">
        <f t="shared" si="46"/>
        <v>14896361</v>
      </c>
      <c r="F92" s="310">
        <f t="shared" si="46"/>
        <v>13715997</v>
      </c>
      <c r="G92" s="310">
        <f t="shared" si="46"/>
        <v>12253890</v>
      </c>
      <c r="H92" s="310">
        <f t="shared" si="46"/>
        <v>12443164</v>
      </c>
      <c r="I92" s="310">
        <f t="shared" si="46"/>
        <v>13853532</v>
      </c>
      <c r="J92" s="310">
        <f t="shared" si="46"/>
        <v>15046438</v>
      </c>
      <c r="K92" s="310">
        <f t="shared" si="46"/>
        <v>14823153</v>
      </c>
      <c r="L92" s="310">
        <f>SUM(L88:L91)</f>
        <v>14627225.355748368</v>
      </c>
      <c r="M92" s="310">
        <f>SUM(M88:M91)</f>
        <v>16168996.891926939</v>
      </c>
      <c r="N92" s="310">
        <f t="shared" si="46"/>
        <v>18691975.220086146</v>
      </c>
      <c r="O92" s="308">
        <f t="shared" si="46"/>
        <v>181969150.46776143</v>
      </c>
      <c r="Q92" s="84"/>
      <c r="R92" s="84"/>
    </row>
    <row r="93" spans="2:18" ht="12" customHeight="1" x14ac:dyDescent="0.2">
      <c r="B93" s="283"/>
      <c r="C93" s="291"/>
      <c r="D93" s="291"/>
      <c r="E93" s="291"/>
      <c r="F93" s="291"/>
      <c r="G93" s="291"/>
      <c r="H93" s="291"/>
      <c r="I93" s="291"/>
      <c r="J93" s="291"/>
      <c r="K93" s="291"/>
      <c r="L93" s="291"/>
      <c r="M93" s="291"/>
      <c r="N93" s="291"/>
      <c r="O93" s="291"/>
    </row>
    <row r="94" spans="2:18" ht="18" customHeight="1" x14ac:dyDescent="0.2">
      <c r="B94" s="283" t="s">
        <v>249</v>
      </c>
      <c r="C94" s="285">
        <v>187265634</v>
      </c>
      <c r="D94" s="285">
        <v>171708251</v>
      </c>
      <c r="E94" s="285">
        <v>154872837</v>
      </c>
      <c r="F94" s="285">
        <v>134475447</v>
      </c>
      <c r="G94" s="285">
        <v>122142596</v>
      </c>
      <c r="H94" s="285">
        <v>112555381</v>
      </c>
      <c r="I94" s="285">
        <v>126302676</v>
      </c>
      <c r="J94" s="285">
        <v>126809902</v>
      </c>
      <c r="K94" s="285">
        <v>123514192</v>
      </c>
      <c r="L94" s="285">
        <v>113408172.29715697</v>
      </c>
      <c r="M94" s="285">
        <v>154386275.06748685</v>
      </c>
      <c r="N94" s="285">
        <v>168928022.76661181</v>
      </c>
      <c r="O94" s="286">
        <f>SUM(C94:N94)</f>
        <v>1696369386.1312556</v>
      </c>
      <c r="Q94" s="84"/>
      <c r="R94" s="84"/>
    </row>
    <row r="95" spans="2:18" ht="18" customHeight="1" x14ac:dyDescent="0.2">
      <c r="B95" s="283" t="s">
        <v>7</v>
      </c>
      <c r="C95" s="292">
        <v>9.4399999999999998E-2</v>
      </c>
      <c r="D95" s="292">
        <v>9.4399999999999998E-2</v>
      </c>
      <c r="E95" s="292">
        <v>9.6119999999999997E-2</v>
      </c>
      <c r="F95" s="292">
        <v>9.6119999999999997E-2</v>
      </c>
      <c r="G95" s="292">
        <v>9.6119999999999997E-2</v>
      </c>
      <c r="H95" s="292">
        <v>9.6119999999999997E-2</v>
      </c>
      <c r="I95" s="292">
        <v>9.6119999999999997E-2</v>
      </c>
      <c r="J95" s="292">
        <v>9.6119999999999997E-2</v>
      </c>
      <c r="K95" s="292">
        <v>9.6119999999999997E-2</v>
      </c>
      <c r="L95" s="292">
        <v>9.6119999999999997E-2</v>
      </c>
      <c r="M95" s="292">
        <v>9.6119999999999997E-2</v>
      </c>
      <c r="N95" s="292">
        <v>9.6119999999999997E-2</v>
      </c>
      <c r="O95" s="311">
        <f>+O96/O94</f>
        <v>9.5755939502770393E-2</v>
      </c>
      <c r="Q95" s="322"/>
      <c r="R95" s="322"/>
    </row>
    <row r="96" spans="2:18" ht="18" customHeight="1" x14ac:dyDescent="0.2">
      <c r="B96" s="283" t="s">
        <v>4</v>
      </c>
      <c r="C96" s="80">
        <f>+C94*C95</f>
        <v>17677875.849599998</v>
      </c>
      <c r="D96" s="80">
        <f t="shared" ref="D96:M96" si="47">+D94*D95</f>
        <v>16209258.894399999</v>
      </c>
      <c r="E96" s="80">
        <f t="shared" si="47"/>
        <v>14886377.09244</v>
      </c>
      <c r="F96" s="80">
        <f t="shared" si="47"/>
        <v>12925779.965639999</v>
      </c>
      <c r="G96" s="80">
        <f t="shared" si="47"/>
        <v>11740346.32752</v>
      </c>
      <c r="H96" s="80">
        <f t="shared" si="47"/>
        <v>10818823.221719999</v>
      </c>
      <c r="I96" s="80">
        <f>+I94*I95-146</f>
        <v>12140067.217119999</v>
      </c>
      <c r="J96" s="80">
        <f t="shared" si="47"/>
        <v>12188967.780239999</v>
      </c>
      <c r="K96" s="80">
        <f t="shared" si="47"/>
        <v>11872184.13504</v>
      </c>
      <c r="L96" s="80">
        <f t="shared" si="47"/>
        <v>10900793.521202728</v>
      </c>
      <c r="M96" s="80">
        <f t="shared" si="47"/>
        <v>14839608.759486835</v>
      </c>
      <c r="N96" s="80">
        <f>+N94*N95</f>
        <v>16237361.548326727</v>
      </c>
      <c r="O96" s="80">
        <f>SUM(C96:N96)</f>
        <v>162437444.31273627</v>
      </c>
      <c r="Q96" s="323"/>
      <c r="R96" s="323"/>
    </row>
    <row r="97" spans="2:18" ht="8.25" customHeight="1" x14ac:dyDescent="0.2">
      <c r="B97" s="283"/>
      <c r="C97" s="293"/>
      <c r="D97" s="293"/>
      <c r="E97" s="293"/>
      <c r="F97" s="293"/>
      <c r="G97" s="293"/>
      <c r="H97" s="293"/>
      <c r="I97" s="293"/>
      <c r="J97" s="293"/>
      <c r="K97" s="293"/>
      <c r="L97" s="293"/>
      <c r="M97" s="293"/>
      <c r="N97" s="293"/>
      <c r="O97" s="291"/>
    </row>
    <row r="98" spans="2:18" ht="18" customHeight="1" thickBot="1" x14ac:dyDescent="0.25">
      <c r="B98" s="283" t="s">
        <v>9</v>
      </c>
      <c r="C98" s="294">
        <f>C92-C96</f>
        <v>507653.15040000156</v>
      </c>
      <c r="D98" s="294">
        <f t="shared" ref="D98:N98" si="48">D92-D96</f>
        <v>1053630.1056000013</v>
      </c>
      <c r="E98" s="294">
        <f t="shared" si="48"/>
        <v>9983.9075600001961</v>
      </c>
      <c r="F98" s="294">
        <f t="shared" si="48"/>
        <v>790217.03436000086</v>
      </c>
      <c r="G98" s="294">
        <f t="shared" si="48"/>
        <v>513543.67248000018</v>
      </c>
      <c r="H98" s="294">
        <f t="shared" si="48"/>
        <v>1624340.7782800011</v>
      </c>
      <c r="I98" s="294">
        <f t="shared" si="48"/>
        <v>1713464.7828800008</v>
      </c>
      <c r="J98" s="294">
        <f t="shared" si="48"/>
        <v>2857470.2197600007</v>
      </c>
      <c r="K98" s="294">
        <f t="shared" si="48"/>
        <v>2950968.8649599999</v>
      </c>
      <c r="L98" s="294">
        <f t="shared" si="48"/>
        <v>3726431.8345456403</v>
      </c>
      <c r="M98" s="294">
        <f t="shared" si="48"/>
        <v>1329388.1324401032</v>
      </c>
      <c r="N98" s="294">
        <f t="shared" si="48"/>
        <v>2454613.6717594191</v>
      </c>
      <c r="O98" s="326">
        <f>+O92-O96</f>
        <v>19531706.155025154</v>
      </c>
      <c r="P98" s="320"/>
      <c r="Q98" s="323"/>
      <c r="R98" s="323"/>
    </row>
    <row r="99" spans="2:18" ht="8.25" customHeight="1" thickTop="1" x14ac:dyDescent="0.2">
      <c r="B99" s="283"/>
      <c r="C99" s="291"/>
      <c r="D99" s="312"/>
      <c r="E99" s="312"/>
      <c r="F99" s="312"/>
      <c r="G99" s="312"/>
      <c r="H99" s="312"/>
      <c r="I99" s="312"/>
      <c r="J99" s="312"/>
      <c r="K99" s="312"/>
      <c r="L99" s="291"/>
      <c r="M99" s="313"/>
      <c r="N99" s="313"/>
      <c r="O99" s="313"/>
    </row>
    <row r="100" spans="2:18" hidden="1" x14ac:dyDescent="0.2">
      <c r="B100" s="283" t="s">
        <v>10</v>
      </c>
      <c r="C100" s="285">
        <v>0</v>
      </c>
      <c r="D100" s="314">
        <v>0</v>
      </c>
      <c r="E100" s="314">
        <v>0</v>
      </c>
      <c r="F100" s="314">
        <v>0</v>
      </c>
      <c r="G100" s="314">
        <v>0</v>
      </c>
      <c r="H100" s="314">
        <v>0</v>
      </c>
      <c r="I100" s="314">
        <v>0</v>
      </c>
      <c r="J100" s="314">
        <v>0</v>
      </c>
      <c r="K100" s="314">
        <v>0</v>
      </c>
      <c r="L100" s="285">
        <v>0</v>
      </c>
      <c r="M100" s="293">
        <v>0</v>
      </c>
      <c r="N100" s="293">
        <v>0</v>
      </c>
      <c r="O100" s="293">
        <f>+C100</f>
        <v>0</v>
      </c>
      <c r="Q100" s="323"/>
      <c r="R100" s="323"/>
    </row>
    <row r="101" spans="2:18" hidden="1" x14ac:dyDescent="0.2">
      <c r="B101" s="283" t="s">
        <v>11</v>
      </c>
      <c r="C101" s="246">
        <v>0</v>
      </c>
      <c r="D101" s="315">
        <v>0</v>
      </c>
      <c r="E101" s="315">
        <v>0</v>
      </c>
      <c r="F101" s="315">
        <v>0</v>
      </c>
      <c r="G101" s="315">
        <v>0</v>
      </c>
      <c r="H101" s="316">
        <v>0</v>
      </c>
      <c r="I101" s="315">
        <v>0</v>
      </c>
      <c r="J101" s="315">
        <v>0</v>
      </c>
      <c r="K101" s="315">
        <v>0</v>
      </c>
      <c r="L101" s="295">
        <v>0</v>
      </c>
      <c r="M101" s="317">
        <v>0</v>
      </c>
      <c r="N101" s="317">
        <v>0</v>
      </c>
      <c r="O101" s="318">
        <f>SUM(C101:N101)</f>
        <v>0</v>
      </c>
      <c r="Q101" s="323"/>
      <c r="R101" s="323"/>
    </row>
    <row r="102" spans="2:18" hidden="1" x14ac:dyDescent="0.2">
      <c r="B102" s="283" t="s">
        <v>12</v>
      </c>
      <c r="C102" s="285">
        <f>+C100+C101</f>
        <v>0</v>
      </c>
      <c r="D102" s="314">
        <f t="shared" ref="D102:O102" si="49">+D100+D101</f>
        <v>0</v>
      </c>
      <c r="E102" s="314">
        <f t="shared" si="49"/>
        <v>0</v>
      </c>
      <c r="F102" s="314">
        <f t="shared" si="49"/>
        <v>0</v>
      </c>
      <c r="G102" s="314">
        <f t="shared" si="49"/>
        <v>0</v>
      </c>
      <c r="H102" s="314">
        <f t="shared" si="49"/>
        <v>0</v>
      </c>
      <c r="I102" s="314">
        <f t="shared" si="49"/>
        <v>0</v>
      </c>
      <c r="J102" s="314">
        <f t="shared" si="49"/>
        <v>0</v>
      </c>
      <c r="K102" s="314">
        <f t="shared" si="49"/>
        <v>0</v>
      </c>
      <c r="L102" s="285">
        <f t="shared" si="49"/>
        <v>0</v>
      </c>
      <c r="M102" s="293">
        <f t="shared" si="49"/>
        <v>0</v>
      </c>
      <c r="N102" s="293">
        <f t="shared" si="49"/>
        <v>0</v>
      </c>
      <c r="O102" s="293">
        <f t="shared" si="49"/>
        <v>0</v>
      </c>
      <c r="Q102" s="323"/>
      <c r="R102" s="323"/>
    </row>
    <row r="103" spans="2:18" ht="7.5" customHeight="1" x14ac:dyDescent="0.2">
      <c r="B103" s="283"/>
      <c r="C103" s="285"/>
      <c r="D103" s="314"/>
      <c r="E103" s="314"/>
      <c r="F103" s="314"/>
      <c r="G103" s="314"/>
      <c r="H103" s="314"/>
      <c r="I103" s="314"/>
      <c r="J103" s="314"/>
      <c r="K103" s="314"/>
      <c r="L103" s="285"/>
      <c r="M103" s="293"/>
      <c r="N103" s="293"/>
      <c r="O103" s="293"/>
      <c r="Q103" s="323"/>
      <c r="R103" s="323"/>
    </row>
    <row r="104" spans="2:18" ht="18" customHeight="1" x14ac:dyDescent="0.2">
      <c r="B104" s="283" t="s">
        <v>87</v>
      </c>
      <c r="C104" s="284">
        <f>20550916</f>
        <v>20550916</v>
      </c>
      <c r="D104" s="286">
        <f t="shared" ref="D104:N104" si="50">+C107</f>
        <v>20050044.815960001</v>
      </c>
      <c r="E104" s="286">
        <f t="shared" si="50"/>
        <v>19965244.025960006</v>
      </c>
      <c r="F104" s="286">
        <f t="shared" si="50"/>
        <v>19185217.953520004</v>
      </c>
      <c r="G104" s="286">
        <f t="shared" si="50"/>
        <v>19337177.696880005</v>
      </c>
      <c r="H104" s="286">
        <f t="shared" si="50"/>
        <v>19267037.977860007</v>
      </c>
      <c r="I104" s="286">
        <f t="shared" si="50"/>
        <v>20367086.395890009</v>
      </c>
      <c r="J104" s="286">
        <f t="shared" si="50"/>
        <v>21558308.856770009</v>
      </c>
      <c r="K104" s="286">
        <f t="shared" si="50"/>
        <v>23840111.57128001</v>
      </c>
      <c r="L104" s="286">
        <f t="shared" si="50"/>
        <v>26257656.62374001</v>
      </c>
      <c r="M104" s="286">
        <f t="shared" si="50"/>
        <v>29477011.334152728</v>
      </c>
      <c r="N104" s="286">
        <f t="shared" si="50"/>
        <v>30231910.579788815</v>
      </c>
      <c r="O104" s="286">
        <f>+C104</f>
        <v>20550916</v>
      </c>
      <c r="Q104" s="84"/>
      <c r="R104" s="84"/>
    </row>
    <row r="105" spans="2:18" ht="18" customHeight="1" x14ac:dyDescent="0.2">
      <c r="B105" s="283" t="s">
        <v>13</v>
      </c>
      <c r="C105" s="286">
        <f>+C98</f>
        <v>507653.15040000156</v>
      </c>
      <c r="D105" s="286">
        <f>+D98</f>
        <v>1053630.1056000013</v>
      </c>
      <c r="E105" s="286">
        <f t="shared" ref="E105:H105" si="51">+E98</f>
        <v>9983.9075600001961</v>
      </c>
      <c r="F105" s="286">
        <f t="shared" si="51"/>
        <v>790217.03436000086</v>
      </c>
      <c r="G105" s="286">
        <f t="shared" si="51"/>
        <v>513543.67248000018</v>
      </c>
      <c r="H105" s="286">
        <f t="shared" si="51"/>
        <v>1624340.7782800011</v>
      </c>
      <c r="I105" s="286">
        <f t="shared" ref="I105:L105" si="52">+I98</f>
        <v>1713464.7828800008</v>
      </c>
      <c r="J105" s="286">
        <f t="shared" si="52"/>
        <v>2857470.2197600007</v>
      </c>
      <c r="K105" s="286">
        <f t="shared" si="52"/>
        <v>2950968.8649599999</v>
      </c>
      <c r="L105" s="286">
        <f t="shared" si="52"/>
        <v>3726431.8345456403</v>
      </c>
      <c r="M105" s="286">
        <f>+M98</f>
        <v>1329388.1324401032</v>
      </c>
      <c r="N105" s="286">
        <f>+N98</f>
        <v>2454613.6717594191</v>
      </c>
      <c r="O105" s="286">
        <f>SUM(C105:N105)</f>
        <v>19531706.155025169</v>
      </c>
      <c r="Q105" s="84"/>
      <c r="R105" s="84"/>
    </row>
    <row r="106" spans="2:18" ht="18" customHeight="1" x14ac:dyDescent="0.2">
      <c r="B106" s="283" t="s">
        <v>14</v>
      </c>
      <c r="C106" s="295">
        <f>-'App B'!I32</f>
        <v>-1008524.33444</v>
      </c>
      <c r="D106" s="295">
        <f>-'App B'!I33</f>
        <v>-1138430.8955999999</v>
      </c>
      <c r="E106" s="295">
        <f>-'App B'!I34</f>
        <v>-790009.98</v>
      </c>
      <c r="F106" s="295">
        <f>-'App B'!I35</f>
        <v>-638257.29099999997</v>
      </c>
      <c r="G106" s="295">
        <f>-'App B'!I36</f>
        <v>-583683.39150000003</v>
      </c>
      <c r="H106" s="295">
        <f>-'App B'!I37</f>
        <v>-524292.36025000003</v>
      </c>
      <c r="I106" s="295">
        <f>-'App B'!I38</f>
        <v>-522242.32199999999</v>
      </c>
      <c r="J106" s="295">
        <f>-'App B'!I39</f>
        <v>-575667.50524999993</v>
      </c>
      <c r="K106" s="295">
        <f>-'App B'!I40</f>
        <v>-533423.8125</v>
      </c>
      <c r="L106" s="295">
        <f>-'App B'!I41</f>
        <v>-507077.12413292221</v>
      </c>
      <c r="M106" s="295">
        <f>-'App B'!I42</f>
        <v>-574488.88680401852</v>
      </c>
      <c r="N106" s="295">
        <f>-'App B'!I43</f>
        <v>-705479.94030025252</v>
      </c>
      <c r="O106" s="287">
        <f>SUM(C106:N106)</f>
        <v>-8101577.8437771909</v>
      </c>
      <c r="Q106" s="84"/>
      <c r="R106" s="84"/>
    </row>
    <row r="107" spans="2:18" ht="18" customHeight="1" x14ac:dyDescent="0.2">
      <c r="B107" s="283" t="s">
        <v>88</v>
      </c>
      <c r="C107" s="80">
        <f>SUM(C104:C106)</f>
        <v>20050044.815960001</v>
      </c>
      <c r="D107" s="80">
        <f>SUM(D104:D106)</f>
        <v>19965244.025960006</v>
      </c>
      <c r="E107" s="80">
        <f t="shared" ref="E107:M107" si="53">SUM(E104:E106)</f>
        <v>19185217.953520004</v>
      </c>
      <c r="F107" s="80">
        <f t="shared" si="53"/>
        <v>19337177.696880005</v>
      </c>
      <c r="G107" s="80">
        <f t="shared" si="53"/>
        <v>19267037.977860007</v>
      </c>
      <c r="H107" s="80">
        <f t="shared" si="53"/>
        <v>20367086.395890009</v>
      </c>
      <c r="I107" s="80">
        <f t="shared" si="53"/>
        <v>21558308.856770009</v>
      </c>
      <c r="J107" s="80">
        <f t="shared" si="53"/>
        <v>23840111.57128001</v>
      </c>
      <c r="K107" s="80">
        <f t="shared" si="53"/>
        <v>26257656.62374001</v>
      </c>
      <c r="L107" s="80">
        <f t="shared" si="53"/>
        <v>29477011.334152728</v>
      </c>
      <c r="M107" s="80">
        <f t="shared" si="53"/>
        <v>30231910.579788815</v>
      </c>
      <c r="N107" s="80">
        <f>SUM(N104:N106)</f>
        <v>31981044.311247982</v>
      </c>
      <c r="O107" s="309">
        <f>SUM(O104:O106)</f>
        <v>31981044.311247978</v>
      </c>
      <c r="P107" s="320"/>
      <c r="Q107" s="323"/>
      <c r="R107" s="323"/>
    </row>
    <row r="108" spans="2:18" ht="18" hidden="1" customHeight="1" thickBot="1" x14ac:dyDescent="0.25">
      <c r="B108" s="296" t="s">
        <v>15</v>
      </c>
      <c r="C108" s="297">
        <f>+C102+C107</f>
        <v>20050044.815960001</v>
      </c>
      <c r="D108" s="297">
        <f>+D102+D107</f>
        <v>19965244.025960006</v>
      </c>
      <c r="E108" s="297">
        <f t="shared" ref="E108:O108" si="54">+E102+E107</f>
        <v>19185217.953520004</v>
      </c>
      <c r="F108" s="297">
        <f t="shared" si="54"/>
        <v>19337177.696880005</v>
      </c>
      <c r="G108" s="297">
        <f t="shared" si="54"/>
        <v>19267037.977860007</v>
      </c>
      <c r="H108" s="297">
        <f t="shared" si="54"/>
        <v>20367086.395890009</v>
      </c>
      <c r="I108" s="297">
        <f t="shared" si="54"/>
        <v>21558308.856770009</v>
      </c>
      <c r="J108" s="297">
        <f t="shared" si="54"/>
        <v>23840111.57128001</v>
      </c>
      <c r="K108" s="297">
        <f t="shared" si="54"/>
        <v>26257656.62374001</v>
      </c>
      <c r="L108" s="297">
        <f t="shared" si="54"/>
        <v>29477011.334152728</v>
      </c>
      <c r="M108" s="297">
        <f t="shared" si="54"/>
        <v>30231910.579788815</v>
      </c>
      <c r="N108" s="297">
        <f t="shared" si="54"/>
        <v>31981044.311247982</v>
      </c>
      <c r="O108" s="297">
        <f t="shared" si="54"/>
        <v>31981044.311247978</v>
      </c>
      <c r="Q108" s="84"/>
      <c r="R108" s="84"/>
    </row>
    <row r="109" spans="2:18" ht="12" customHeight="1" x14ac:dyDescent="0.2">
      <c r="B109" s="283"/>
      <c r="C109" s="285"/>
      <c r="D109" s="285"/>
      <c r="E109" s="285"/>
      <c r="F109" s="285"/>
      <c r="G109" s="285"/>
      <c r="H109" s="285"/>
      <c r="I109" s="285"/>
      <c r="J109" s="285"/>
      <c r="K109" s="285"/>
      <c r="L109" s="285"/>
      <c r="M109" s="291"/>
      <c r="N109" s="291"/>
      <c r="O109" s="291"/>
    </row>
    <row r="110" spans="2:18" ht="18" customHeight="1" x14ac:dyDescent="0.2">
      <c r="B110" s="298" t="s">
        <v>14</v>
      </c>
      <c r="C110" s="285"/>
      <c r="D110" s="285"/>
      <c r="E110" s="285"/>
      <c r="F110" s="285"/>
      <c r="G110" s="285"/>
      <c r="H110" s="285"/>
      <c r="I110" s="285"/>
      <c r="J110" s="285"/>
      <c r="K110" s="285"/>
      <c r="L110" s="285"/>
      <c r="M110" s="285"/>
      <c r="N110" s="285"/>
      <c r="O110" s="291"/>
    </row>
    <row r="111" spans="2:18" ht="18" customHeight="1" x14ac:dyDescent="0.2">
      <c r="B111" s="283" t="s">
        <v>250</v>
      </c>
      <c r="C111" s="285">
        <v>163456132</v>
      </c>
      <c r="D111" s="285">
        <v>184510680.99999997</v>
      </c>
      <c r="E111" s="285">
        <v>145458954.00000003</v>
      </c>
      <c r="F111" s="285">
        <v>134369956</v>
      </c>
      <c r="G111" s="285">
        <v>122880714</v>
      </c>
      <c r="H111" s="285">
        <v>110377339</v>
      </c>
      <c r="I111" s="285">
        <v>109945752</v>
      </c>
      <c r="J111" s="285">
        <v>121193159</v>
      </c>
      <c r="K111" s="285">
        <v>112299749.99999999</v>
      </c>
      <c r="L111" s="285">
        <v>106753078.76482573</v>
      </c>
      <c r="M111" s="285">
        <v>120945028.800846</v>
      </c>
      <c r="N111" s="285">
        <v>148522092.69479001</v>
      </c>
      <c r="O111" s="286">
        <f>SUM(C111:N111)</f>
        <v>1580712637.2604618</v>
      </c>
    </row>
    <row r="112" spans="2:18" ht="18" customHeight="1" x14ac:dyDescent="0.2">
      <c r="B112" s="283" t="s">
        <v>34</v>
      </c>
      <c r="C112" s="299">
        <v>6.1700000000000001E-3</v>
      </c>
      <c r="D112" s="299">
        <v>6.1700000000000001E-3</v>
      </c>
      <c r="E112" s="299">
        <v>5.4311540010111717E-3</v>
      </c>
      <c r="F112" s="299">
        <v>4.7499999999999999E-3</v>
      </c>
      <c r="G112" s="299">
        <v>4.7499999999999999E-3</v>
      </c>
      <c r="H112" s="299">
        <v>4.7499999999999999E-3</v>
      </c>
      <c r="I112" s="299">
        <v>4.7499999999999999E-3</v>
      </c>
      <c r="J112" s="299">
        <v>4.7499999999999999E-3</v>
      </c>
      <c r="K112" s="299">
        <v>4.7499999999999999E-3</v>
      </c>
      <c r="L112" s="299">
        <v>4.7499999999999999E-3</v>
      </c>
      <c r="M112" s="299">
        <v>4.7499999999999999E-3</v>
      </c>
      <c r="N112" s="299">
        <v>4.7499999999999999E-3</v>
      </c>
      <c r="O112" s="111">
        <f>+O113/O111</f>
        <v>5.125269235519027E-3</v>
      </c>
    </row>
    <row r="113" spans="2:16" ht="18" customHeight="1" x14ac:dyDescent="0.2">
      <c r="B113" s="300" t="str">
        <f>+B107</f>
        <v>Balance ECAM Effective for Rates</v>
      </c>
      <c r="C113" s="80">
        <f>+C111*C112</f>
        <v>1008524.33444</v>
      </c>
      <c r="D113" s="80">
        <f t="shared" ref="D113:K113" si="55">+D111*D112</f>
        <v>1138430.9017699999</v>
      </c>
      <c r="E113" s="80">
        <f t="shared" si="55"/>
        <v>790009.9800000001</v>
      </c>
      <c r="F113" s="80">
        <f t="shared" si="55"/>
        <v>638257.29099999997</v>
      </c>
      <c r="G113" s="80">
        <f t="shared" si="55"/>
        <v>583683.39150000003</v>
      </c>
      <c r="H113" s="80">
        <f t="shared" si="55"/>
        <v>524292.36025000003</v>
      </c>
      <c r="I113" s="80">
        <f t="shared" si="55"/>
        <v>522242.32199999999</v>
      </c>
      <c r="J113" s="80">
        <f t="shared" si="55"/>
        <v>575667.50524999993</v>
      </c>
      <c r="K113" s="80">
        <f t="shared" si="55"/>
        <v>533423.81249999988</v>
      </c>
      <c r="L113" s="80">
        <f>+L111*L112</f>
        <v>507077.12413292221</v>
      </c>
      <c r="M113" s="80">
        <f>+M111*M112</f>
        <v>574488.88680401852</v>
      </c>
      <c r="N113" s="80">
        <f>+N111*N112</f>
        <v>705479.94030025252</v>
      </c>
      <c r="O113" s="122">
        <f>SUM(C113:N113)</f>
        <v>8101577.8499471918</v>
      </c>
      <c r="P113" s="324"/>
    </row>
    <row r="114" spans="2:16" ht="14.45" customHeight="1" x14ac:dyDescent="0.2">
      <c r="O114" s="301"/>
    </row>
  </sheetData>
  <mergeCells count="10">
    <mergeCell ref="B1:O1"/>
    <mergeCell ref="B79:O79"/>
    <mergeCell ref="B80:O80"/>
    <mergeCell ref="C86:O86"/>
    <mergeCell ref="B2:O2"/>
    <mergeCell ref="B3:O3"/>
    <mergeCell ref="C9:O9"/>
    <mergeCell ref="B43:O43"/>
    <mergeCell ref="B44:O44"/>
    <mergeCell ref="C50:O50"/>
  </mergeCells>
  <phoneticPr fontId="0" type="noConversion"/>
  <printOptions horizontalCentered="1"/>
  <pageMargins left="0.3" right="0.3" top="0.5" bottom="0.3" header="0.3" footer="0"/>
  <pageSetup scale="44" fitToHeight="6" orientation="landscape" r:id="rId1"/>
  <headerFooter alignWithMargins="0">
    <oddHeader>&amp;R&amp;11Appendix 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69F4A-B9F3-4A71-A22E-C7307D675676}">
  <dimension ref="B2:J21"/>
  <sheetViews>
    <sheetView workbookViewId="0">
      <selection activeCell="J17" sqref="J17"/>
    </sheetView>
  </sheetViews>
  <sheetFormatPr defaultRowHeight="12.75" x14ac:dyDescent="0.2"/>
  <cols>
    <col min="1" max="1" width="2.7109375" customWidth="1"/>
    <col min="2" max="2" width="29.140625" customWidth="1"/>
    <col min="3" max="5" width="16.5703125" bestFit="1" customWidth="1"/>
    <col min="7" max="7" width="9.140625" customWidth="1"/>
    <col min="8" max="8" width="64.140625" customWidth="1"/>
    <col min="9" max="9" width="15" bestFit="1" customWidth="1"/>
    <col min="10" max="10" width="5.7109375" bestFit="1" customWidth="1"/>
  </cols>
  <sheetData>
    <row r="2" spans="2:10" ht="29.25" customHeight="1" x14ac:dyDescent="0.2">
      <c r="B2" s="369" t="s">
        <v>221</v>
      </c>
      <c r="C2" s="370"/>
      <c r="D2" s="370"/>
      <c r="E2" s="371"/>
    </row>
    <row r="3" spans="2:10" x14ac:dyDescent="0.2">
      <c r="B3" s="127"/>
      <c r="C3" s="129">
        <v>2023</v>
      </c>
      <c r="D3" s="129">
        <v>2024</v>
      </c>
      <c r="E3" s="129">
        <v>2025</v>
      </c>
    </row>
    <row r="4" spans="2:10" x14ac:dyDescent="0.2">
      <c r="B4" s="71" t="s">
        <v>156</v>
      </c>
      <c r="C4" s="179">
        <f>'6.2'!C17</f>
        <v>1391748980.9528525</v>
      </c>
      <c r="D4" s="179">
        <f>'6.2'!C30</f>
        <v>1412245258.7309163</v>
      </c>
      <c r="E4" s="179">
        <f>'6.2'!C43</f>
        <v>1431086983.4011624</v>
      </c>
    </row>
    <row r="5" spans="2:10" x14ac:dyDescent="0.2">
      <c r="B5" s="71" t="s">
        <v>157</v>
      </c>
      <c r="C5" s="179">
        <f>'6.2'!F17</f>
        <v>1479163879</v>
      </c>
      <c r="D5" s="179">
        <f>'6.2'!F30</f>
        <v>1522950163</v>
      </c>
      <c r="E5" s="179">
        <f>'6.2'!F43</f>
        <v>1580712636.2604618</v>
      </c>
    </row>
    <row r="6" spans="2:10" x14ac:dyDescent="0.2">
      <c r="B6" s="126" t="s">
        <v>158</v>
      </c>
      <c r="C6" s="191">
        <f>C5/C4-1</f>
        <v>6.2809385344259061E-2</v>
      </c>
      <c r="D6" s="191">
        <f t="shared" ref="D6:E6" si="0">D5/D4-1</f>
        <v>7.8389290801065492E-2</v>
      </c>
      <c r="E6" s="191">
        <f t="shared" si="0"/>
        <v>0.10455384934303202</v>
      </c>
    </row>
    <row r="8" spans="2:10" ht="28.5" customHeight="1" x14ac:dyDescent="0.2">
      <c r="G8" s="355" t="s">
        <v>222</v>
      </c>
      <c r="H8" s="372"/>
      <c r="I8" s="373"/>
      <c r="J8" s="59"/>
    </row>
    <row r="9" spans="2:10" ht="38.25" x14ac:dyDescent="0.2">
      <c r="G9" s="192" t="s">
        <v>103</v>
      </c>
      <c r="H9" s="192"/>
      <c r="I9" s="193" t="s">
        <v>126</v>
      </c>
      <c r="J9" s="59"/>
    </row>
    <row r="10" spans="2:10" x14ac:dyDescent="0.2">
      <c r="G10" s="5">
        <v>2023</v>
      </c>
      <c r="H10" s="74" t="s">
        <v>184</v>
      </c>
      <c r="I10" s="113">
        <v>6668089</v>
      </c>
      <c r="J10" s="59"/>
    </row>
    <row r="11" spans="2:10" x14ac:dyDescent="0.2">
      <c r="G11" s="74"/>
      <c r="H11" s="74" t="s">
        <v>185</v>
      </c>
      <c r="I11" s="62">
        <v>-8036641</v>
      </c>
      <c r="J11" s="59"/>
    </row>
    <row r="12" spans="2:10" x14ac:dyDescent="0.2">
      <c r="G12" s="74"/>
      <c r="H12" s="75" t="s">
        <v>35</v>
      </c>
      <c r="I12" s="195">
        <f>SUM(I10:I11)</f>
        <v>-1368552</v>
      </c>
      <c r="J12" s="59"/>
    </row>
    <row r="13" spans="2:10" x14ac:dyDescent="0.2">
      <c r="G13" s="366"/>
      <c r="H13" s="367"/>
      <c r="I13" s="368"/>
      <c r="J13" s="59"/>
    </row>
    <row r="14" spans="2:10" x14ac:dyDescent="0.2">
      <c r="G14" s="60">
        <v>2024</v>
      </c>
      <c r="H14" s="160" t="s">
        <v>184</v>
      </c>
      <c r="I14" s="196">
        <v>8857350</v>
      </c>
      <c r="J14" s="59"/>
    </row>
    <row r="15" spans="2:10" x14ac:dyDescent="0.2">
      <c r="G15" s="74"/>
      <c r="H15" s="74" t="s">
        <v>185</v>
      </c>
      <c r="I15" s="62">
        <v>-10953004</v>
      </c>
      <c r="J15" s="59"/>
    </row>
    <row r="16" spans="2:10" x14ac:dyDescent="0.2">
      <c r="G16" s="74"/>
      <c r="H16" s="75" t="s">
        <v>35</v>
      </c>
      <c r="I16" s="195">
        <f>SUM(I14:I15)</f>
        <v>-2095654</v>
      </c>
      <c r="J16" s="170"/>
    </row>
    <row r="17" spans="7:10" x14ac:dyDescent="0.2">
      <c r="G17" s="366"/>
      <c r="H17" s="367"/>
      <c r="I17" s="368"/>
      <c r="J17" s="59"/>
    </row>
    <row r="18" spans="7:10" x14ac:dyDescent="0.2">
      <c r="G18" s="60">
        <v>2025</v>
      </c>
      <c r="H18" s="160" t="s">
        <v>184</v>
      </c>
      <c r="I18" s="196">
        <v>11905622</v>
      </c>
      <c r="J18" s="59"/>
    </row>
    <row r="19" spans="7:10" x14ac:dyDescent="0.2">
      <c r="G19" s="74"/>
      <c r="H19" s="74" t="s">
        <v>185</v>
      </c>
      <c r="I19" s="62">
        <v>-15152738</v>
      </c>
      <c r="J19" s="59"/>
    </row>
    <row r="20" spans="7:10" x14ac:dyDescent="0.2">
      <c r="G20" s="74"/>
      <c r="H20" s="75" t="s">
        <v>35</v>
      </c>
      <c r="I20" s="195">
        <f>SUM(I18:I19)</f>
        <v>-3247116</v>
      </c>
      <c r="J20" s="170"/>
    </row>
    <row r="21" spans="7:10" x14ac:dyDescent="0.2">
      <c r="G21" s="358"/>
      <c r="H21" s="359"/>
      <c r="I21" s="360"/>
    </row>
  </sheetData>
  <mergeCells count="5">
    <mergeCell ref="G21:I21"/>
    <mergeCell ref="G17:I17"/>
    <mergeCell ref="G13:I13"/>
    <mergeCell ref="B2:E2"/>
    <mergeCell ref="G8:I8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53FBF-205F-466E-B789-96756E1D4122}">
  <dimension ref="B2:O46"/>
  <sheetViews>
    <sheetView workbookViewId="0">
      <selection activeCell="J17" sqref="J17"/>
    </sheetView>
  </sheetViews>
  <sheetFormatPr defaultColWidth="9.140625" defaultRowHeight="12.75" x14ac:dyDescent="0.2"/>
  <cols>
    <col min="1" max="1" width="3.42578125" style="59" customWidth="1"/>
    <col min="2" max="2" width="11.28515625" style="59" customWidth="1"/>
    <col min="3" max="3" width="14.85546875" style="59" customWidth="1"/>
    <col min="4" max="4" width="25.28515625" style="59" hidden="1" customWidth="1"/>
    <col min="5" max="5" width="15.5703125" style="59" customWidth="1"/>
    <col min="6" max="6" width="14.85546875" style="59" customWidth="1"/>
    <col min="7" max="7" width="12.42578125" style="59" hidden="1" customWidth="1"/>
    <col min="8" max="8" width="14.140625" style="59" customWidth="1"/>
    <col min="9" max="9" width="12.85546875" style="59" customWidth="1"/>
    <col min="10" max="10" width="9.140625" style="59"/>
    <col min="11" max="11" width="14" style="59" bestFit="1" customWidth="1"/>
    <col min="12" max="12" width="9.140625" style="59"/>
    <col min="13" max="15" width="11.28515625" style="59" bestFit="1" customWidth="1"/>
    <col min="16" max="16" width="9.140625" style="59"/>
    <col min="17" max="17" width="57.85546875" style="59" bestFit="1" customWidth="1"/>
    <col min="18" max="18" width="16.28515625" style="59" customWidth="1"/>
    <col min="19" max="16384" width="9.140625" style="59"/>
  </cols>
  <sheetData>
    <row r="2" spans="2:9" ht="32.25" customHeight="1" x14ac:dyDescent="0.2">
      <c r="B2" s="374" t="s">
        <v>223</v>
      </c>
      <c r="C2" s="375"/>
      <c r="D2" s="375"/>
      <c r="E2" s="375"/>
      <c r="F2" s="375"/>
      <c r="G2" s="375"/>
      <c r="H2" s="375"/>
      <c r="I2" s="376"/>
    </row>
    <row r="3" spans="2:9" ht="51" x14ac:dyDescent="0.2">
      <c r="B3" s="199" t="s">
        <v>103</v>
      </c>
      <c r="C3" s="200" t="s">
        <v>122</v>
      </c>
      <c r="D3" s="200" t="s">
        <v>121</v>
      </c>
      <c r="E3" s="200" t="s">
        <v>120</v>
      </c>
      <c r="F3" s="201" t="s">
        <v>117</v>
      </c>
      <c r="G3" s="200" t="s">
        <v>149</v>
      </c>
      <c r="H3" s="200" t="s">
        <v>118</v>
      </c>
      <c r="I3" s="200" t="s">
        <v>126</v>
      </c>
    </row>
    <row r="4" spans="2:9" ht="32.25" customHeight="1" x14ac:dyDescent="0.2">
      <c r="B4" s="202" t="s">
        <v>150</v>
      </c>
      <c r="C4" s="203" t="s">
        <v>151</v>
      </c>
      <c r="D4" s="204" t="s">
        <v>26</v>
      </c>
      <c r="E4" s="203" t="s">
        <v>152</v>
      </c>
      <c r="F4" s="203" t="s">
        <v>153</v>
      </c>
      <c r="G4" s="205" t="s">
        <v>124</v>
      </c>
      <c r="H4" s="203" t="s">
        <v>154</v>
      </c>
      <c r="I4" s="203" t="s">
        <v>155</v>
      </c>
    </row>
    <row r="5" spans="2:9" ht="14.25" hidden="1" customHeight="1" x14ac:dyDescent="0.2">
      <c r="B5" s="94">
        <v>44927</v>
      </c>
      <c r="C5" s="86">
        <v>139765734.89093813</v>
      </c>
      <c r="D5" s="95">
        <v>4.0200000000000001E-3</v>
      </c>
      <c r="E5" s="96">
        <f t="shared" ref="E5:E16" si="0">+C5*D5</f>
        <v>561858.25426157133</v>
      </c>
      <c r="F5" s="86">
        <v>141890371</v>
      </c>
      <c r="G5" s="95">
        <v>4.0200000000000001E-3</v>
      </c>
      <c r="H5" s="96">
        <f t="shared" ref="H5:H16" si="1">F5*G5</f>
        <v>570399.29142000002</v>
      </c>
      <c r="I5" s="80">
        <f t="shared" ref="I5:I16" si="2">H5-E5</f>
        <v>8541.0371584286913</v>
      </c>
    </row>
    <row r="6" spans="2:9" ht="14.25" hidden="1" customHeight="1" x14ac:dyDescent="0.2">
      <c r="B6" s="94">
        <v>44958</v>
      </c>
      <c r="C6" s="86">
        <v>140318313.51061437</v>
      </c>
      <c r="D6" s="95">
        <v>4.0200000000000001E-3</v>
      </c>
      <c r="E6" s="80">
        <f t="shared" si="0"/>
        <v>564079.62031266978</v>
      </c>
      <c r="F6" s="86">
        <v>148447463</v>
      </c>
      <c r="G6" s="95">
        <v>4.0200000000000001E-3</v>
      </c>
      <c r="H6" s="80">
        <f t="shared" si="1"/>
        <v>596758.80125999998</v>
      </c>
      <c r="I6" s="80">
        <f t="shared" si="2"/>
        <v>32679.180947330198</v>
      </c>
    </row>
    <row r="7" spans="2:9" ht="14.25" hidden="1" customHeight="1" x14ac:dyDescent="0.2">
      <c r="B7" s="94">
        <v>44986</v>
      </c>
      <c r="C7" s="86">
        <v>126276757.6159012</v>
      </c>
      <c r="D7" s="95">
        <v>4.0200000000000001E-3</v>
      </c>
      <c r="E7" s="80">
        <f t="shared" si="0"/>
        <v>507632.56561592285</v>
      </c>
      <c r="F7" s="86">
        <v>139439604</v>
      </c>
      <c r="G7" s="95">
        <v>4.0200000000000001E-3</v>
      </c>
      <c r="H7" s="80">
        <f t="shared" si="1"/>
        <v>560547.20808000001</v>
      </c>
      <c r="I7" s="80">
        <f t="shared" si="2"/>
        <v>52914.642464077158</v>
      </c>
    </row>
    <row r="8" spans="2:9" ht="14.25" hidden="1" customHeight="1" x14ac:dyDescent="0.2">
      <c r="B8" s="94">
        <v>45017</v>
      </c>
      <c r="C8" s="86">
        <v>117135819.07126024</v>
      </c>
      <c r="D8" s="95">
        <v>4.0200000000000001E-3</v>
      </c>
      <c r="E8" s="80">
        <f t="shared" si="0"/>
        <v>470885.99266646622</v>
      </c>
      <c r="F8" s="86">
        <v>133331813</v>
      </c>
      <c r="G8" s="95">
        <v>4.0200000000000001E-3</v>
      </c>
      <c r="H8" s="80">
        <f t="shared" si="1"/>
        <v>535993.88826000004</v>
      </c>
      <c r="I8" s="80">
        <f t="shared" si="2"/>
        <v>65107.895593533816</v>
      </c>
    </row>
    <row r="9" spans="2:9" ht="16.5" hidden="1" customHeight="1" x14ac:dyDescent="0.2">
      <c r="B9" s="94" t="s">
        <v>131</v>
      </c>
      <c r="C9" s="86">
        <v>110140476.02410069</v>
      </c>
      <c r="D9" s="95">
        <v>5.8900000000000003E-3</v>
      </c>
      <c r="E9" s="80">
        <f t="shared" si="0"/>
        <v>648727.40378195315</v>
      </c>
      <c r="F9" s="86">
        <v>114119479</v>
      </c>
      <c r="G9" s="95">
        <v>5.3533713631833202E-3</v>
      </c>
      <c r="H9" s="80">
        <f t="shared" si="1"/>
        <v>610923.95086000033</v>
      </c>
      <c r="I9" s="80">
        <f t="shared" si="2"/>
        <v>-37803.452921952819</v>
      </c>
    </row>
    <row r="10" spans="2:9" ht="14.25" hidden="1" customHeight="1" x14ac:dyDescent="0.2">
      <c r="B10" s="94">
        <v>45078</v>
      </c>
      <c r="C10" s="86">
        <v>102675406.86635324</v>
      </c>
      <c r="D10" s="95">
        <v>5.8900000000000003E-3</v>
      </c>
      <c r="E10" s="80">
        <f t="shared" si="0"/>
        <v>604758.14644282067</v>
      </c>
      <c r="F10" s="86">
        <v>106611426</v>
      </c>
      <c r="G10" s="95">
        <v>5.8900000000000003E-3</v>
      </c>
      <c r="H10" s="80">
        <f t="shared" si="1"/>
        <v>627941.29914000002</v>
      </c>
      <c r="I10" s="80">
        <f t="shared" si="2"/>
        <v>23183.15269717935</v>
      </c>
    </row>
    <row r="11" spans="2:9" ht="14.25" hidden="1" customHeight="1" x14ac:dyDescent="0.2">
      <c r="B11" s="94">
        <v>45108</v>
      </c>
      <c r="C11" s="86">
        <v>101287128.53539975</v>
      </c>
      <c r="D11" s="95">
        <v>5.8900000000000003E-3</v>
      </c>
      <c r="E11" s="80">
        <f t="shared" si="0"/>
        <v>596581.18707350455</v>
      </c>
      <c r="F11" s="86">
        <v>111187167</v>
      </c>
      <c r="G11" s="95">
        <v>5.8900000000000003E-3</v>
      </c>
      <c r="H11" s="80">
        <f t="shared" si="1"/>
        <v>654892.41363000008</v>
      </c>
      <c r="I11" s="80">
        <f t="shared" si="2"/>
        <v>58311.226556495531</v>
      </c>
    </row>
    <row r="12" spans="2:9" ht="14.25" hidden="1" customHeight="1" x14ac:dyDescent="0.2">
      <c r="B12" s="94">
        <v>45139</v>
      </c>
      <c r="C12" s="86">
        <v>111404739.0482394</v>
      </c>
      <c r="D12" s="95">
        <v>5.8900000000000003E-3</v>
      </c>
      <c r="E12" s="80">
        <f t="shared" si="0"/>
        <v>656173.91299413005</v>
      </c>
      <c r="F12" s="86">
        <v>115851908</v>
      </c>
      <c r="G12" s="95">
        <v>5.8900000000000003E-3</v>
      </c>
      <c r="H12" s="80">
        <f t="shared" si="1"/>
        <v>682367.73811999999</v>
      </c>
      <c r="I12" s="80">
        <f t="shared" si="2"/>
        <v>26193.825125869946</v>
      </c>
    </row>
    <row r="13" spans="2:9" ht="14.25" hidden="1" customHeight="1" x14ac:dyDescent="0.2">
      <c r="B13" s="94">
        <v>45170</v>
      </c>
      <c r="C13" s="86">
        <v>104369273.43774976</v>
      </c>
      <c r="D13" s="95">
        <v>5.8900000000000003E-3</v>
      </c>
      <c r="E13" s="80">
        <f t="shared" si="0"/>
        <v>614735.0205483461</v>
      </c>
      <c r="F13" s="86">
        <v>108774864</v>
      </c>
      <c r="G13" s="95">
        <v>5.8900000000000003E-3</v>
      </c>
      <c r="H13" s="80">
        <f t="shared" si="1"/>
        <v>640683.94896000007</v>
      </c>
      <c r="I13" s="80">
        <f t="shared" si="2"/>
        <v>25948.928411653964</v>
      </c>
    </row>
    <row r="14" spans="2:9" ht="16.5" hidden="1" customHeight="1" x14ac:dyDescent="0.2">
      <c r="B14" s="94" t="s">
        <v>132</v>
      </c>
      <c r="C14" s="86">
        <v>100720228.10162006</v>
      </c>
      <c r="D14" s="95">
        <v>5.8900000000000003E-3</v>
      </c>
      <c r="E14" s="80">
        <f t="shared" si="0"/>
        <v>593242.14351854217</v>
      </c>
      <c r="F14" s="86">
        <v>103690120</v>
      </c>
      <c r="G14" s="95">
        <v>7.5114343896988496E-3</v>
      </c>
      <c r="H14" s="80">
        <f t="shared" si="1"/>
        <v>778861.53324000048</v>
      </c>
      <c r="I14" s="80">
        <f t="shared" si="2"/>
        <v>185619.38972145831</v>
      </c>
    </row>
    <row r="15" spans="2:9" ht="14.25" hidden="1" customHeight="1" x14ac:dyDescent="0.2">
      <c r="B15" s="94">
        <v>45231</v>
      </c>
      <c r="C15" s="86">
        <v>113671527.05153482</v>
      </c>
      <c r="D15" s="95">
        <v>5.8900000000000003E-3</v>
      </c>
      <c r="E15" s="80">
        <f t="shared" si="0"/>
        <v>669525.29433354014</v>
      </c>
      <c r="F15" s="86">
        <v>116312004</v>
      </c>
      <c r="G15" s="95">
        <v>9.1900000000000003E-3</v>
      </c>
      <c r="H15" s="80">
        <f t="shared" si="1"/>
        <v>1068907.3167600001</v>
      </c>
      <c r="I15" s="80">
        <f t="shared" si="2"/>
        <v>399382.02242645994</v>
      </c>
    </row>
    <row r="16" spans="2:9" ht="14.25" hidden="1" customHeight="1" x14ac:dyDescent="0.2">
      <c r="B16" s="94">
        <v>45261</v>
      </c>
      <c r="C16" s="86">
        <v>123983576.79914089</v>
      </c>
      <c r="D16" s="95">
        <v>5.8900000000000003E-3</v>
      </c>
      <c r="E16" s="80">
        <f t="shared" si="0"/>
        <v>730263.26734693989</v>
      </c>
      <c r="F16" s="86">
        <v>139507660</v>
      </c>
      <c r="G16" s="95">
        <v>9.1900000000000003E-3</v>
      </c>
      <c r="H16" s="80">
        <f t="shared" si="1"/>
        <v>1282075.3954</v>
      </c>
      <c r="I16" s="80">
        <f t="shared" si="2"/>
        <v>551812.12805306015</v>
      </c>
    </row>
    <row r="17" spans="2:15" x14ac:dyDescent="0.2">
      <c r="B17" s="197" t="s">
        <v>146</v>
      </c>
      <c r="C17" s="67">
        <f>SUM(C5:C16)</f>
        <v>1391748980.9528525</v>
      </c>
      <c r="D17" s="112">
        <f>E17/C17</f>
        <v>5.1866126059272061E-3</v>
      </c>
      <c r="E17" s="113">
        <f>SUM(E5:E16)</f>
        <v>7218462.8088964075</v>
      </c>
      <c r="F17" s="67">
        <f>SUM(F5:F16)</f>
        <v>1479163879</v>
      </c>
      <c r="G17" s="112">
        <f>H17/F17</f>
        <v>5.8210945435951938E-3</v>
      </c>
      <c r="H17" s="113">
        <f>SUM(H5:H16)</f>
        <v>8610352.7851300016</v>
      </c>
      <c r="I17" s="113">
        <f>SUM(I5:I16)</f>
        <v>1391889.9762335941</v>
      </c>
      <c r="J17" s="114"/>
      <c r="K17" s="63"/>
      <c r="L17" s="119"/>
      <c r="M17" s="115"/>
      <c r="N17" s="115"/>
      <c r="O17" s="115"/>
    </row>
    <row r="18" spans="2:15" ht="14.25" hidden="1" customHeight="1" x14ac:dyDescent="0.2">
      <c r="B18" s="94">
        <v>45292</v>
      </c>
      <c r="C18" s="67">
        <v>142032550.72446841</v>
      </c>
      <c r="D18" s="112">
        <v>5.8900000000000003E-3</v>
      </c>
      <c r="E18" s="62">
        <f t="shared" ref="E18:E29" si="3">C18*D18</f>
        <v>836571.72376711899</v>
      </c>
      <c r="F18" s="67">
        <v>151803020</v>
      </c>
      <c r="G18" s="112">
        <v>9.1900000000000003E-3</v>
      </c>
      <c r="H18" s="62">
        <f t="shared" ref="H18:H29" si="4">F18*G18</f>
        <v>1395069.7538000001</v>
      </c>
      <c r="I18" s="62">
        <f t="shared" ref="I18:I29" si="5">H18-E18</f>
        <v>558498.03003288107</v>
      </c>
      <c r="K18" s="63"/>
      <c r="L18" s="119"/>
    </row>
    <row r="19" spans="2:15" ht="14.25" hidden="1" customHeight="1" x14ac:dyDescent="0.2">
      <c r="B19" s="94">
        <v>45323</v>
      </c>
      <c r="C19" s="67">
        <v>142580221.02930975</v>
      </c>
      <c r="D19" s="112">
        <v>5.8900000000000003E-3</v>
      </c>
      <c r="E19" s="62">
        <f t="shared" si="3"/>
        <v>839797.50186263444</v>
      </c>
      <c r="F19" s="67">
        <v>161606065</v>
      </c>
      <c r="G19" s="112">
        <v>9.1900000000000003E-3</v>
      </c>
      <c r="H19" s="62">
        <f t="shared" si="4"/>
        <v>1485159.7373500001</v>
      </c>
      <c r="I19" s="62">
        <f t="shared" si="5"/>
        <v>645362.23548736563</v>
      </c>
      <c r="K19" s="63"/>
      <c r="L19" s="119"/>
    </row>
    <row r="20" spans="2:15" ht="14.25" hidden="1" customHeight="1" x14ac:dyDescent="0.2">
      <c r="B20" s="94" t="s">
        <v>133</v>
      </c>
      <c r="C20" s="67">
        <v>128237771.84429245</v>
      </c>
      <c r="D20" s="112">
        <v>2.8700000000000002E-3</v>
      </c>
      <c r="E20" s="62">
        <f t="shared" si="3"/>
        <v>368042.40519311937</v>
      </c>
      <c r="F20" s="67">
        <v>143436991</v>
      </c>
      <c r="G20" s="112">
        <v>7.7398208248805229E-3</v>
      </c>
      <c r="H20" s="62">
        <f t="shared" si="4"/>
        <v>1110176.6100000001</v>
      </c>
      <c r="I20" s="62">
        <f t="shared" si="5"/>
        <v>742134.20480688079</v>
      </c>
      <c r="K20" s="63"/>
      <c r="L20" s="119"/>
    </row>
    <row r="21" spans="2:15" ht="14.25" hidden="1" customHeight="1" x14ac:dyDescent="0.2">
      <c r="B21" s="94">
        <v>45383</v>
      </c>
      <c r="C21" s="67">
        <v>118916502.78984545</v>
      </c>
      <c r="D21" s="112">
        <v>2.8700000000000002E-3</v>
      </c>
      <c r="E21" s="62">
        <f t="shared" si="3"/>
        <v>341290.36300685647</v>
      </c>
      <c r="F21" s="67">
        <v>131248896</v>
      </c>
      <c r="G21" s="112">
        <v>6.1700000000000001E-3</v>
      </c>
      <c r="H21" s="62">
        <f t="shared" si="4"/>
        <v>809805.68832000007</v>
      </c>
      <c r="I21" s="62">
        <f t="shared" si="5"/>
        <v>468515.32531314361</v>
      </c>
      <c r="K21" s="63"/>
      <c r="L21" s="119"/>
    </row>
    <row r="22" spans="2:15" ht="14.25" hidden="1" customHeight="1" x14ac:dyDescent="0.2">
      <c r="B22" s="94">
        <v>45413</v>
      </c>
      <c r="C22" s="67">
        <v>111825763.46715468</v>
      </c>
      <c r="D22" s="112">
        <v>2.8700000000000002E-3</v>
      </c>
      <c r="E22" s="62">
        <f t="shared" si="3"/>
        <v>320939.94115073397</v>
      </c>
      <c r="F22" s="67">
        <v>120450943</v>
      </c>
      <c r="G22" s="112">
        <v>6.1700000000000001E-3</v>
      </c>
      <c r="H22" s="62">
        <f t="shared" si="4"/>
        <v>743182.31831</v>
      </c>
      <c r="I22" s="62">
        <f t="shared" si="5"/>
        <v>422242.37715926603</v>
      </c>
      <c r="K22" s="63"/>
      <c r="L22" s="119"/>
    </row>
    <row r="23" spans="2:15" ht="14.25" hidden="1" customHeight="1" x14ac:dyDescent="0.2">
      <c r="B23" s="94">
        <v>45444</v>
      </c>
      <c r="C23" s="67">
        <v>104120797.92420173</v>
      </c>
      <c r="D23" s="112">
        <v>2.8700000000000002E-3</v>
      </c>
      <c r="E23" s="62">
        <f t="shared" si="3"/>
        <v>298826.690042459</v>
      </c>
      <c r="F23" s="67">
        <v>108630244</v>
      </c>
      <c r="G23" s="112">
        <v>6.1700000000000001E-3</v>
      </c>
      <c r="H23" s="62">
        <f t="shared" si="4"/>
        <v>670248.60548000003</v>
      </c>
      <c r="I23" s="62">
        <f t="shared" si="5"/>
        <v>371421.91543754103</v>
      </c>
      <c r="K23" s="63"/>
      <c r="L23" s="119"/>
    </row>
    <row r="24" spans="2:15" ht="14.25" hidden="1" customHeight="1" x14ac:dyDescent="0.2">
      <c r="B24" s="94">
        <v>45474</v>
      </c>
      <c r="C24" s="67">
        <v>102666028.26549217</v>
      </c>
      <c r="D24" s="112">
        <v>2.8700000000000002E-3</v>
      </c>
      <c r="E24" s="62">
        <f t="shared" si="3"/>
        <v>294651.50112196256</v>
      </c>
      <c r="F24" s="67">
        <v>109014180</v>
      </c>
      <c r="G24" s="112">
        <v>6.1700000000000001E-3</v>
      </c>
      <c r="H24" s="62">
        <f t="shared" si="4"/>
        <v>672617.49060000002</v>
      </c>
      <c r="I24" s="62">
        <f t="shared" si="5"/>
        <v>377965.98947803746</v>
      </c>
      <c r="K24" s="63"/>
      <c r="L24" s="119"/>
    </row>
    <row r="25" spans="2:15" ht="14.25" hidden="1" customHeight="1" x14ac:dyDescent="0.2">
      <c r="B25" s="94">
        <v>45505</v>
      </c>
      <c r="C25" s="67">
        <v>112872931.75436507</v>
      </c>
      <c r="D25" s="112">
        <v>2.8700000000000002E-3</v>
      </c>
      <c r="E25" s="62">
        <f t="shared" si="3"/>
        <v>323945.31413502776</v>
      </c>
      <c r="F25" s="67">
        <v>121409828</v>
      </c>
      <c r="G25" s="112">
        <v>6.1700000000000001E-3</v>
      </c>
      <c r="H25" s="62">
        <f t="shared" si="4"/>
        <v>749098.63876</v>
      </c>
      <c r="I25" s="62">
        <f t="shared" si="5"/>
        <v>425153.32462497224</v>
      </c>
      <c r="K25" s="63"/>
      <c r="L25" s="119"/>
    </row>
    <row r="26" spans="2:15" ht="14.25" hidden="1" customHeight="1" x14ac:dyDescent="0.2">
      <c r="B26" s="94">
        <v>45536</v>
      </c>
      <c r="C26" s="67">
        <v>105824901.77192096</v>
      </c>
      <c r="D26" s="112">
        <v>2.8700000000000002E-3</v>
      </c>
      <c r="E26" s="62">
        <f t="shared" si="3"/>
        <v>303717.46808541316</v>
      </c>
      <c r="F26" s="67">
        <v>112546943</v>
      </c>
      <c r="G26" s="112">
        <v>6.1700000000000001E-3</v>
      </c>
      <c r="H26" s="62">
        <f t="shared" si="4"/>
        <v>694414.63831000007</v>
      </c>
      <c r="I26" s="62">
        <f t="shared" si="5"/>
        <v>390697.17022458691</v>
      </c>
      <c r="K26" s="63"/>
      <c r="L26" s="119"/>
    </row>
    <row r="27" spans="2:15" ht="14.25" hidden="1" customHeight="1" x14ac:dyDescent="0.2">
      <c r="B27" s="94">
        <v>45566</v>
      </c>
      <c r="C27" s="67">
        <v>102160879.78210528</v>
      </c>
      <c r="D27" s="112">
        <v>2.8700000000000002E-3</v>
      </c>
      <c r="E27" s="62">
        <f t="shared" si="3"/>
        <v>293201.72497464216</v>
      </c>
      <c r="F27" s="67">
        <v>105514512</v>
      </c>
      <c r="G27" s="112">
        <v>6.1700000000000001E-3</v>
      </c>
      <c r="H27" s="62">
        <f t="shared" si="4"/>
        <v>651024.53904000006</v>
      </c>
      <c r="I27" s="62">
        <f t="shared" si="5"/>
        <v>357822.8140653579</v>
      </c>
      <c r="K27" s="63"/>
      <c r="L27" s="119"/>
    </row>
    <row r="28" spans="2:15" ht="14.25" hidden="1" customHeight="1" x14ac:dyDescent="0.2">
      <c r="B28" s="94">
        <v>45597</v>
      </c>
      <c r="C28" s="67">
        <v>115343068.45004267</v>
      </c>
      <c r="D28" s="112">
        <v>2.8700000000000002E-3</v>
      </c>
      <c r="E28" s="62">
        <f t="shared" si="3"/>
        <v>331034.60645162244</v>
      </c>
      <c r="F28" s="67">
        <v>118478863</v>
      </c>
      <c r="G28" s="112">
        <v>6.1700000000000001E-3</v>
      </c>
      <c r="H28" s="62">
        <f t="shared" si="4"/>
        <v>731014.58470999997</v>
      </c>
      <c r="I28" s="62">
        <f t="shared" si="5"/>
        <v>399979.97825837752</v>
      </c>
      <c r="K28" s="63"/>
      <c r="L28" s="119"/>
    </row>
    <row r="29" spans="2:15" ht="14.25" hidden="1" customHeight="1" x14ac:dyDescent="0.2">
      <c r="B29" s="94">
        <v>45627</v>
      </c>
      <c r="C29" s="67">
        <v>125663840.92771745</v>
      </c>
      <c r="D29" s="112">
        <v>2.8700000000000002E-3</v>
      </c>
      <c r="E29" s="62">
        <f t="shared" si="3"/>
        <v>360655.2234625491</v>
      </c>
      <c r="F29" s="67">
        <v>138809678</v>
      </c>
      <c r="G29" s="112">
        <v>6.1700000000000001E-3</v>
      </c>
      <c r="H29" s="62">
        <f t="shared" si="4"/>
        <v>856455.71325999999</v>
      </c>
      <c r="I29" s="62">
        <f t="shared" si="5"/>
        <v>495800.48979745089</v>
      </c>
      <c r="K29" s="63"/>
      <c r="L29" s="119"/>
    </row>
    <row r="30" spans="2:15" ht="14.25" customHeight="1" x14ac:dyDescent="0.2">
      <c r="B30" s="197" t="s">
        <v>147</v>
      </c>
      <c r="C30" s="67">
        <f>SUM(C18:C29)</f>
        <v>1412245258.7309163</v>
      </c>
      <c r="D30" s="112">
        <f>E30/C30</f>
        <v>3.4786269827301866E-3</v>
      </c>
      <c r="E30" s="62">
        <f>SUM(E18:E29)</f>
        <v>4912674.4632541388</v>
      </c>
      <c r="F30" s="67">
        <f>SUM(F18:F29)</f>
        <v>1522950163</v>
      </c>
      <c r="G30" s="112">
        <f>H30/F30</f>
        <v>6.9393395625776625E-3</v>
      </c>
      <c r="H30" s="62">
        <f>SUM(H18:H29)</f>
        <v>10568268.31794</v>
      </c>
      <c r="I30" s="62">
        <f>SUM(I18:I29)</f>
        <v>5655593.8546858607</v>
      </c>
      <c r="J30" s="114"/>
      <c r="K30" s="63"/>
      <c r="L30" s="119"/>
    </row>
    <row r="31" spans="2:15" ht="14.25" hidden="1" customHeight="1" x14ac:dyDescent="0.2">
      <c r="B31" s="94">
        <v>45658</v>
      </c>
      <c r="C31" s="67">
        <v>144234332.86001351</v>
      </c>
      <c r="D31" s="112">
        <v>2.8700000000000002E-3</v>
      </c>
      <c r="E31" s="62">
        <f t="shared" ref="E31:E42" si="6">C31*D31</f>
        <v>413952.53530823882</v>
      </c>
      <c r="F31" s="67">
        <v>163456132</v>
      </c>
      <c r="G31" s="112">
        <v>6.1700000000000001E-3</v>
      </c>
      <c r="H31" s="62">
        <f t="shared" ref="H31:H42" si="7">F31*G31</f>
        <v>1008524.33444</v>
      </c>
      <c r="I31" s="62">
        <f t="shared" ref="I31:I42" si="8">H31-E31</f>
        <v>594571.79913176119</v>
      </c>
      <c r="K31" s="63"/>
      <c r="L31" s="119"/>
    </row>
    <row r="32" spans="2:15" ht="14.25" hidden="1" customHeight="1" x14ac:dyDescent="0.2">
      <c r="B32" s="94">
        <v>45689</v>
      </c>
      <c r="C32" s="67">
        <v>144808945.65470213</v>
      </c>
      <c r="D32" s="112">
        <v>2.8700000000000002E-3</v>
      </c>
      <c r="E32" s="62">
        <f t="shared" si="6"/>
        <v>415601.67402899516</v>
      </c>
      <c r="F32" s="67">
        <v>184510680</v>
      </c>
      <c r="G32" s="112">
        <v>6.1700000000000001E-3</v>
      </c>
      <c r="H32" s="62">
        <f t="shared" si="7"/>
        <v>1138430.8955999999</v>
      </c>
      <c r="I32" s="62">
        <f t="shared" si="8"/>
        <v>722829.22157100472</v>
      </c>
      <c r="K32" s="63"/>
      <c r="L32" s="119"/>
    </row>
    <row r="33" spans="2:12" ht="14.25" hidden="1" customHeight="1" x14ac:dyDescent="0.2">
      <c r="B33" s="94" t="s">
        <v>134</v>
      </c>
      <c r="C33" s="67">
        <v>130175659.48872799</v>
      </c>
      <c r="D33" s="112">
        <v>1.4499999999999999E-3</v>
      </c>
      <c r="E33" s="62">
        <f t="shared" si="6"/>
        <v>188754.70625865555</v>
      </c>
      <c r="F33" s="67">
        <v>145458954</v>
      </c>
      <c r="G33" s="112">
        <v>5.4311540010111717E-3</v>
      </c>
      <c r="H33" s="62">
        <f t="shared" si="7"/>
        <v>790009.98</v>
      </c>
      <c r="I33" s="62">
        <f t="shared" si="8"/>
        <v>601255.27374134446</v>
      </c>
      <c r="K33" s="63"/>
      <c r="L33" s="119"/>
    </row>
    <row r="34" spans="2:12" ht="14.25" hidden="1" customHeight="1" x14ac:dyDescent="0.2">
      <c r="B34" s="94">
        <v>45748</v>
      </c>
      <c r="C34" s="67">
        <v>120615451.49421346</v>
      </c>
      <c r="D34" s="112">
        <v>1.4499999999999999E-3</v>
      </c>
      <c r="E34" s="62">
        <f t="shared" si="6"/>
        <v>174892.40466660951</v>
      </c>
      <c r="F34" s="67">
        <v>134369956</v>
      </c>
      <c r="G34" s="112">
        <v>4.7499999999999999E-3</v>
      </c>
      <c r="H34" s="62">
        <f t="shared" si="7"/>
        <v>638257.29099999997</v>
      </c>
      <c r="I34" s="62">
        <f t="shared" si="8"/>
        <v>463364.88633339049</v>
      </c>
      <c r="K34" s="63"/>
      <c r="L34" s="119"/>
    </row>
    <row r="35" spans="2:12" ht="14.25" hidden="1" customHeight="1" x14ac:dyDescent="0.2">
      <c r="B35" s="94">
        <v>45778</v>
      </c>
      <c r="C35" s="67">
        <v>113389932.12815754</v>
      </c>
      <c r="D35" s="112">
        <v>1.4499999999999999E-3</v>
      </c>
      <c r="E35" s="62">
        <f t="shared" si="6"/>
        <v>164415.40158582843</v>
      </c>
      <c r="F35" s="67">
        <v>122880714</v>
      </c>
      <c r="G35" s="112">
        <v>4.7499999999999999E-3</v>
      </c>
      <c r="H35" s="62">
        <f t="shared" si="7"/>
        <v>583683.39150000003</v>
      </c>
      <c r="I35" s="62">
        <f t="shared" si="8"/>
        <v>419267.98991417163</v>
      </c>
      <c r="K35" s="63"/>
      <c r="L35" s="119"/>
    </row>
    <row r="36" spans="2:12" ht="14.25" hidden="1" customHeight="1" x14ac:dyDescent="0.2">
      <c r="B36" s="94">
        <v>45809</v>
      </c>
      <c r="C36" s="67">
        <v>105397044.48724304</v>
      </c>
      <c r="D36" s="112">
        <v>1.4499999999999999E-3</v>
      </c>
      <c r="E36" s="62">
        <f t="shared" si="6"/>
        <v>152825.71450650241</v>
      </c>
      <c r="F36" s="67">
        <v>110377339</v>
      </c>
      <c r="G36" s="112">
        <v>4.7499999999999999E-3</v>
      </c>
      <c r="H36" s="62">
        <f t="shared" si="7"/>
        <v>524292.36025000003</v>
      </c>
      <c r="I36" s="62">
        <f t="shared" si="8"/>
        <v>371466.64574349765</v>
      </c>
      <c r="K36" s="63"/>
      <c r="L36" s="119"/>
    </row>
    <row r="37" spans="2:12" ht="14.25" hidden="1" customHeight="1" x14ac:dyDescent="0.2">
      <c r="B37" s="94">
        <v>45839</v>
      </c>
      <c r="C37" s="67">
        <v>103847128.60257968</v>
      </c>
      <c r="D37" s="112">
        <v>1.4499999999999999E-3</v>
      </c>
      <c r="E37" s="62">
        <f t="shared" si="6"/>
        <v>150578.33647374052</v>
      </c>
      <c r="F37" s="67">
        <v>109945752</v>
      </c>
      <c r="G37" s="112">
        <v>4.7499999999999999E-3</v>
      </c>
      <c r="H37" s="62">
        <f t="shared" si="7"/>
        <v>522242.32199999999</v>
      </c>
      <c r="I37" s="62">
        <f t="shared" si="8"/>
        <v>371663.98552625946</v>
      </c>
      <c r="K37" s="63"/>
      <c r="L37" s="119"/>
    </row>
    <row r="38" spans="2:12" ht="14.25" hidden="1" customHeight="1" x14ac:dyDescent="0.2">
      <c r="B38" s="94">
        <v>45870</v>
      </c>
      <c r="C38" s="67">
        <v>114208390.49386537</v>
      </c>
      <c r="D38" s="112">
        <v>1.4499999999999999E-3</v>
      </c>
      <c r="E38" s="62">
        <f t="shared" si="6"/>
        <v>165602.16621610479</v>
      </c>
      <c r="F38" s="67">
        <v>121193159</v>
      </c>
      <c r="G38" s="112">
        <v>4.7499999999999999E-3</v>
      </c>
      <c r="H38" s="62">
        <f t="shared" si="7"/>
        <v>575667.50524999993</v>
      </c>
      <c r="I38" s="62">
        <f t="shared" si="8"/>
        <v>410065.33903389517</v>
      </c>
      <c r="K38" s="63"/>
      <c r="L38" s="119"/>
    </row>
    <row r="39" spans="2:12" ht="14.25" hidden="1" customHeight="1" x14ac:dyDescent="0.2">
      <c r="B39" s="94">
        <v>45901</v>
      </c>
      <c r="C39" s="67">
        <v>107014695.0786479</v>
      </c>
      <c r="D39" s="112">
        <v>1.4499999999999999E-3</v>
      </c>
      <c r="E39" s="62">
        <f t="shared" si="6"/>
        <v>155171.30786403944</v>
      </c>
      <c r="F39" s="67">
        <v>112299750</v>
      </c>
      <c r="G39" s="112">
        <v>4.7499999999999999E-3</v>
      </c>
      <c r="H39" s="62">
        <f t="shared" si="7"/>
        <v>533423.8125</v>
      </c>
      <c r="I39" s="62">
        <f t="shared" si="8"/>
        <v>378252.50463596056</v>
      </c>
      <c r="K39" s="63"/>
      <c r="L39" s="119"/>
    </row>
    <row r="40" spans="2:12" ht="14.25" hidden="1" customHeight="1" x14ac:dyDescent="0.2">
      <c r="B40" s="94">
        <v>45931</v>
      </c>
      <c r="C40" s="67">
        <v>103412312.39940697</v>
      </c>
      <c r="D40" s="112">
        <v>1.4499999999999999E-3</v>
      </c>
      <c r="E40" s="62">
        <f t="shared" si="6"/>
        <v>149947.85297914009</v>
      </c>
      <c r="F40" s="67">
        <v>106753078.76482573</v>
      </c>
      <c r="G40" s="112">
        <v>4.7499999999999999E-3</v>
      </c>
      <c r="H40" s="62">
        <f t="shared" si="7"/>
        <v>507077.12413292221</v>
      </c>
      <c r="I40" s="62">
        <f t="shared" si="8"/>
        <v>357129.27115378215</v>
      </c>
      <c r="K40" s="63"/>
      <c r="L40" s="119"/>
    </row>
    <row r="41" spans="2:12" ht="14.25" hidden="1" customHeight="1" x14ac:dyDescent="0.2">
      <c r="B41" s="94">
        <v>45962</v>
      </c>
      <c r="C41" s="67">
        <v>116873094.51088868</v>
      </c>
      <c r="D41" s="112">
        <v>1.4499999999999999E-3</v>
      </c>
      <c r="E41" s="62">
        <f t="shared" si="6"/>
        <v>169465.98704078858</v>
      </c>
      <c r="F41" s="67">
        <v>120945028.800846</v>
      </c>
      <c r="G41" s="112">
        <v>4.7499999999999999E-3</v>
      </c>
      <c r="H41" s="62">
        <f t="shared" si="7"/>
        <v>574488.88680401852</v>
      </c>
      <c r="I41" s="62">
        <f t="shared" si="8"/>
        <v>405022.89976322994</v>
      </c>
      <c r="K41" s="63"/>
      <c r="L41" s="119"/>
    </row>
    <row r="42" spans="2:12" ht="14.25" hidden="1" customHeight="1" x14ac:dyDescent="0.2">
      <c r="B42" s="94">
        <v>45992</v>
      </c>
      <c r="C42" s="67">
        <v>127109996.20271645</v>
      </c>
      <c r="D42" s="112">
        <v>1.4499999999999999E-3</v>
      </c>
      <c r="E42" s="62">
        <f t="shared" si="6"/>
        <v>184309.49449393884</v>
      </c>
      <c r="F42" s="67">
        <v>148522092.69479001</v>
      </c>
      <c r="G42" s="112">
        <v>4.7499999999999999E-3</v>
      </c>
      <c r="H42" s="62">
        <f t="shared" si="7"/>
        <v>705479.94030025252</v>
      </c>
      <c r="I42" s="62">
        <f t="shared" si="8"/>
        <v>521170.44580631366</v>
      </c>
      <c r="K42" s="63"/>
      <c r="L42" s="119"/>
    </row>
    <row r="43" spans="2:12" x14ac:dyDescent="0.2">
      <c r="B43" s="198" t="s">
        <v>148</v>
      </c>
      <c r="C43" s="77">
        <f>SUM(C31:C42)</f>
        <v>1431086983.4011624</v>
      </c>
      <c r="D43" s="112">
        <f>E43/C43</f>
        <v>1.7368039890317706E-3</v>
      </c>
      <c r="E43" s="62">
        <f>SUM(E31:E42)</f>
        <v>2485517.5814225823</v>
      </c>
      <c r="F43" s="116">
        <f>SUM(F31:F42)</f>
        <v>1580712636.2604618</v>
      </c>
      <c r="G43" s="117">
        <f>H43/F43</f>
        <v>5.1252692348581026E-3</v>
      </c>
      <c r="H43" s="118">
        <f>SUM(H31:H42)</f>
        <v>8101577.8437771909</v>
      </c>
      <c r="I43" s="62">
        <f>SUM(I31:I42)</f>
        <v>5616060.2623546114</v>
      </c>
      <c r="J43" s="114"/>
      <c r="K43" s="63"/>
      <c r="L43" s="119"/>
    </row>
    <row r="44" spans="2:12" x14ac:dyDescent="0.2">
      <c r="B44" s="377" t="s">
        <v>35</v>
      </c>
      <c r="C44" s="378"/>
      <c r="D44" s="206"/>
      <c r="E44" s="207">
        <f>SUM(E43,E30,E17)</f>
        <v>14616654.853573129</v>
      </c>
      <c r="F44" s="208"/>
      <c r="G44" s="209"/>
      <c r="H44" s="210">
        <f>SUM(H43,H30,H17)</f>
        <v>27280198.946847193</v>
      </c>
      <c r="I44" s="207">
        <f>SUM(I43,I30,I17)</f>
        <v>12663544.093274066</v>
      </c>
    </row>
    <row r="45" spans="2:12" ht="17.25" customHeight="1" x14ac:dyDescent="0.2"/>
    <row r="46" spans="2:12" x14ac:dyDescent="0.2">
      <c r="B46" s="342"/>
      <c r="C46" s="342"/>
      <c r="D46" s="342"/>
      <c r="E46" s="342"/>
      <c r="F46" s="342"/>
      <c r="G46" s="342"/>
      <c r="H46" s="342"/>
    </row>
  </sheetData>
  <mergeCells count="3">
    <mergeCell ref="B2:I2"/>
    <mergeCell ref="B46:H46"/>
    <mergeCell ref="B44:C4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/>
  <dimension ref="B2:I20"/>
  <sheetViews>
    <sheetView zoomScaleNormal="100" workbookViewId="0">
      <selection activeCell="J17" sqref="J17"/>
    </sheetView>
  </sheetViews>
  <sheetFormatPr defaultColWidth="9.140625" defaultRowHeight="12.75" x14ac:dyDescent="0.2"/>
  <cols>
    <col min="1" max="1" width="4.28515625" style="59" customWidth="1"/>
    <col min="2" max="2" width="24.140625" style="59" customWidth="1"/>
    <col min="3" max="3" width="18.5703125" style="59" bestFit="1" customWidth="1"/>
    <col min="4" max="4" width="18.85546875" style="59" bestFit="1" customWidth="1"/>
    <col min="5" max="6" width="17.5703125" style="59" bestFit="1" customWidth="1"/>
    <col min="7" max="7" width="18.28515625" style="59" bestFit="1" customWidth="1"/>
    <col min="8" max="8" width="20.7109375" style="59" bestFit="1" customWidth="1"/>
    <col min="9" max="9" width="15.5703125" style="59" bestFit="1" customWidth="1"/>
    <col min="10" max="10" width="9.140625" style="59"/>
    <col min="11" max="11" width="18.28515625" style="59" bestFit="1" customWidth="1"/>
    <col min="12" max="16384" width="9.140625" style="59"/>
  </cols>
  <sheetData>
    <row r="2" spans="2:9" ht="37.5" customHeight="1" x14ac:dyDescent="0.2">
      <c r="B2" s="374" t="s">
        <v>224</v>
      </c>
      <c r="C2" s="379"/>
      <c r="D2" s="379"/>
      <c r="E2" s="379"/>
      <c r="F2" s="379"/>
      <c r="G2" s="379"/>
      <c r="H2" s="380"/>
    </row>
    <row r="3" spans="2:9" ht="18" customHeight="1" x14ac:dyDescent="0.2">
      <c r="B3" s="219"/>
      <c r="C3" s="220"/>
      <c r="D3" s="220"/>
      <c r="E3" s="230">
        <v>2023</v>
      </c>
      <c r="F3" s="230">
        <v>2024</v>
      </c>
      <c r="G3" s="230">
        <v>2025</v>
      </c>
      <c r="H3" s="205" t="s">
        <v>35</v>
      </c>
    </row>
    <row r="4" spans="2:9" ht="38.25" x14ac:dyDescent="0.2">
      <c r="B4" s="221" t="s">
        <v>226</v>
      </c>
      <c r="C4" s="222" t="s">
        <v>229</v>
      </c>
      <c r="D4" s="211" t="s">
        <v>25</v>
      </c>
      <c r="E4" s="224">
        <v>0</v>
      </c>
      <c r="F4" s="224">
        <v>0</v>
      </c>
      <c r="G4" s="224">
        <v>0</v>
      </c>
      <c r="H4" s="140">
        <f>'5.1'!D24-1</f>
        <v>4864230.2312929425</v>
      </c>
    </row>
    <row r="5" spans="2:9" ht="38.25" x14ac:dyDescent="0.2">
      <c r="B5" s="85" t="str">
        <f>+'5.1'!B10</f>
        <v>Additional Energy Costs Deferred to ECAM over GRA Forecast</v>
      </c>
      <c r="C5" s="223" t="s">
        <v>227</v>
      </c>
      <c r="D5" s="137" t="s">
        <v>26</v>
      </c>
      <c r="E5" s="86">
        <f>+'5.1'!D10</f>
        <v>4145204.9728200138</v>
      </c>
      <c r="F5" s="86">
        <f>+'5.1'!E10</f>
        <v>16509313.665100008</v>
      </c>
      <c r="G5" s="86">
        <f>+'5.1'!F10</f>
        <v>19013368.155025154</v>
      </c>
      <c r="H5" s="212">
        <f>SUM(E5:G5)</f>
        <v>39667886.792945176</v>
      </c>
      <c r="I5" s="84"/>
    </row>
    <row r="6" spans="2:9" ht="38.25" x14ac:dyDescent="0.2">
      <c r="B6" s="85" t="str">
        <f>'5.1'!B17</f>
        <v>Excess in Actual ECAM Collections compared to GRA Forecast</v>
      </c>
      <c r="C6" s="223" t="s">
        <v>228</v>
      </c>
      <c r="D6" s="137" t="s">
        <v>27</v>
      </c>
      <c r="E6" s="86">
        <f>'5.1'!D17</f>
        <v>-1391889.7851300016</v>
      </c>
      <c r="F6" s="86">
        <f>'5.1'!E17</f>
        <v>-5655594.3179400004</v>
      </c>
      <c r="G6" s="86">
        <f>'5.1'!F17</f>
        <v>-5616059.8437771909</v>
      </c>
      <c r="H6" s="212">
        <f>SUM(E6:G6)</f>
        <v>-12663543.946847193</v>
      </c>
    </row>
    <row r="7" spans="2:9" s="81" customFormat="1" ht="51" x14ac:dyDescent="0.2">
      <c r="B7" s="214" t="s">
        <v>136</v>
      </c>
      <c r="C7" s="5"/>
      <c r="D7" s="5" t="s">
        <v>162</v>
      </c>
      <c r="E7" s="213">
        <f>SUM(E4:E6)</f>
        <v>2753315.1876900122</v>
      </c>
      <c r="F7" s="213">
        <f>SUM(F4:F6)</f>
        <v>10853719.347160008</v>
      </c>
      <c r="G7" s="213">
        <f>SUM(G4:G6)+1</f>
        <v>13397309.311247963</v>
      </c>
      <c r="H7" s="213">
        <f>SUM(H4:H6)</f>
        <v>31868573.077390924</v>
      </c>
      <c r="I7" s="59"/>
    </row>
    <row r="8" spans="2:9" ht="30" customHeight="1" x14ac:dyDescent="0.2">
      <c r="B8" s="85" t="s">
        <v>225</v>
      </c>
      <c r="C8" s="223" t="s">
        <v>230</v>
      </c>
      <c r="D8" s="137" t="s">
        <v>124</v>
      </c>
      <c r="E8" s="212">
        <v>0</v>
      </c>
      <c r="F8" s="212">
        <v>0</v>
      </c>
      <c r="G8" s="212">
        <v>0</v>
      </c>
      <c r="H8" s="212">
        <f>'5.1'!H23</f>
        <v>112470.76870705746</v>
      </c>
    </row>
    <row r="9" spans="2:9" s="81" customFormat="1" ht="63.75" x14ac:dyDescent="0.2">
      <c r="B9" s="214" t="s">
        <v>145</v>
      </c>
      <c r="C9" s="5"/>
      <c r="D9" s="5" t="s">
        <v>163</v>
      </c>
      <c r="E9" s="212">
        <v>0</v>
      </c>
      <c r="F9" s="212">
        <v>0</v>
      </c>
      <c r="G9" s="212">
        <v>0</v>
      </c>
      <c r="H9" s="122">
        <f>SUM(H7:H8)</f>
        <v>31981043.846097983</v>
      </c>
      <c r="I9" s="215"/>
    </row>
    <row r="10" spans="2:9" ht="38.25" x14ac:dyDescent="0.2">
      <c r="B10" s="85" t="s">
        <v>128</v>
      </c>
      <c r="C10" s="222" t="s">
        <v>231</v>
      </c>
      <c r="D10" s="211" t="s">
        <v>161</v>
      </c>
      <c r="E10" s="212">
        <v>0</v>
      </c>
      <c r="F10" s="212">
        <v>0</v>
      </c>
      <c r="G10" s="212">
        <v>0</v>
      </c>
      <c r="H10" s="86">
        <f>'7.4'!D11</f>
        <v>1640485000</v>
      </c>
    </row>
    <row r="11" spans="2:9" ht="25.5" x14ac:dyDescent="0.2">
      <c r="B11" s="225" t="s">
        <v>18</v>
      </c>
      <c r="C11" s="226"/>
      <c r="D11" s="227" t="s">
        <v>164</v>
      </c>
      <c r="E11" s="228">
        <v>0</v>
      </c>
      <c r="F11" s="228">
        <v>0</v>
      </c>
      <c r="G11" s="228">
        <v>0</v>
      </c>
      <c r="H11" s="229">
        <f>+H9/H10</f>
        <v>1.9494871239967439E-2</v>
      </c>
    </row>
    <row r="13" spans="2:9" x14ac:dyDescent="0.2">
      <c r="C13" s="216"/>
    </row>
    <row r="14" spans="2:9" x14ac:dyDescent="0.2">
      <c r="C14" s="216"/>
    </row>
    <row r="15" spans="2:9" x14ac:dyDescent="0.2">
      <c r="C15" s="216"/>
    </row>
    <row r="16" spans="2:9" x14ac:dyDescent="0.2">
      <c r="C16" s="216"/>
    </row>
    <row r="17" spans="3:8" x14ac:dyDescent="0.2">
      <c r="C17" s="157"/>
    </row>
    <row r="19" spans="3:8" x14ac:dyDescent="0.2">
      <c r="C19" s="217"/>
    </row>
    <row r="20" spans="3:8" x14ac:dyDescent="0.2">
      <c r="H20" s="218"/>
    </row>
  </sheetData>
  <mergeCells count="1">
    <mergeCell ref="B2:H2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2"/>
  <dimension ref="B2:S14"/>
  <sheetViews>
    <sheetView workbookViewId="0">
      <selection activeCell="J17" sqref="J17"/>
    </sheetView>
  </sheetViews>
  <sheetFormatPr defaultColWidth="9.140625" defaultRowHeight="12.75" x14ac:dyDescent="0.2"/>
  <cols>
    <col min="1" max="1" width="2.7109375" style="59" customWidth="1"/>
    <col min="2" max="2" width="17" style="59" bestFit="1" customWidth="1"/>
    <col min="3" max="3" width="26.28515625" style="59" customWidth="1"/>
    <col min="4" max="4" width="23.5703125" style="59" customWidth="1"/>
    <col min="5" max="5" width="14.5703125" style="59" customWidth="1"/>
    <col min="6" max="6" width="9.140625" style="59"/>
    <col min="7" max="7" width="16.85546875" style="59" bestFit="1" customWidth="1"/>
    <col min="8" max="8" width="18.7109375" style="59" bestFit="1" customWidth="1"/>
    <col min="9" max="9" width="9.140625" style="59"/>
    <col min="10" max="10" width="15.7109375" style="59" bestFit="1" customWidth="1"/>
    <col min="11" max="12" width="9.140625" style="59"/>
    <col min="13" max="13" width="10.140625" style="59" bestFit="1" customWidth="1"/>
    <col min="14" max="15" width="11.28515625" style="59" bestFit="1" customWidth="1"/>
    <col min="16" max="16" width="10.140625" style="59" bestFit="1" customWidth="1"/>
    <col min="17" max="17" width="9.140625" style="59"/>
    <col min="18" max="18" width="16.85546875" style="59" bestFit="1" customWidth="1"/>
    <col min="19" max="16384" width="9.140625" style="59"/>
  </cols>
  <sheetData>
    <row r="2" spans="2:19" ht="36.75" customHeight="1" x14ac:dyDescent="0.2">
      <c r="B2" s="381" t="s">
        <v>232</v>
      </c>
      <c r="C2" s="382"/>
      <c r="D2" s="382"/>
      <c r="E2" s="383"/>
    </row>
    <row r="3" spans="2:19" x14ac:dyDescent="0.2">
      <c r="B3" s="386" t="s">
        <v>21</v>
      </c>
      <c r="C3" s="361" t="s">
        <v>46</v>
      </c>
      <c r="D3" s="361"/>
      <c r="E3" s="384" t="s">
        <v>47</v>
      </c>
    </row>
    <row r="4" spans="2:19" ht="25.5" x14ac:dyDescent="0.2">
      <c r="B4" s="387"/>
      <c r="C4" s="234" t="s">
        <v>233</v>
      </c>
      <c r="D4" s="234" t="s">
        <v>234</v>
      </c>
      <c r="E4" s="385"/>
      <c r="M4" s="231"/>
      <c r="P4" s="231"/>
    </row>
    <row r="5" spans="2:19" x14ac:dyDescent="0.2">
      <c r="B5" s="160" t="s">
        <v>2</v>
      </c>
      <c r="C5" s="237">
        <v>878265600</v>
      </c>
      <c r="D5" s="86">
        <v>942157600</v>
      </c>
      <c r="E5" s="232">
        <f t="shared" ref="E5:E11" si="0">(D5-C5)/C5</f>
        <v>7.2747925001275235E-2</v>
      </c>
      <c r="R5" s="63"/>
      <c r="S5" s="84"/>
    </row>
    <row r="6" spans="2:19" x14ac:dyDescent="0.2">
      <c r="B6" s="74" t="s">
        <v>48</v>
      </c>
      <c r="C6" s="237">
        <v>431123800</v>
      </c>
      <c r="D6" s="86">
        <v>432699100</v>
      </c>
      <c r="E6" s="233">
        <f t="shared" si="0"/>
        <v>3.6539388454082098E-3</v>
      </c>
      <c r="G6" s="103"/>
      <c r="H6" s="103"/>
      <c r="R6" s="63"/>
      <c r="S6" s="84"/>
    </row>
    <row r="7" spans="2:19" x14ac:dyDescent="0.2">
      <c r="B7" s="74" t="s">
        <v>3</v>
      </c>
      <c r="C7" s="237">
        <v>162291000</v>
      </c>
      <c r="D7" s="86">
        <v>165636100</v>
      </c>
      <c r="E7" s="233">
        <f t="shared" si="0"/>
        <v>2.0611740638729198E-2</v>
      </c>
      <c r="G7" s="103"/>
      <c r="H7" s="103"/>
      <c r="R7" s="63"/>
      <c r="S7" s="84"/>
    </row>
    <row r="8" spans="2:19" x14ac:dyDescent="0.2">
      <c r="B8" s="74" t="s">
        <v>30</v>
      </c>
      <c r="C8" s="237">
        <v>94216100</v>
      </c>
      <c r="D8" s="86">
        <v>93815000</v>
      </c>
      <c r="E8" s="233">
        <f t="shared" si="0"/>
        <v>-4.2572341669841994E-3</v>
      </c>
      <c r="G8" s="103"/>
      <c r="H8" s="103"/>
      <c r="J8" s="84"/>
      <c r="R8" s="63"/>
      <c r="S8" s="84"/>
    </row>
    <row r="9" spans="2:19" x14ac:dyDescent="0.2">
      <c r="B9" s="74" t="s">
        <v>31</v>
      </c>
      <c r="C9" s="237">
        <v>3515700</v>
      </c>
      <c r="D9" s="86">
        <v>3506800</v>
      </c>
      <c r="E9" s="233">
        <f t="shared" si="0"/>
        <v>-2.5315015501891514E-3</v>
      </c>
      <c r="G9" s="103"/>
      <c r="H9" s="103"/>
      <c r="R9" s="63"/>
      <c r="S9" s="84"/>
    </row>
    <row r="10" spans="2:19" x14ac:dyDescent="0.2">
      <c r="B10" s="74" t="s">
        <v>1</v>
      </c>
      <c r="C10" s="237">
        <v>2638600</v>
      </c>
      <c r="D10" s="86">
        <v>2670400</v>
      </c>
      <c r="E10" s="233">
        <f t="shared" si="0"/>
        <v>1.2051845675737133E-2</v>
      </c>
      <c r="G10" s="103"/>
      <c r="H10" s="103"/>
      <c r="R10" s="63"/>
      <c r="S10" s="84"/>
    </row>
    <row r="11" spans="2:19" x14ac:dyDescent="0.2">
      <c r="B11" s="126" t="s">
        <v>235</v>
      </c>
      <c r="C11" s="235">
        <f>SUM(C5:C10)</f>
        <v>1572050800</v>
      </c>
      <c r="D11" s="235">
        <f>SUM(D5:D10)</f>
        <v>1640485000</v>
      </c>
      <c r="E11" s="236">
        <f t="shared" si="0"/>
        <v>4.3531799354066675E-2</v>
      </c>
      <c r="R11" s="63"/>
      <c r="S11" s="84"/>
    </row>
    <row r="12" spans="2:19" x14ac:dyDescent="0.2">
      <c r="D12" s="103"/>
    </row>
    <row r="14" spans="2:19" x14ac:dyDescent="0.2">
      <c r="H14" s="84"/>
    </row>
  </sheetData>
  <mergeCells count="4">
    <mergeCell ref="B2:E2"/>
    <mergeCell ref="C3:D3"/>
    <mergeCell ref="E3:E4"/>
    <mergeCell ref="B3:B4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/>
  <dimension ref="B2:J23"/>
  <sheetViews>
    <sheetView workbookViewId="0">
      <selection activeCell="J17" sqref="J17"/>
    </sheetView>
  </sheetViews>
  <sheetFormatPr defaultColWidth="9.140625" defaultRowHeight="12.75" x14ac:dyDescent="0.2"/>
  <cols>
    <col min="1" max="1" width="3" style="59" customWidth="1"/>
    <col min="2" max="2" width="18.5703125" style="59" bestFit="1" customWidth="1"/>
    <col min="3" max="3" width="15.7109375" style="59" bestFit="1" customWidth="1"/>
    <col min="4" max="5" width="19.42578125" style="59" customWidth="1"/>
    <col min="6" max="8" width="9.140625" style="59"/>
    <col min="9" max="9" width="15.7109375" style="59" bestFit="1" customWidth="1"/>
    <col min="10" max="10" width="15.7109375" style="216" bestFit="1" customWidth="1"/>
    <col min="11" max="11" width="10.140625" style="59" bestFit="1" customWidth="1"/>
    <col min="12" max="16384" width="9.140625" style="59"/>
  </cols>
  <sheetData>
    <row r="2" spans="2:9" ht="32.25" customHeight="1" x14ac:dyDescent="0.2">
      <c r="B2" s="374" t="s">
        <v>236</v>
      </c>
      <c r="C2" s="375"/>
      <c r="D2" s="375"/>
      <c r="E2" s="376"/>
    </row>
    <row r="3" spans="2:9" ht="38.25" x14ac:dyDescent="0.2">
      <c r="B3" s="240" t="s">
        <v>19</v>
      </c>
      <c r="C3" s="204" t="s">
        <v>20</v>
      </c>
      <c r="D3" s="204" t="s">
        <v>22</v>
      </c>
      <c r="E3" s="204" t="s">
        <v>130</v>
      </c>
    </row>
    <row r="4" spans="2:9" x14ac:dyDescent="0.2">
      <c r="B4" s="94">
        <v>46082</v>
      </c>
      <c r="C4" s="86">
        <v>77632100</v>
      </c>
      <c r="D4" s="238">
        <f>'7.3'!H11</f>
        <v>1.9494871239967439E-2</v>
      </c>
      <c r="E4" s="140">
        <f>+C4*D4</f>
        <v>1513427.7935882763</v>
      </c>
      <c r="F4" s="61"/>
      <c r="I4" s="103"/>
    </row>
    <row r="5" spans="2:9" x14ac:dyDescent="0.2">
      <c r="B5" s="94">
        <v>46113</v>
      </c>
      <c r="C5" s="86">
        <v>144455000</v>
      </c>
      <c r="D5" s="239">
        <f>D4</f>
        <v>1.9494871239967439E-2</v>
      </c>
      <c r="E5" s="86">
        <f>C5*D5</f>
        <v>2816131.6249694964</v>
      </c>
      <c r="I5" s="103"/>
    </row>
    <row r="6" spans="2:9" x14ac:dyDescent="0.2">
      <c r="B6" s="94">
        <v>46143</v>
      </c>
      <c r="C6" s="86">
        <v>127893200</v>
      </c>
      <c r="D6" s="239">
        <f t="shared" ref="D6:D16" si="0">D5</f>
        <v>1.9494871239967439E-2</v>
      </c>
      <c r="E6" s="86">
        <f t="shared" ref="E6:E15" si="1">+C6*D6</f>
        <v>2493261.4664674038</v>
      </c>
      <c r="I6" s="103"/>
    </row>
    <row r="7" spans="2:9" x14ac:dyDescent="0.2">
      <c r="B7" s="94">
        <v>46174</v>
      </c>
      <c r="C7" s="86">
        <v>115387800</v>
      </c>
      <c r="D7" s="239">
        <f t="shared" si="0"/>
        <v>1.9494871239967439E-2</v>
      </c>
      <c r="E7" s="86">
        <f t="shared" si="1"/>
        <v>2249470.303663115</v>
      </c>
      <c r="I7" s="103"/>
    </row>
    <row r="8" spans="2:9" x14ac:dyDescent="0.2">
      <c r="B8" s="94">
        <v>46204</v>
      </c>
      <c r="C8" s="86">
        <v>117627100</v>
      </c>
      <c r="D8" s="239">
        <f t="shared" si="0"/>
        <v>1.9494871239967439E-2</v>
      </c>
      <c r="E8" s="86">
        <f t="shared" si="1"/>
        <v>2293125.1688307738</v>
      </c>
      <c r="I8" s="103"/>
    </row>
    <row r="9" spans="2:9" x14ac:dyDescent="0.2">
      <c r="B9" s="94">
        <v>46235</v>
      </c>
      <c r="C9" s="86">
        <v>128388700</v>
      </c>
      <c r="D9" s="239">
        <f t="shared" si="0"/>
        <v>1.9494871239967439E-2</v>
      </c>
      <c r="E9" s="86">
        <f t="shared" si="1"/>
        <v>2502921.1751668076</v>
      </c>
      <c r="I9" s="103"/>
    </row>
    <row r="10" spans="2:9" x14ac:dyDescent="0.2">
      <c r="B10" s="94">
        <v>46266</v>
      </c>
      <c r="C10" s="86">
        <v>120433500</v>
      </c>
      <c r="D10" s="239">
        <f t="shared" si="0"/>
        <v>1.9494871239967439E-2</v>
      </c>
      <c r="E10" s="86">
        <f t="shared" si="1"/>
        <v>2347835.5754786185</v>
      </c>
      <c r="I10" s="103"/>
    </row>
    <row r="11" spans="2:9" x14ac:dyDescent="0.2">
      <c r="B11" s="94">
        <v>46296</v>
      </c>
      <c r="C11" s="86">
        <v>108805400</v>
      </c>
      <c r="D11" s="239">
        <f t="shared" si="0"/>
        <v>1.9494871239967439E-2</v>
      </c>
      <c r="E11" s="86">
        <f t="shared" si="1"/>
        <v>2121147.263213153</v>
      </c>
      <c r="I11" s="103"/>
    </row>
    <row r="12" spans="2:9" x14ac:dyDescent="0.2">
      <c r="B12" s="94">
        <v>46327</v>
      </c>
      <c r="C12" s="86">
        <v>123633300</v>
      </c>
      <c r="D12" s="239">
        <f t="shared" si="0"/>
        <v>1.9494871239967439E-2</v>
      </c>
      <c r="E12" s="86">
        <f t="shared" si="1"/>
        <v>2410215.2644722662</v>
      </c>
      <c r="I12" s="103"/>
    </row>
    <row r="13" spans="2:9" x14ac:dyDescent="0.2">
      <c r="B13" s="94">
        <v>46357</v>
      </c>
      <c r="C13" s="86">
        <v>155156000</v>
      </c>
      <c r="D13" s="239">
        <f t="shared" si="0"/>
        <v>1.9494871239967439E-2</v>
      </c>
      <c r="E13" s="86">
        <f t="shared" si="1"/>
        <v>3024746.2421083879</v>
      </c>
      <c r="I13" s="103"/>
    </row>
    <row r="14" spans="2:9" x14ac:dyDescent="0.2">
      <c r="B14" s="94">
        <v>46388</v>
      </c>
      <c r="C14" s="86">
        <v>168463900</v>
      </c>
      <c r="D14" s="239">
        <f t="shared" si="0"/>
        <v>1.9494871239967439E-2</v>
      </c>
      <c r="E14" s="86">
        <f t="shared" si="1"/>
        <v>3284182.0390827507</v>
      </c>
      <c r="I14" s="103"/>
    </row>
    <row r="15" spans="2:9" x14ac:dyDescent="0.2">
      <c r="B15" s="94">
        <v>46419</v>
      </c>
      <c r="C15" s="86">
        <v>173299400</v>
      </c>
      <c r="D15" s="239">
        <f t="shared" si="0"/>
        <v>1.9494871239967439E-2</v>
      </c>
      <c r="E15" s="86">
        <f t="shared" si="1"/>
        <v>3378449.4889636133</v>
      </c>
      <c r="I15" s="103"/>
    </row>
    <row r="16" spans="2:9" x14ac:dyDescent="0.2">
      <c r="B16" s="94">
        <v>46447</v>
      </c>
      <c r="C16" s="86">
        <v>79309600</v>
      </c>
      <c r="D16" s="239">
        <f t="shared" si="0"/>
        <v>1.9494871239967439E-2</v>
      </c>
      <c r="E16" s="86">
        <f>+C16*D16</f>
        <v>1546130.4400933215</v>
      </c>
      <c r="I16" s="103"/>
    </row>
    <row r="17" spans="2:9" x14ac:dyDescent="0.2">
      <c r="B17" s="126" t="s">
        <v>0</v>
      </c>
      <c r="C17" s="235">
        <f>SUM(C4:C16)</f>
        <v>1640485000</v>
      </c>
      <c r="D17" s="229">
        <f>D16</f>
        <v>1.9494871239967439E-2</v>
      </c>
      <c r="E17" s="241">
        <f>ROUND(SUM(E4:E16),0)</f>
        <v>31981044</v>
      </c>
      <c r="F17" s="61"/>
    </row>
    <row r="18" spans="2:9" x14ac:dyDescent="0.2">
      <c r="C18" s="215"/>
      <c r="E18" s="215"/>
    </row>
    <row r="19" spans="2:9" ht="39" customHeight="1" x14ac:dyDescent="0.2">
      <c r="B19" s="342"/>
      <c r="C19" s="342"/>
      <c r="D19" s="342"/>
      <c r="E19" s="342"/>
      <c r="F19" s="342"/>
      <c r="G19" s="342"/>
      <c r="H19" s="342"/>
      <c r="I19" s="342"/>
    </row>
    <row r="20" spans="2:9" x14ac:dyDescent="0.2">
      <c r="E20" s="103"/>
    </row>
    <row r="21" spans="2:9" x14ac:dyDescent="0.2">
      <c r="E21" s="104"/>
    </row>
    <row r="22" spans="2:9" x14ac:dyDescent="0.2">
      <c r="E22" s="105"/>
    </row>
    <row r="23" spans="2:9" x14ac:dyDescent="0.2">
      <c r="E23" s="104"/>
    </row>
  </sheetData>
  <mergeCells count="2">
    <mergeCell ref="B19:I19"/>
    <mergeCell ref="B2:E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AC31F-6DC4-47D7-9195-8F31F683C289}">
  <sheetPr codeName="Sheet14"/>
  <dimension ref="B2:D34"/>
  <sheetViews>
    <sheetView workbookViewId="0">
      <selection activeCell="J17" sqref="J17"/>
    </sheetView>
  </sheetViews>
  <sheetFormatPr defaultRowHeight="12.75" x14ac:dyDescent="0.2"/>
  <cols>
    <col min="1" max="1" width="2.7109375" style="59" customWidth="1"/>
    <col min="2" max="2" width="59.5703125" style="59" customWidth="1"/>
    <col min="3" max="3" width="11.7109375" style="59" customWidth="1"/>
    <col min="4" max="4" width="11.140625" style="59" customWidth="1"/>
    <col min="5" max="16384" width="9.140625" style="59"/>
  </cols>
  <sheetData>
    <row r="2" spans="2:4" x14ac:dyDescent="0.2">
      <c r="B2" s="388" t="s">
        <v>165</v>
      </c>
      <c r="C2" s="388"/>
      <c r="D2" s="388"/>
    </row>
    <row r="3" spans="2:4" x14ac:dyDescent="0.2">
      <c r="B3" s="389" t="s">
        <v>49</v>
      </c>
      <c r="C3" s="389"/>
      <c r="D3" s="389"/>
    </row>
    <row r="4" spans="2:4" x14ac:dyDescent="0.2">
      <c r="B4" s="251" t="s">
        <v>237</v>
      </c>
      <c r="C4" s="249">
        <v>45717</v>
      </c>
      <c r="D4" s="249">
        <v>46082</v>
      </c>
    </row>
    <row r="5" spans="2:4" x14ac:dyDescent="0.2">
      <c r="B5" s="242" t="s">
        <v>50</v>
      </c>
      <c r="C5" s="107">
        <v>0.1663</v>
      </c>
      <c r="D5" s="107">
        <v>0.1663</v>
      </c>
    </row>
    <row r="6" spans="2:4" x14ac:dyDescent="0.2">
      <c r="B6" s="20" t="s">
        <v>51</v>
      </c>
      <c r="C6" s="107">
        <v>0.13150000000000001</v>
      </c>
      <c r="D6" s="107">
        <v>0.13150000000000001</v>
      </c>
    </row>
    <row r="7" spans="2:4" x14ac:dyDescent="0.2">
      <c r="B7" s="242" t="s">
        <v>52</v>
      </c>
      <c r="C7" s="107">
        <v>0.20530000000000001</v>
      </c>
      <c r="D7" s="107">
        <v>0.20530000000000001</v>
      </c>
    </row>
    <row r="8" spans="2:4" x14ac:dyDescent="0.2">
      <c r="B8" s="20" t="s">
        <v>53</v>
      </c>
      <c r="C8" s="107">
        <v>0.13289999999999999</v>
      </c>
      <c r="D8" s="107">
        <v>0.13289999999999999</v>
      </c>
    </row>
    <row r="9" spans="2:4" x14ac:dyDescent="0.2">
      <c r="B9" s="242" t="s">
        <v>54</v>
      </c>
      <c r="C9" s="107">
        <v>0.2009</v>
      </c>
      <c r="D9" s="107">
        <v>0.2009</v>
      </c>
    </row>
    <row r="10" spans="2:4" x14ac:dyDescent="0.2">
      <c r="B10" s="20" t="s">
        <v>55</v>
      </c>
      <c r="C10" s="107">
        <v>9.9500000000000005E-2</v>
      </c>
      <c r="D10" s="107">
        <v>9.9500000000000005E-2</v>
      </c>
    </row>
    <row r="11" spans="2:4" x14ac:dyDescent="0.2">
      <c r="B11" s="243" t="s">
        <v>3</v>
      </c>
      <c r="C11" s="108">
        <v>8.3000000000000018E-2</v>
      </c>
      <c r="D11" s="108">
        <v>8.3000000000000018E-2</v>
      </c>
    </row>
    <row r="12" spans="2:4" x14ac:dyDescent="0.2">
      <c r="B12" s="390" t="s">
        <v>56</v>
      </c>
      <c r="C12" s="391"/>
      <c r="D12" s="392"/>
    </row>
    <row r="13" spans="2:4" x14ac:dyDescent="0.2">
      <c r="B13" s="251" t="s">
        <v>57</v>
      </c>
      <c r="C13" s="249">
        <f>+C4</f>
        <v>45717</v>
      </c>
      <c r="D13" s="249">
        <f>+D4</f>
        <v>46082</v>
      </c>
    </row>
    <row r="14" spans="2:4" x14ac:dyDescent="0.2">
      <c r="B14" s="20" t="s">
        <v>58</v>
      </c>
      <c r="C14" s="244"/>
      <c r="D14" s="74"/>
    </row>
    <row r="15" spans="2:4" x14ac:dyDescent="0.2">
      <c r="B15" s="20" t="s">
        <v>137</v>
      </c>
      <c r="C15" s="245">
        <v>4.7499999999999999E-3</v>
      </c>
      <c r="D15" s="253">
        <v>0</v>
      </c>
    </row>
    <row r="16" spans="2:4" x14ac:dyDescent="0.2">
      <c r="B16" s="20" t="s">
        <v>138</v>
      </c>
      <c r="C16" s="246">
        <v>0</v>
      </c>
      <c r="D16" s="245">
        <v>1.949E-2</v>
      </c>
    </row>
    <row r="17" spans="2:4" x14ac:dyDescent="0.2">
      <c r="B17" s="21" t="s">
        <v>139</v>
      </c>
      <c r="C17" s="106">
        <f>SUM(C15:C16)</f>
        <v>4.7499999999999999E-3</v>
      </c>
      <c r="D17" s="106">
        <f>SUM(D15:D16)</f>
        <v>1.949E-2</v>
      </c>
    </row>
    <row r="18" spans="2:4" ht="25.5" x14ac:dyDescent="0.2">
      <c r="B18" s="254" t="s">
        <v>238</v>
      </c>
      <c r="C18" s="111">
        <v>1.2099999999999999E-3</v>
      </c>
      <c r="D18" s="111">
        <v>1.2099999999999999E-3</v>
      </c>
    </row>
    <row r="19" spans="2:4" x14ac:dyDescent="0.2">
      <c r="B19" s="248" t="s">
        <v>140</v>
      </c>
      <c r="C19" s="110">
        <f>SUM(C17:C18)</f>
        <v>5.96E-3</v>
      </c>
      <c r="D19" s="110">
        <f>SUM(D17:D18)</f>
        <v>2.07E-2</v>
      </c>
    </row>
    <row r="20" spans="2:4" x14ac:dyDescent="0.2">
      <c r="B20" s="393" t="s">
        <v>59</v>
      </c>
      <c r="C20" s="394"/>
      <c r="D20" s="395"/>
    </row>
    <row r="21" spans="2:4" x14ac:dyDescent="0.2">
      <c r="B21" s="252" t="str">
        <f>+B4</f>
        <v>Customer Class</v>
      </c>
      <c r="C21" s="250">
        <f>+C13</f>
        <v>45717</v>
      </c>
      <c r="D21" s="250">
        <f>+D13</f>
        <v>46082</v>
      </c>
    </row>
    <row r="22" spans="2:4" x14ac:dyDescent="0.2">
      <c r="B22" s="242" t="s">
        <v>50</v>
      </c>
      <c r="C22" s="107">
        <f t="shared" ref="C22:D28" si="0">C5+C$19</f>
        <v>0.17226</v>
      </c>
      <c r="D22" s="107">
        <f t="shared" si="0"/>
        <v>0.187</v>
      </c>
    </row>
    <row r="23" spans="2:4" x14ac:dyDescent="0.2">
      <c r="B23" s="20" t="s">
        <v>51</v>
      </c>
      <c r="C23" s="107">
        <f t="shared" si="0"/>
        <v>0.13746</v>
      </c>
      <c r="D23" s="107">
        <f t="shared" si="0"/>
        <v>0.1522</v>
      </c>
    </row>
    <row r="24" spans="2:4" x14ac:dyDescent="0.2">
      <c r="B24" s="242" t="s">
        <v>52</v>
      </c>
      <c r="C24" s="107">
        <f t="shared" si="0"/>
        <v>0.21126</v>
      </c>
      <c r="D24" s="107">
        <f t="shared" si="0"/>
        <v>0.22600000000000001</v>
      </c>
    </row>
    <row r="25" spans="2:4" x14ac:dyDescent="0.2">
      <c r="B25" s="20" t="s">
        <v>53</v>
      </c>
      <c r="C25" s="107">
        <f t="shared" si="0"/>
        <v>0.13885999999999998</v>
      </c>
      <c r="D25" s="107">
        <f t="shared" si="0"/>
        <v>0.15359999999999999</v>
      </c>
    </row>
    <row r="26" spans="2:4" x14ac:dyDescent="0.2">
      <c r="B26" s="242" t="s">
        <v>54</v>
      </c>
      <c r="C26" s="107">
        <f t="shared" si="0"/>
        <v>0.20685999999999999</v>
      </c>
      <c r="D26" s="107">
        <f t="shared" si="0"/>
        <v>0.22159999999999999</v>
      </c>
    </row>
    <row r="27" spans="2:4" x14ac:dyDescent="0.2">
      <c r="B27" s="20" t="s">
        <v>55</v>
      </c>
      <c r="C27" s="107">
        <f t="shared" si="0"/>
        <v>0.10546</v>
      </c>
      <c r="D27" s="107">
        <f t="shared" si="0"/>
        <v>0.1202</v>
      </c>
    </row>
    <row r="28" spans="2:4" x14ac:dyDescent="0.2">
      <c r="B28" s="20" t="s">
        <v>3</v>
      </c>
      <c r="C28" s="107">
        <f t="shared" si="0"/>
        <v>8.8960000000000011E-2</v>
      </c>
      <c r="D28" s="107">
        <f t="shared" si="0"/>
        <v>0.10370000000000001</v>
      </c>
    </row>
    <row r="30" spans="2:4" x14ac:dyDescent="0.2">
      <c r="B30" s="157"/>
    </row>
    <row r="34" spans="2:2" x14ac:dyDescent="0.2">
      <c r="B34" s="247"/>
    </row>
  </sheetData>
  <mergeCells count="4">
    <mergeCell ref="B2:D2"/>
    <mergeCell ref="B3:D3"/>
    <mergeCell ref="B12:D12"/>
    <mergeCell ref="B20:D20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9C583-3295-44BF-8568-B164735FEFDF}">
  <sheetPr codeName="Sheet15"/>
  <dimension ref="B2:J44"/>
  <sheetViews>
    <sheetView zoomScale="90" zoomScaleNormal="90" workbookViewId="0">
      <selection activeCell="J17" sqref="J17"/>
    </sheetView>
  </sheetViews>
  <sheetFormatPr defaultRowHeight="12.75" x14ac:dyDescent="0.2"/>
  <cols>
    <col min="1" max="1" width="3.28515625" customWidth="1"/>
    <col min="2" max="2" width="57.5703125" bestFit="1" customWidth="1"/>
    <col min="3" max="4" width="22.28515625" customWidth="1"/>
    <col min="8" max="8" width="15" bestFit="1" customWidth="1"/>
    <col min="10" max="10" width="15" bestFit="1" customWidth="1"/>
  </cols>
  <sheetData>
    <row r="2" spans="2:4" ht="51" customHeight="1" x14ac:dyDescent="0.2">
      <c r="B2" s="396" t="s">
        <v>239</v>
      </c>
      <c r="C2" s="397"/>
      <c r="D2" s="398"/>
    </row>
    <row r="3" spans="2:4" ht="52.5" customHeight="1" x14ac:dyDescent="0.25">
      <c r="B3" s="259"/>
      <c r="C3" s="268" t="s">
        <v>240</v>
      </c>
      <c r="D3" s="268" t="s">
        <v>241</v>
      </c>
    </row>
    <row r="4" spans="2:4" ht="14.25" x14ac:dyDescent="0.2">
      <c r="B4" s="255" t="s">
        <v>62</v>
      </c>
      <c r="C4" s="23">
        <f>26.92*12</f>
        <v>323.04000000000002</v>
      </c>
      <c r="D4" s="23">
        <f>26.92*12</f>
        <v>323.04000000000002</v>
      </c>
    </row>
    <row r="5" spans="2:4" ht="14.25" x14ac:dyDescent="0.2">
      <c r="B5" s="256" t="s">
        <v>63</v>
      </c>
      <c r="C5" s="22">
        <f>1000*'8.1'!C5*12</f>
        <v>1995.6000000000001</v>
      </c>
      <c r="D5" s="22">
        <f>+C5</f>
        <v>1995.6000000000001</v>
      </c>
    </row>
    <row r="6" spans="2:4" ht="15" x14ac:dyDescent="0.25">
      <c r="B6" s="260" t="s">
        <v>64</v>
      </c>
      <c r="C6" s="261">
        <f>1000*'8.1'!C17*12</f>
        <v>57</v>
      </c>
      <c r="D6" s="261">
        <f>1000*'8.1'!D17*12</f>
        <v>233.88000000000002</v>
      </c>
    </row>
    <row r="7" spans="2:4" ht="14.25" x14ac:dyDescent="0.2">
      <c r="B7" s="257" t="s">
        <v>141</v>
      </c>
      <c r="C7" s="22">
        <f>1000*'8.1'!C18*12</f>
        <v>14.52</v>
      </c>
      <c r="D7" s="22">
        <f>1000*'8.1'!D18*12</f>
        <v>14.52</v>
      </c>
    </row>
    <row r="8" spans="2:4" ht="15" x14ac:dyDescent="0.25">
      <c r="B8" s="262" t="s">
        <v>142</v>
      </c>
      <c r="C8" s="261">
        <f>SUM(C4:C7)</f>
        <v>2390.1600000000003</v>
      </c>
      <c r="D8" s="261">
        <f>SUM(D4:D7)</f>
        <v>2567.0400000000004</v>
      </c>
    </row>
    <row r="9" spans="2:4" ht="14.25" x14ac:dyDescent="0.2">
      <c r="B9" s="258" t="s">
        <v>68</v>
      </c>
      <c r="C9" s="22">
        <f>+C8*0.15</f>
        <v>358.52400000000006</v>
      </c>
      <c r="D9" s="22">
        <f>ROUND(+D8*0.15,2)</f>
        <v>385.06</v>
      </c>
    </row>
    <row r="10" spans="2:4" ht="15" x14ac:dyDescent="0.25">
      <c r="B10" s="258" t="s">
        <v>242</v>
      </c>
      <c r="C10" s="109">
        <f>-SUM(C5:C7)*0.1</f>
        <v>-206.71200000000005</v>
      </c>
      <c r="D10" s="109">
        <f>-SUM(D5:D7)*0.1</f>
        <v>-224.4</v>
      </c>
    </row>
    <row r="11" spans="2:4" ht="15" x14ac:dyDescent="0.25">
      <c r="B11" s="263" t="s">
        <v>70</v>
      </c>
      <c r="C11" s="270">
        <f>SUM(C8:C10)</f>
        <v>2541.9720000000002</v>
      </c>
      <c r="D11" s="270">
        <f>SUM(D8:D10)</f>
        <v>2727.7000000000003</v>
      </c>
    </row>
    <row r="12" spans="2:4" ht="15" x14ac:dyDescent="0.25">
      <c r="B12" s="269" t="s">
        <v>71</v>
      </c>
      <c r="C12" s="264"/>
      <c r="D12" s="264"/>
    </row>
    <row r="13" spans="2:4" ht="15" x14ac:dyDescent="0.25">
      <c r="B13" s="263" t="s">
        <v>143</v>
      </c>
      <c r="C13" s="265"/>
      <c r="D13" s="266">
        <f>+(D8-C8)/C8</f>
        <v>7.4003413997389328E-2</v>
      </c>
    </row>
    <row r="14" spans="2:4" ht="15" x14ac:dyDescent="0.25">
      <c r="B14" s="267" t="s">
        <v>144</v>
      </c>
      <c r="C14" s="265"/>
      <c r="D14" s="266">
        <f>(D11-C11)/C11</f>
        <v>7.3064534149077986E-2</v>
      </c>
    </row>
    <row r="15" spans="2:4" ht="15" x14ac:dyDescent="0.25">
      <c r="B15" s="274"/>
      <c r="C15" s="275"/>
      <c r="D15" s="276"/>
    </row>
    <row r="16" spans="2:4" ht="14.25" x14ac:dyDescent="0.2">
      <c r="B16" s="31"/>
      <c r="C16" s="29"/>
      <c r="D16" s="32"/>
    </row>
    <row r="17" spans="2:10" ht="52.5" customHeight="1" x14ac:dyDescent="0.2">
      <c r="B17" s="399" t="s">
        <v>243</v>
      </c>
      <c r="C17" s="400"/>
      <c r="D17" s="401"/>
    </row>
    <row r="18" spans="2:10" ht="52.5" customHeight="1" x14ac:dyDescent="0.25">
      <c r="B18" s="259"/>
      <c r="C18" s="268" t="str">
        <f>+C3</f>
        <v>Approved 
UE23-04 and UE23-09 March 1, 2025</v>
      </c>
      <c r="D18" s="268" t="str">
        <f>+D3</f>
        <v>Proposed 
March 1, 2026</v>
      </c>
    </row>
    <row r="19" spans="2:10" ht="14.25" x14ac:dyDescent="0.2">
      <c r="B19" s="22" t="str">
        <f t="shared" ref="B19:B29" si="0">B4</f>
        <v>Service Charge</v>
      </c>
      <c r="C19" s="23">
        <f>24.57*12</f>
        <v>294.84000000000003</v>
      </c>
      <c r="D19" s="23">
        <f>+C19</f>
        <v>294.84000000000003</v>
      </c>
    </row>
    <row r="20" spans="2:10" ht="14.25" x14ac:dyDescent="0.2">
      <c r="B20" s="22" t="str">
        <f t="shared" si="0"/>
        <v>Basic Energy Charge</v>
      </c>
      <c r="C20" s="22">
        <f t="shared" ref="C20:D22" si="1">+C5</f>
        <v>1995.6000000000001</v>
      </c>
      <c r="D20" s="22">
        <f t="shared" si="1"/>
        <v>1995.6000000000001</v>
      </c>
    </row>
    <row r="21" spans="2:10" ht="15" x14ac:dyDescent="0.25">
      <c r="B21" s="261" t="str">
        <f t="shared" si="0"/>
        <v>ECAM Charge</v>
      </c>
      <c r="C21" s="261">
        <f t="shared" si="1"/>
        <v>57</v>
      </c>
      <c r="D21" s="261">
        <f t="shared" si="1"/>
        <v>233.88000000000002</v>
      </c>
    </row>
    <row r="22" spans="2:10" ht="14.25" x14ac:dyDescent="0.2">
      <c r="B22" s="22" t="str">
        <f t="shared" si="0"/>
        <v>Provincial Energy Efficiency and Conservation Plan</v>
      </c>
      <c r="C22" s="22">
        <f t="shared" si="1"/>
        <v>14.52</v>
      </c>
      <c r="D22" s="22">
        <f t="shared" si="1"/>
        <v>14.52</v>
      </c>
    </row>
    <row r="23" spans="2:10" ht="15" x14ac:dyDescent="0.25">
      <c r="B23" s="261" t="str">
        <f t="shared" si="0"/>
        <v>Sub-total</v>
      </c>
      <c r="C23" s="261">
        <f>SUM(C19:C22)</f>
        <v>2361.96</v>
      </c>
      <c r="D23" s="261">
        <f>SUM(D19:D22)</f>
        <v>2538.84</v>
      </c>
    </row>
    <row r="24" spans="2:10" ht="14.25" x14ac:dyDescent="0.2">
      <c r="B24" s="22" t="str">
        <f t="shared" si="0"/>
        <v>HST</v>
      </c>
      <c r="C24" s="22">
        <f>+C23*0.15</f>
        <v>354.29399999999998</v>
      </c>
      <c r="D24" s="22">
        <f>+D23*0.15</f>
        <v>380.82600000000002</v>
      </c>
    </row>
    <row r="25" spans="2:10" ht="14.25" x14ac:dyDescent="0.2">
      <c r="B25" s="22" t="str">
        <f t="shared" si="0"/>
        <v>Provincial Clean Energy Rebate</v>
      </c>
      <c r="C25" s="22">
        <f>-SUM(C20:C22)*0.1</f>
        <v>-206.71200000000005</v>
      </c>
      <c r="D25" s="22">
        <f>-SUM(D20:D22)*0.1</f>
        <v>-224.4</v>
      </c>
      <c r="J25" s="66"/>
    </row>
    <row r="26" spans="2:10" ht="15" x14ac:dyDescent="0.25">
      <c r="B26" s="261" t="str">
        <f t="shared" si="0"/>
        <v>Total Annual Cost</v>
      </c>
      <c r="C26" s="270">
        <f>SUM(C23:C25)</f>
        <v>2509.5419999999999</v>
      </c>
      <c r="D26" s="270">
        <f>SUM(D23:D25)</f>
        <v>2695.2660000000001</v>
      </c>
    </row>
    <row r="27" spans="2:10" ht="15" x14ac:dyDescent="0.25">
      <c r="B27" s="261" t="str">
        <f t="shared" si="0"/>
        <v>Percentage Annual Increase (%)</v>
      </c>
      <c r="C27" s="270"/>
      <c r="D27" s="270"/>
    </row>
    <row r="28" spans="2:10" ht="15" x14ac:dyDescent="0.25">
      <c r="B28" s="261" t="str">
        <f t="shared" si="0"/>
        <v>Before Tax</v>
      </c>
      <c r="C28" s="266"/>
      <c r="D28" s="266">
        <f>(D23-C23)/C23</f>
        <v>7.4886958288878772E-2</v>
      </c>
    </row>
    <row r="29" spans="2:10" ht="15" x14ac:dyDescent="0.25">
      <c r="B29" s="267" t="str">
        <f t="shared" si="0"/>
        <v>After Tax</v>
      </c>
      <c r="C29" s="266"/>
      <c r="D29" s="266">
        <f>+(D26-C26)/C26</f>
        <v>7.4007129587789391E-2</v>
      </c>
    </row>
    <row r="30" spans="2:10" ht="15" x14ac:dyDescent="0.25">
      <c r="B30" s="274"/>
      <c r="C30" s="276"/>
      <c r="D30" s="276"/>
    </row>
    <row r="31" spans="2:10" ht="14.25" x14ac:dyDescent="0.2">
      <c r="B31" s="31"/>
      <c r="C31" s="32"/>
      <c r="D31" s="32"/>
    </row>
    <row r="32" spans="2:10" ht="51" customHeight="1" x14ac:dyDescent="0.2">
      <c r="B32" s="396" t="s">
        <v>244</v>
      </c>
      <c r="C32" s="402"/>
      <c r="D32" s="403"/>
    </row>
    <row r="33" spans="2:5" ht="57" customHeight="1" x14ac:dyDescent="0.2">
      <c r="B33" s="272"/>
      <c r="C33" s="268" t="str">
        <f>+C18</f>
        <v>Approved 
UE23-04 and UE23-09 March 1, 2025</v>
      </c>
      <c r="D33" s="268" t="str">
        <f>+D18</f>
        <v>Proposed 
March 1, 2026</v>
      </c>
    </row>
    <row r="34" spans="2:5" ht="14.25" x14ac:dyDescent="0.2">
      <c r="B34" s="25" t="str">
        <f>B19</f>
        <v>Service Charge</v>
      </c>
      <c r="C34" s="23">
        <f>24.57*12</f>
        <v>294.84000000000003</v>
      </c>
      <c r="D34" s="23">
        <f>+C34</f>
        <v>294.84000000000003</v>
      </c>
    </row>
    <row r="35" spans="2:5" ht="14.25" x14ac:dyDescent="0.2">
      <c r="B35" s="271" t="s">
        <v>74</v>
      </c>
      <c r="C35" s="22">
        <f>402.9*12</f>
        <v>4834.7999999999993</v>
      </c>
      <c r="D35" s="22">
        <f>+C35</f>
        <v>4834.7999999999993</v>
      </c>
    </row>
    <row r="36" spans="2:5" ht="14.25" x14ac:dyDescent="0.2">
      <c r="B36" s="25" t="str">
        <f>B20</f>
        <v>Basic Energy Charge</v>
      </c>
      <c r="C36" s="22">
        <f>((5000*'8.1'!C7)+(5000*'8.1'!C8))*12</f>
        <v>20292</v>
      </c>
      <c r="D36" s="22">
        <f>+C36</f>
        <v>20292</v>
      </c>
      <c r="E36" s="59"/>
    </row>
    <row r="37" spans="2:5" ht="15" x14ac:dyDescent="0.25">
      <c r="B37" s="273" t="str">
        <f>B21</f>
        <v>ECAM Charge</v>
      </c>
      <c r="C37" s="261">
        <f>10000*'8.1'!C17*12</f>
        <v>570</v>
      </c>
      <c r="D37" s="261">
        <f>10000*'8.1'!D17*12</f>
        <v>2338.8000000000002</v>
      </c>
    </row>
    <row r="38" spans="2:5" ht="14.25" x14ac:dyDescent="0.2">
      <c r="B38" s="25" t="str">
        <f>B22</f>
        <v>Provincial Energy Efficiency and Conservation Plan</v>
      </c>
      <c r="C38" s="22">
        <f>10000*'8.1'!C18*12</f>
        <v>145.19999999999999</v>
      </c>
      <c r="D38" s="22">
        <f>10000*'8.1'!D18*12</f>
        <v>145.19999999999999</v>
      </c>
    </row>
    <row r="39" spans="2:5" ht="15" x14ac:dyDescent="0.25">
      <c r="B39" s="273" t="str">
        <f>B23</f>
        <v>Sub-total</v>
      </c>
      <c r="C39" s="261">
        <f>SUM(C34:C38)</f>
        <v>26136.84</v>
      </c>
      <c r="D39" s="261">
        <f>SUM(D34:D38)</f>
        <v>27905.64</v>
      </c>
    </row>
    <row r="40" spans="2:5" ht="14.25" x14ac:dyDescent="0.2">
      <c r="B40" s="25" t="str">
        <f>B24</f>
        <v>HST</v>
      </c>
      <c r="C40" s="22">
        <f>+C39*0.15</f>
        <v>3920.5259999999998</v>
      </c>
      <c r="D40" s="22">
        <f>+D39*0.15</f>
        <v>4185.8459999999995</v>
      </c>
    </row>
    <row r="41" spans="2:5" ht="15" x14ac:dyDescent="0.25">
      <c r="B41" s="273" t="str">
        <f>B26</f>
        <v>Total Annual Cost</v>
      </c>
      <c r="C41" s="265">
        <f>SUM(C39:C40)</f>
        <v>30057.366000000002</v>
      </c>
      <c r="D41" s="265">
        <f>SUM(D39:D40)</f>
        <v>32091.485999999997</v>
      </c>
    </row>
    <row r="42" spans="2:5" ht="15" x14ac:dyDescent="0.25">
      <c r="B42" s="273" t="str">
        <f>B27</f>
        <v>Percentage Annual Increase (%)</v>
      </c>
      <c r="C42" s="265"/>
      <c r="D42" s="265"/>
    </row>
    <row r="43" spans="2:5" ht="15" x14ac:dyDescent="0.25">
      <c r="B43" s="273" t="str">
        <f>B28</f>
        <v>Before Tax</v>
      </c>
      <c r="C43" s="266"/>
      <c r="D43" s="266">
        <f>(D39-C39)/C39</f>
        <v>6.7674592643946221E-2</v>
      </c>
    </row>
    <row r="44" spans="2:5" ht="15" x14ac:dyDescent="0.25">
      <c r="B44" s="273" t="str">
        <f>B29</f>
        <v>After Tax</v>
      </c>
      <c r="C44" s="266"/>
      <c r="D44" s="266">
        <f>(D41-C41)/C41</f>
        <v>6.7674592643946083E-2</v>
      </c>
    </row>
  </sheetData>
  <mergeCells count="3">
    <mergeCell ref="B2:D2"/>
    <mergeCell ref="B17:D17"/>
    <mergeCell ref="B32:D3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49E13-3D7E-4CB1-88AD-CF61CF8C7F41}">
  <sheetPr codeName="Sheet16"/>
  <dimension ref="A1:C21"/>
  <sheetViews>
    <sheetView workbookViewId="0">
      <selection activeCell="D35" sqref="D35"/>
    </sheetView>
  </sheetViews>
  <sheetFormatPr defaultRowHeight="12.75" x14ac:dyDescent="0.2"/>
  <cols>
    <col min="1" max="3" width="33" customWidth="1"/>
  </cols>
  <sheetData>
    <row r="1" spans="1:3" ht="15" x14ac:dyDescent="0.25">
      <c r="A1" s="6"/>
    </row>
    <row r="2" spans="1:3" ht="15" x14ac:dyDescent="0.25">
      <c r="A2" s="407" t="s">
        <v>36</v>
      </c>
      <c r="B2" s="408"/>
      <c r="C2" s="409"/>
    </row>
    <row r="3" spans="1:3" ht="15" x14ac:dyDescent="0.25">
      <c r="A3" s="7"/>
      <c r="B3" s="19" t="s">
        <v>43</v>
      </c>
      <c r="C3" s="17" t="s">
        <v>42</v>
      </c>
    </row>
    <row r="4" spans="1:3" ht="15" x14ac:dyDescent="0.25">
      <c r="A4" s="8"/>
      <c r="B4" s="9"/>
      <c r="C4" s="10"/>
    </row>
    <row r="5" spans="1:3" ht="15" x14ac:dyDescent="0.25">
      <c r="A5" s="410" t="s">
        <v>37</v>
      </c>
      <c r="B5" s="411"/>
      <c r="C5" s="412"/>
    </row>
    <row r="6" spans="1:3" x14ac:dyDescent="0.2">
      <c r="A6" s="1" t="s">
        <v>38</v>
      </c>
      <c r="B6" s="11">
        <f>(26.92+650*'8.1'!C22)*12</f>
        <v>1666.6680000000001</v>
      </c>
      <c r="C6" s="18">
        <f>(26.92+650*'8.1'!D22)*12</f>
        <v>1781.6399999999999</v>
      </c>
    </row>
    <row r="7" spans="1:3" x14ac:dyDescent="0.2">
      <c r="A7" s="2"/>
      <c r="B7" s="4"/>
      <c r="C7" s="13">
        <f>(C6-B6)/B6</f>
        <v>6.8983144813483999E-2</v>
      </c>
    </row>
    <row r="8" spans="1:3" x14ac:dyDescent="0.2">
      <c r="A8" s="14" t="s">
        <v>39</v>
      </c>
      <c r="B8" s="11">
        <f>+B6+(26.92*0.15+650*'8.1'!C22*0.05)*12</f>
        <v>1782.3054000000002</v>
      </c>
      <c r="C8" s="18">
        <f>+C6+(26.92*0.15+650*'8.1'!D22*0.05)*12</f>
        <v>1903.0259999999998</v>
      </c>
    </row>
    <row r="9" spans="1:3" x14ac:dyDescent="0.2">
      <c r="A9" s="2"/>
      <c r="B9" s="12"/>
      <c r="C9" s="13">
        <f>(C8-B8)/B8</f>
        <v>6.7732836359021095E-2</v>
      </c>
    </row>
    <row r="10" spans="1:3" x14ac:dyDescent="0.2">
      <c r="A10" s="14"/>
      <c r="B10" s="3"/>
      <c r="C10" s="15"/>
    </row>
    <row r="11" spans="1:3" ht="15" x14ac:dyDescent="0.25">
      <c r="A11" s="410" t="s">
        <v>40</v>
      </c>
      <c r="B11" s="411"/>
      <c r="C11" s="412"/>
    </row>
    <row r="12" spans="1:3" x14ac:dyDescent="0.2">
      <c r="A12" s="1" t="s">
        <v>38</v>
      </c>
      <c r="B12" s="11">
        <f>(24.57+650*'8.1'!C22)*12</f>
        <v>1638.4679999999998</v>
      </c>
      <c r="C12" s="58">
        <f>(24.57+650*'8.1'!D22)*12</f>
        <v>1753.44</v>
      </c>
    </row>
    <row r="13" spans="1:3" x14ac:dyDescent="0.2">
      <c r="A13" s="2"/>
      <c r="B13" s="4"/>
      <c r="C13" s="13">
        <f>(C12-B12)/B12</f>
        <v>7.0170427496905774E-2</v>
      </c>
    </row>
    <row r="14" spans="1:3" x14ac:dyDescent="0.2">
      <c r="A14" s="14" t="s">
        <v>39</v>
      </c>
      <c r="B14" s="11">
        <f>+B12+(24.57*0.15+650*'8.1'!C22*0.05)*12</f>
        <v>1749.8753999999999</v>
      </c>
      <c r="C14" s="58">
        <f>+C12+(24.57*0.15+650*'8.1'!D22*0.05)*12</f>
        <v>1870.596</v>
      </c>
    </row>
    <row r="15" spans="1:3" x14ac:dyDescent="0.2">
      <c r="A15" s="1"/>
      <c r="B15" s="4"/>
      <c r="C15" s="13">
        <f>(C14-B14)/B14</f>
        <v>6.8988111953571157E-2</v>
      </c>
    </row>
    <row r="16" spans="1:3" x14ac:dyDescent="0.2">
      <c r="A16" s="16"/>
      <c r="B16" s="9"/>
      <c r="C16" s="10"/>
    </row>
    <row r="17" spans="1:3" ht="15" x14ac:dyDescent="0.25">
      <c r="A17" s="404" t="s">
        <v>41</v>
      </c>
      <c r="B17" s="405"/>
      <c r="C17" s="406"/>
    </row>
    <row r="18" spans="1:3" x14ac:dyDescent="0.2">
      <c r="A18" s="1" t="s">
        <v>38</v>
      </c>
      <c r="B18" s="11">
        <f>(24.57+(50-20)*13.43+5000*'8.1'!C24+5000*'8.1'!C25)*12</f>
        <v>26136.839999999997</v>
      </c>
      <c r="C18" s="18">
        <f>(24.57+(50-20)*13.43+5000*'8.1'!D24+5000*'8.1'!D25)*12</f>
        <v>27905.64</v>
      </c>
    </row>
    <row r="19" spans="1:3" x14ac:dyDescent="0.2">
      <c r="A19" s="2"/>
      <c r="B19" s="4"/>
      <c r="C19" s="13">
        <f>(C18-B18)/B18</f>
        <v>6.767459264394636E-2</v>
      </c>
    </row>
    <row r="20" spans="1:3" x14ac:dyDescent="0.2">
      <c r="A20" s="14" t="s">
        <v>39</v>
      </c>
      <c r="B20" s="11">
        <f>+B18*1.15</f>
        <v>30057.365999999995</v>
      </c>
      <c r="C20" s="18">
        <f>+C18*1.15</f>
        <v>32091.485999999997</v>
      </c>
    </row>
    <row r="21" spans="1:3" x14ac:dyDescent="0.2">
      <c r="A21" s="2"/>
      <c r="B21" s="4"/>
      <c r="C21" s="13">
        <f>(C20-B20)/B20</f>
        <v>6.7674592643946346E-2</v>
      </c>
    </row>
  </sheetData>
  <mergeCells count="4">
    <mergeCell ref="A17:C17"/>
    <mergeCell ref="A2:C2"/>
    <mergeCell ref="A5:C5"/>
    <mergeCell ref="A11:C1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574B1-2739-4357-AA32-08356537CC40}">
  <sheetPr codeName="Sheet17"/>
  <dimension ref="A1:D56"/>
  <sheetViews>
    <sheetView workbookViewId="0">
      <selection activeCell="B4" sqref="B4"/>
    </sheetView>
  </sheetViews>
  <sheetFormatPr defaultRowHeight="12.75" x14ac:dyDescent="0.2"/>
  <cols>
    <col min="1" max="1" width="57.5703125" bestFit="1" customWidth="1"/>
    <col min="2" max="2" width="14.5703125" bestFit="1" customWidth="1"/>
    <col min="3" max="4" width="12.7109375" bestFit="1" customWidth="1"/>
  </cols>
  <sheetData>
    <row r="1" spans="1:4" ht="15.75" thickBot="1" x14ac:dyDescent="0.3">
      <c r="A1" s="413" t="s">
        <v>79</v>
      </c>
      <c r="B1" s="414"/>
      <c r="C1" s="414"/>
      <c r="D1" s="414"/>
    </row>
    <row r="2" spans="1:4" ht="15.75" thickTop="1" x14ac:dyDescent="0.25">
      <c r="A2" s="415" t="s">
        <v>60</v>
      </c>
      <c r="B2" s="416"/>
      <c r="C2" s="416"/>
      <c r="D2" s="417"/>
    </row>
    <row r="3" spans="1:4" ht="15" x14ac:dyDescent="0.25">
      <c r="A3" s="418" t="s">
        <v>61</v>
      </c>
      <c r="B3" s="419"/>
      <c r="C3" s="419"/>
      <c r="D3" s="420"/>
    </row>
    <row r="4" spans="1:4" ht="15" x14ac:dyDescent="0.25">
      <c r="A4" s="52"/>
      <c r="B4" s="35">
        <f>+'8.1'!C4</f>
        <v>45717</v>
      </c>
      <c r="C4" s="35">
        <f>+'8.1'!D4</f>
        <v>46082</v>
      </c>
      <c r="D4" s="37" t="e">
        <f>+'8.1'!#REF!</f>
        <v>#REF!</v>
      </c>
    </row>
    <row r="5" spans="1:4" ht="14.25" x14ac:dyDescent="0.2">
      <c r="A5" s="44" t="s">
        <v>62</v>
      </c>
      <c r="B5" s="24">
        <v>323.04000000000008</v>
      </c>
      <c r="C5" s="24">
        <f>+B5</f>
        <v>323.04000000000008</v>
      </c>
      <c r="D5" s="53">
        <f>+C5</f>
        <v>323.04000000000008</v>
      </c>
    </row>
    <row r="6" spans="1:4" ht="14.25" x14ac:dyDescent="0.2">
      <c r="A6" s="54" t="s">
        <v>63</v>
      </c>
      <c r="B6" s="22">
        <v>1195.155</v>
      </c>
      <c r="C6" s="22">
        <f>+B6</f>
        <v>1195.155</v>
      </c>
      <c r="D6" s="40">
        <v>1248</v>
      </c>
    </row>
    <row r="7" spans="1:4" ht="14.25" x14ac:dyDescent="0.2">
      <c r="A7" s="54" t="s">
        <v>64</v>
      </c>
      <c r="B7" s="22">
        <v>42.903249999999986</v>
      </c>
      <c r="C7" s="22">
        <v>52.555749999999996</v>
      </c>
      <c r="D7" s="40">
        <v>39.450000000000003</v>
      </c>
    </row>
    <row r="8" spans="1:4" ht="14.25" x14ac:dyDescent="0.2">
      <c r="A8" s="54" t="s">
        <v>82</v>
      </c>
      <c r="B8" s="22">
        <v>5.8272500000000003</v>
      </c>
      <c r="C8" s="22">
        <f>+B8</f>
        <v>5.8272500000000003</v>
      </c>
      <c r="D8" s="40">
        <v>0</v>
      </c>
    </row>
    <row r="9" spans="1:4" ht="14.25" x14ac:dyDescent="0.2">
      <c r="A9" s="54" t="s">
        <v>65</v>
      </c>
      <c r="B9" s="22">
        <v>2.1287500000000001</v>
      </c>
      <c r="C9" s="25">
        <f>+B9</f>
        <v>2.1287500000000001</v>
      </c>
      <c r="D9" s="57">
        <v>2.4700000000000002</v>
      </c>
    </row>
    <row r="10" spans="1:4" ht="14.25" x14ac:dyDescent="0.2">
      <c r="A10" s="54" t="s">
        <v>66</v>
      </c>
      <c r="B10" s="22">
        <v>-13.237250000000003</v>
      </c>
      <c r="C10" s="22">
        <f>+B10</f>
        <v>-13.237250000000003</v>
      </c>
      <c r="D10" s="40">
        <v>-0.63</v>
      </c>
    </row>
    <row r="11" spans="1:4" ht="15" x14ac:dyDescent="0.25">
      <c r="A11" s="42" t="s">
        <v>67</v>
      </c>
      <c r="B11" s="22">
        <f>SUM(B5:B10)</f>
        <v>1555.8170000000005</v>
      </c>
      <c r="C11" s="26">
        <f>SUM(C5:C10)</f>
        <v>1565.4695000000004</v>
      </c>
      <c r="D11" s="55">
        <f>SUM(D5:D10)</f>
        <v>1612.33</v>
      </c>
    </row>
    <row r="12" spans="1:4" ht="14.25" x14ac:dyDescent="0.2">
      <c r="A12" s="44" t="s">
        <v>68</v>
      </c>
      <c r="B12" s="22">
        <f>+B11*0.15</f>
        <v>233.37255000000005</v>
      </c>
      <c r="C12" s="22">
        <f t="shared" ref="C12:D12" si="0">ROUND(+C11*0.15,2)</f>
        <v>234.82</v>
      </c>
      <c r="D12" s="40">
        <f t="shared" si="0"/>
        <v>241.85</v>
      </c>
    </row>
    <row r="13" spans="1:4" ht="14.25" x14ac:dyDescent="0.2">
      <c r="A13" s="44" t="s">
        <v>69</v>
      </c>
      <c r="B13" s="22">
        <f>-SUM(B6:B10)*0.1</f>
        <v>-123.27770000000004</v>
      </c>
      <c r="C13" s="22">
        <f t="shared" ref="C13:D13" si="1">-SUM(C6:C10)*0.1</f>
        <v>-124.24295000000002</v>
      </c>
      <c r="D13" s="40">
        <f t="shared" si="1"/>
        <v>-128.929</v>
      </c>
    </row>
    <row r="14" spans="1:4" ht="15" x14ac:dyDescent="0.25">
      <c r="A14" s="45" t="s">
        <v>70</v>
      </c>
      <c r="B14" s="27">
        <f>SUM(B11:B13)</f>
        <v>1665.9118500000004</v>
      </c>
      <c r="C14" s="27">
        <f>SUM(C11:C13)</f>
        <v>1676.0465500000003</v>
      </c>
      <c r="D14" s="56">
        <f>SUM(D11:D13)</f>
        <v>1725.2509999999997</v>
      </c>
    </row>
    <row r="15" spans="1:4" ht="15" x14ac:dyDescent="0.25">
      <c r="A15" s="45" t="s">
        <v>71</v>
      </c>
      <c r="B15" s="27"/>
      <c r="C15" s="27"/>
      <c r="D15" s="56"/>
    </row>
    <row r="16" spans="1:4" ht="15" x14ac:dyDescent="0.25">
      <c r="A16" s="45" t="s">
        <v>72</v>
      </c>
      <c r="B16" s="28"/>
      <c r="C16" s="28">
        <f t="shared" ref="C16" si="2">(C11-B11)/B11</f>
        <v>6.2041358334559366E-3</v>
      </c>
      <c r="D16" s="48">
        <f>(D11-C11)/C11</f>
        <v>2.9933831352191489E-2</v>
      </c>
    </row>
    <row r="17" spans="1:4" ht="15.75" thickBot="1" x14ac:dyDescent="0.3">
      <c r="A17" s="49" t="s">
        <v>73</v>
      </c>
      <c r="B17" s="50"/>
      <c r="C17" s="50">
        <f t="shared" ref="C17:D17" si="3">(C14-B14)/B14</f>
        <v>6.0835751903678672E-3</v>
      </c>
      <c r="D17" s="51">
        <f t="shared" si="3"/>
        <v>2.9357448335787267E-2</v>
      </c>
    </row>
    <row r="18" spans="1:4" ht="16.5" thickTop="1" thickBot="1" x14ac:dyDescent="0.3">
      <c r="A18" s="29"/>
      <c r="B18" s="30"/>
      <c r="C18" s="30"/>
      <c r="D18" s="30"/>
    </row>
    <row r="19" spans="1:4" ht="15.75" thickTop="1" x14ac:dyDescent="0.25">
      <c r="A19" s="415" t="s">
        <v>80</v>
      </c>
      <c r="B19" s="416"/>
      <c r="C19" s="416"/>
      <c r="D19" s="417"/>
    </row>
    <row r="20" spans="1:4" ht="15" x14ac:dyDescent="0.25">
      <c r="A20" s="418" t="s">
        <v>76</v>
      </c>
      <c r="B20" s="419"/>
      <c r="C20" s="419"/>
      <c r="D20" s="420"/>
    </row>
    <row r="21" spans="1:4" ht="15" x14ac:dyDescent="0.25">
      <c r="A21" s="418" t="s">
        <v>61</v>
      </c>
      <c r="B21" s="419"/>
      <c r="C21" s="419"/>
      <c r="D21" s="420"/>
    </row>
    <row r="22" spans="1:4" ht="15" x14ac:dyDescent="0.25">
      <c r="A22" s="52"/>
      <c r="B22" s="35">
        <f>+B4</f>
        <v>45717</v>
      </c>
      <c r="C22" s="35">
        <f>+C4</f>
        <v>46082</v>
      </c>
      <c r="D22" s="37" t="e">
        <f>+D4</f>
        <v>#REF!</v>
      </c>
    </row>
    <row r="23" spans="1:4" ht="14.25" x14ac:dyDescent="0.2">
      <c r="A23" s="44" t="s">
        <v>62</v>
      </c>
      <c r="B23" s="24">
        <v>294.83999999999997</v>
      </c>
      <c r="C23" s="24">
        <f>+B23</f>
        <v>294.83999999999997</v>
      </c>
      <c r="D23" s="53">
        <f>+C23</f>
        <v>294.83999999999997</v>
      </c>
    </row>
    <row r="24" spans="1:4" ht="14.25" x14ac:dyDescent="0.2">
      <c r="A24" s="54" t="s">
        <v>63</v>
      </c>
      <c r="B24" s="22">
        <f t="shared" ref="B24:D25" si="4">+B6</f>
        <v>1195.155</v>
      </c>
      <c r="C24" s="22">
        <f t="shared" si="4"/>
        <v>1195.155</v>
      </c>
      <c r="D24" s="40">
        <f t="shared" si="4"/>
        <v>1248</v>
      </c>
    </row>
    <row r="25" spans="1:4" ht="14.25" x14ac:dyDescent="0.2">
      <c r="A25" s="54" t="s">
        <v>64</v>
      </c>
      <c r="B25" s="22">
        <f t="shared" si="4"/>
        <v>42.903249999999986</v>
      </c>
      <c r="C25" s="22">
        <f t="shared" si="4"/>
        <v>52.555749999999996</v>
      </c>
      <c r="D25" s="40">
        <f t="shared" si="4"/>
        <v>39.450000000000003</v>
      </c>
    </row>
    <row r="26" spans="1:4" ht="14.25" x14ac:dyDescent="0.2">
      <c r="A26" s="54" t="str">
        <f>+A8</f>
        <v>Provincial Costs Recoverable</v>
      </c>
      <c r="B26" s="22">
        <f>+B8</f>
        <v>5.8272500000000003</v>
      </c>
      <c r="C26" s="22">
        <f>+B26</f>
        <v>5.8272500000000003</v>
      </c>
      <c r="D26" s="40">
        <v>0</v>
      </c>
    </row>
    <row r="27" spans="1:4" ht="14.25" x14ac:dyDescent="0.2">
      <c r="A27" s="54" t="s">
        <v>65</v>
      </c>
      <c r="B27" s="22">
        <f t="shared" ref="B27:D27" si="5">+B9</f>
        <v>2.1287500000000001</v>
      </c>
      <c r="C27" s="22">
        <f t="shared" si="5"/>
        <v>2.1287500000000001</v>
      </c>
      <c r="D27" s="40">
        <f t="shared" si="5"/>
        <v>2.4700000000000002</v>
      </c>
    </row>
    <row r="28" spans="1:4" ht="14.25" x14ac:dyDescent="0.2">
      <c r="A28" s="54" t="s">
        <v>66</v>
      </c>
      <c r="B28" s="22">
        <f t="shared" ref="B28:D28" si="6">+B10</f>
        <v>-13.237250000000003</v>
      </c>
      <c r="C28" s="22">
        <f t="shared" si="6"/>
        <v>-13.237250000000003</v>
      </c>
      <c r="D28" s="40">
        <f t="shared" si="6"/>
        <v>-0.63</v>
      </c>
    </row>
    <row r="29" spans="1:4" ht="15" x14ac:dyDescent="0.25">
      <c r="A29" s="42" t="s">
        <v>67</v>
      </c>
      <c r="B29" s="26">
        <f>SUM(B23:B28)</f>
        <v>1527.6170000000002</v>
      </c>
      <c r="C29" s="26">
        <f t="shared" ref="C29:D29" si="7">SUM(C23:C28)</f>
        <v>1537.2695000000001</v>
      </c>
      <c r="D29" s="55">
        <f t="shared" si="7"/>
        <v>1584.1299999999999</v>
      </c>
    </row>
    <row r="30" spans="1:4" ht="14.25" x14ac:dyDescent="0.2">
      <c r="A30" s="44" t="str">
        <f>+A12</f>
        <v>HST</v>
      </c>
      <c r="B30" s="22">
        <f>+B29*0.15</f>
        <v>229.14255000000003</v>
      </c>
      <c r="C30" s="22">
        <f t="shared" ref="C30:D30" si="8">+C29*0.15</f>
        <v>230.59042500000001</v>
      </c>
      <c r="D30" s="40">
        <f t="shared" si="8"/>
        <v>237.61949999999996</v>
      </c>
    </row>
    <row r="31" spans="1:4" ht="14.25" x14ac:dyDescent="0.2">
      <c r="A31" s="44" t="str">
        <f>+A13</f>
        <v>Provincial Clean Energy Rebate*</v>
      </c>
      <c r="B31" s="22">
        <f>-SUM(B24:B28)*0.1</f>
        <v>-123.27770000000004</v>
      </c>
      <c r="C31" s="22">
        <f t="shared" ref="C31:D31" si="9">-SUM(C24:C28)*0.1</f>
        <v>-124.24295000000002</v>
      </c>
      <c r="D31" s="40">
        <f t="shared" si="9"/>
        <v>-128.929</v>
      </c>
    </row>
    <row r="32" spans="1:4" ht="15" x14ac:dyDescent="0.25">
      <c r="A32" s="45" t="s">
        <v>70</v>
      </c>
      <c r="B32" s="27">
        <f>SUM(B29:B31)-0.01</f>
        <v>1633.4718500000001</v>
      </c>
      <c r="C32" s="27">
        <f>SUM(C29:C31)+0.01</f>
        <v>1643.6269750000001</v>
      </c>
      <c r="D32" s="56">
        <f>SUM(D29:D31)+0</f>
        <v>1692.8204999999998</v>
      </c>
    </row>
    <row r="33" spans="1:4" ht="15" x14ac:dyDescent="0.25">
      <c r="A33" s="47" t="s">
        <v>71</v>
      </c>
      <c r="B33" s="27"/>
      <c r="C33" s="27"/>
      <c r="D33" s="56"/>
    </row>
    <row r="34" spans="1:4" ht="15" x14ac:dyDescent="0.25">
      <c r="A34" s="45" t="s">
        <v>72</v>
      </c>
      <c r="B34" s="28"/>
      <c r="C34" s="28">
        <f>(C29-B29)/B29</f>
        <v>6.3186649533226698E-3</v>
      </c>
      <c r="D34" s="48">
        <f t="shared" ref="D34" si="10">(D29-C29)/C29</f>
        <v>3.0482943947043619E-2</v>
      </c>
    </row>
    <row r="35" spans="1:4" ht="15.75" thickBot="1" x14ac:dyDescent="0.3">
      <c r="A35" s="49" t="s">
        <v>73</v>
      </c>
      <c r="B35" s="50"/>
      <c r="C35" s="50">
        <f>(C32-B32)/B32</f>
        <v>6.2168962385240967E-3</v>
      </c>
      <c r="D35" s="51">
        <f t="shared" ref="D35" si="11">(D32-C32)/C32</f>
        <v>2.9929859845479644E-2</v>
      </c>
    </row>
    <row r="36" spans="1:4" ht="15.75" thickTop="1" thickBot="1" x14ac:dyDescent="0.25">
      <c r="A36" s="31"/>
      <c r="B36" s="32"/>
      <c r="C36" s="32"/>
      <c r="D36" s="32"/>
    </row>
    <row r="37" spans="1:4" ht="15.75" thickTop="1" x14ac:dyDescent="0.25">
      <c r="A37" s="421" t="s">
        <v>81</v>
      </c>
      <c r="B37" s="422"/>
      <c r="C37" s="422"/>
      <c r="D37" s="423"/>
    </row>
    <row r="38" spans="1:4" ht="15" x14ac:dyDescent="0.25">
      <c r="A38" s="424" t="s">
        <v>75</v>
      </c>
      <c r="B38" s="425"/>
      <c r="C38" s="425"/>
      <c r="D38" s="426"/>
    </row>
    <row r="39" spans="1:4" ht="15" x14ac:dyDescent="0.25">
      <c r="A39" s="427" t="s">
        <v>77</v>
      </c>
      <c r="B39" s="428"/>
      <c r="C39" s="428"/>
      <c r="D39" s="429"/>
    </row>
    <row r="40" spans="1:4" ht="15" x14ac:dyDescent="0.25">
      <c r="A40" s="418" t="s">
        <v>61</v>
      </c>
      <c r="B40" s="419"/>
      <c r="C40" s="419"/>
      <c r="D40" s="420"/>
    </row>
    <row r="41" spans="1:4" ht="15" x14ac:dyDescent="0.25">
      <c r="A41" s="36"/>
      <c r="B41" s="35">
        <f>+B22</f>
        <v>45717</v>
      </c>
      <c r="C41" s="35">
        <f t="shared" ref="C41:D41" si="12">+C22</f>
        <v>46082</v>
      </c>
      <c r="D41" s="37" t="e">
        <f t="shared" si="12"/>
        <v>#REF!</v>
      </c>
    </row>
    <row r="42" spans="1:4" ht="14.25" x14ac:dyDescent="0.2">
      <c r="A42" s="38" t="s">
        <v>62</v>
      </c>
      <c r="B42" s="23">
        <v>294.83999999999997</v>
      </c>
      <c r="C42" s="23">
        <f>+B42</f>
        <v>294.83999999999997</v>
      </c>
      <c r="D42" s="39">
        <f>+C42</f>
        <v>294.83999999999997</v>
      </c>
    </row>
    <row r="43" spans="1:4" ht="14.25" x14ac:dyDescent="0.2">
      <c r="A43" s="38" t="s">
        <v>74</v>
      </c>
      <c r="B43" s="22">
        <v>4834.8</v>
      </c>
      <c r="C43" s="22">
        <f>+B43</f>
        <v>4834.8</v>
      </c>
      <c r="D43" s="40">
        <f>+C43</f>
        <v>4834.8</v>
      </c>
    </row>
    <row r="44" spans="1:4" ht="14.25" x14ac:dyDescent="0.2">
      <c r="A44" s="38" t="s">
        <v>63</v>
      </c>
      <c r="B44" s="22">
        <v>18703.5</v>
      </c>
      <c r="C44" s="22">
        <f>+B44</f>
        <v>18703.5</v>
      </c>
      <c r="D44" s="40">
        <v>19529.5</v>
      </c>
    </row>
    <row r="45" spans="1:4" ht="14.25" x14ac:dyDescent="0.2">
      <c r="A45" s="41" t="s">
        <v>64</v>
      </c>
      <c r="B45" s="22">
        <v>660.05</v>
      </c>
      <c r="C45" s="22">
        <v>808.55</v>
      </c>
      <c r="D45" s="40">
        <v>606.9</v>
      </c>
    </row>
    <row r="46" spans="1:4" ht="14.25" x14ac:dyDescent="0.2">
      <c r="A46" s="41" t="s">
        <v>82</v>
      </c>
      <c r="B46" s="22">
        <f>+C46</f>
        <v>89.65</v>
      </c>
      <c r="C46" s="22">
        <v>89.65</v>
      </c>
      <c r="D46" s="40">
        <v>0</v>
      </c>
    </row>
    <row r="47" spans="1:4" ht="14.25" x14ac:dyDescent="0.2">
      <c r="A47" s="41" t="s">
        <v>65</v>
      </c>
      <c r="B47" s="22">
        <f t="shared" ref="B47:B48" si="13">+C47</f>
        <v>32.75</v>
      </c>
      <c r="C47" s="22">
        <v>32.75</v>
      </c>
      <c r="D47" s="40">
        <v>37.950000000000003</v>
      </c>
    </row>
    <row r="48" spans="1:4" ht="14.25" x14ac:dyDescent="0.2">
      <c r="A48" s="41" t="s">
        <v>66</v>
      </c>
      <c r="B48" s="22">
        <f t="shared" si="13"/>
        <v>-203.65</v>
      </c>
      <c r="C48" s="22">
        <v>-203.65</v>
      </c>
      <c r="D48" s="40">
        <v>-9.76</v>
      </c>
    </row>
    <row r="49" spans="1:4" ht="15" x14ac:dyDescent="0.25">
      <c r="A49" s="42" t="s">
        <v>67</v>
      </c>
      <c r="B49" s="22">
        <f>SUM(B42:B48)</f>
        <v>24411.94</v>
      </c>
      <c r="C49" s="33">
        <f>SUM(C42:C48)</f>
        <v>24560.44</v>
      </c>
      <c r="D49" s="43">
        <f>SUM(D42:D48)</f>
        <v>25294.230000000003</v>
      </c>
    </row>
    <row r="50" spans="1:4" ht="14.25" x14ac:dyDescent="0.2">
      <c r="A50" s="44" t="s">
        <v>78</v>
      </c>
      <c r="B50" s="33">
        <f>+B49*0.15</f>
        <v>3661.7909999999997</v>
      </c>
      <c r="C50" s="33">
        <f t="shared" ref="C50:D50" si="14">+C49*0.15</f>
        <v>3684.0659999999998</v>
      </c>
      <c r="D50" s="43">
        <f t="shared" si="14"/>
        <v>3794.1345000000001</v>
      </c>
    </row>
    <row r="51" spans="1:4" ht="15" x14ac:dyDescent="0.25">
      <c r="A51" s="45" t="s">
        <v>70</v>
      </c>
      <c r="B51" s="34">
        <f t="shared" ref="B51:D51" si="15">SUM(B49:B50)</f>
        <v>28073.731</v>
      </c>
      <c r="C51" s="34">
        <f t="shared" si="15"/>
        <v>28244.505999999998</v>
      </c>
      <c r="D51" s="46">
        <f t="shared" si="15"/>
        <v>29088.364500000003</v>
      </c>
    </row>
    <row r="52" spans="1:4" ht="15" x14ac:dyDescent="0.25">
      <c r="A52" s="47" t="s">
        <v>71</v>
      </c>
      <c r="B52" s="34"/>
      <c r="C52" s="34"/>
      <c r="D52" s="46"/>
    </row>
    <row r="53" spans="1:4" ht="15" x14ac:dyDescent="0.25">
      <c r="A53" s="45" t="s">
        <v>72</v>
      </c>
      <c r="B53" s="28"/>
      <c r="C53" s="28">
        <f t="shared" ref="C53:D53" si="16">(C49-B49)/B49</f>
        <v>6.0830888491451322E-3</v>
      </c>
      <c r="D53" s="48">
        <f t="shared" si="16"/>
        <v>2.9876907742695347E-2</v>
      </c>
    </row>
    <row r="54" spans="1:4" ht="15.75" thickBot="1" x14ac:dyDescent="0.3">
      <c r="A54" s="49" t="s">
        <v>73</v>
      </c>
      <c r="B54" s="50"/>
      <c r="C54" s="50">
        <f t="shared" ref="C54:D54" si="17">(C51-B51)/B51</f>
        <v>6.0830888491450541E-3</v>
      </c>
      <c r="D54" s="51">
        <f t="shared" si="17"/>
        <v>2.9876907742695368E-2</v>
      </c>
    </row>
    <row r="55" spans="1:4" ht="13.5" thickTop="1" x14ac:dyDescent="0.2"/>
    <row r="56" spans="1:4" x14ac:dyDescent="0.2">
      <c r="A56" s="59" t="s">
        <v>83</v>
      </c>
    </row>
  </sheetData>
  <mergeCells count="10">
    <mergeCell ref="A1:D1"/>
    <mergeCell ref="A2:D2"/>
    <mergeCell ref="A3:D3"/>
    <mergeCell ref="A40:D40"/>
    <mergeCell ref="A19:D19"/>
    <mergeCell ref="A20:D20"/>
    <mergeCell ref="A21:D21"/>
    <mergeCell ref="A37:D37"/>
    <mergeCell ref="A38:D38"/>
    <mergeCell ref="A39:D3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E2FA8-0F6E-40B7-B0B3-0B993D650F58}">
  <sheetPr codeName="Sheet10"/>
  <dimension ref="B2:L50"/>
  <sheetViews>
    <sheetView workbookViewId="0">
      <selection activeCell="R11" sqref="R11"/>
    </sheetView>
  </sheetViews>
  <sheetFormatPr defaultColWidth="9.140625" defaultRowHeight="12.75" x14ac:dyDescent="0.2"/>
  <cols>
    <col min="1" max="1" width="3" style="59" customWidth="1"/>
    <col min="2" max="2" width="12.5703125" style="59" customWidth="1"/>
    <col min="3" max="3" width="18.5703125" style="59" customWidth="1"/>
    <col min="4" max="4" width="13.85546875" style="59" customWidth="1"/>
    <col min="5" max="5" width="15.28515625" style="59" customWidth="1"/>
    <col min="6" max="6" width="2.42578125" style="59" customWidth="1"/>
    <col min="7" max="7" width="14.140625" style="59" customWidth="1"/>
    <col min="8" max="8" width="12.42578125" style="59" customWidth="1"/>
    <col min="9" max="9" width="14.140625" style="59" customWidth="1"/>
    <col min="10" max="10" width="3.42578125" style="59" customWidth="1"/>
    <col min="11" max="11" width="12.85546875" style="59" customWidth="1"/>
    <col min="12" max="16384" width="9.140625" style="59"/>
  </cols>
  <sheetData>
    <row r="2" spans="2:11" x14ac:dyDescent="0.2">
      <c r="B2" s="329" t="s">
        <v>116</v>
      </c>
      <c r="C2" s="330"/>
      <c r="D2" s="330"/>
      <c r="E2" s="330"/>
      <c r="F2" s="330"/>
      <c r="G2" s="330"/>
      <c r="H2" s="330"/>
      <c r="I2" s="330"/>
      <c r="J2" s="330"/>
      <c r="K2" s="331"/>
    </row>
    <row r="3" spans="2:11" x14ac:dyDescent="0.2">
      <c r="B3" s="339"/>
      <c r="C3" s="340"/>
      <c r="D3" s="340"/>
      <c r="E3" s="340"/>
      <c r="F3" s="340"/>
      <c r="G3" s="340"/>
      <c r="H3" s="340"/>
      <c r="I3" s="340"/>
      <c r="J3" s="340"/>
      <c r="K3" s="341"/>
    </row>
    <row r="4" spans="2:11" ht="62.25" customHeight="1" x14ac:dyDescent="0.2">
      <c r="B4" s="88" t="s">
        <v>19</v>
      </c>
      <c r="C4" s="87" t="s">
        <v>122</v>
      </c>
      <c r="D4" s="87" t="s">
        <v>121</v>
      </c>
      <c r="E4" s="87" t="s">
        <v>120</v>
      </c>
      <c r="F4" s="337"/>
      <c r="G4" s="88" t="s">
        <v>117</v>
      </c>
      <c r="H4" s="87" t="s">
        <v>119</v>
      </c>
      <c r="I4" s="87" t="s">
        <v>118</v>
      </c>
      <c r="J4" s="335"/>
      <c r="K4" s="87" t="s">
        <v>126</v>
      </c>
    </row>
    <row r="5" spans="2:11" x14ac:dyDescent="0.2">
      <c r="B5" s="89"/>
      <c r="C5" s="90" t="s">
        <v>123</v>
      </c>
      <c r="D5" s="91" t="s">
        <v>26</v>
      </c>
      <c r="E5" s="91" t="s">
        <v>100</v>
      </c>
      <c r="F5" s="337"/>
      <c r="G5" s="92" t="s">
        <v>101</v>
      </c>
      <c r="H5" s="92" t="s">
        <v>124</v>
      </c>
      <c r="I5" s="93" t="s">
        <v>125</v>
      </c>
      <c r="J5" s="335"/>
      <c r="K5" s="91" t="s">
        <v>127</v>
      </c>
    </row>
    <row r="6" spans="2:11" ht="14.25" customHeight="1" x14ac:dyDescent="0.2">
      <c r="B6" s="94">
        <v>44927</v>
      </c>
      <c r="C6" s="86">
        <v>139765734.89093813</v>
      </c>
      <c r="D6" s="95">
        <v>4.0200000000000001E-3</v>
      </c>
      <c r="E6" s="96">
        <f>+C6*D6</f>
        <v>561858.25426157133</v>
      </c>
      <c r="F6" s="337"/>
      <c r="G6" s="86">
        <v>141890371</v>
      </c>
      <c r="H6" s="95">
        <v>4.0200000000000001E-3</v>
      </c>
      <c r="I6" s="96">
        <f>G6*H6</f>
        <v>570399.29142000002</v>
      </c>
      <c r="J6" s="335"/>
      <c r="K6" s="80">
        <f t="shared" ref="K6:K17" si="0">I6-E6</f>
        <v>8541.0371584286913</v>
      </c>
    </row>
    <row r="7" spans="2:11" ht="14.25" customHeight="1" x14ac:dyDescent="0.2">
      <c r="B7" s="94">
        <v>44958</v>
      </c>
      <c r="C7" s="86">
        <v>140318313.51061437</v>
      </c>
      <c r="D7" s="95">
        <v>4.0200000000000001E-3</v>
      </c>
      <c r="E7" s="80">
        <f t="shared" ref="E7:E17" si="1">+C7*D7</f>
        <v>564079.62031266978</v>
      </c>
      <c r="F7" s="337"/>
      <c r="G7" s="86">
        <v>148447463</v>
      </c>
      <c r="H7" s="95">
        <v>4.0200000000000001E-3</v>
      </c>
      <c r="I7" s="80">
        <f t="shared" ref="I7:I17" si="2">G7*H7</f>
        <v>596758.80125999998</v>
      </c>
      <c r="J7" s="335"/>
      <c r="K7" s="80">
        <f t="shared" si="0"/>
        <v>32679.180947330198</v>
      </c>
    </row>
    <row r="8" spans="2:11" ht="14.25" customHeight="1" x14ac:dyDescent="0.2">
      <c r="B8" s="94">
        <v>44986</v>
      </c>
      <c r="C8" s="86">
        <v>126276757.6159012</v>
      </c>
      <c r="D8" s="95">
        <v>4.0200000000000001E-3</v>
      </c>
      <c r="E8" s="80">
        <f t="shared" si="1"/>
        <v>507632.56561592285</v>
      </c>
      <c r="F8" s="337"/>
      <c r="G8" s="86">
        <v>139439604</v>
      </c>
      <c r="H8" s="95">
        <v>4.0200000000000001E-3</v>
      </c>
      <c r="I8" s="80">
        <f t="shared" si="2"/>
        <v>560547.20808000001</v>
      </c>
      <c r="J8" s="335"/>
      <c r="K8" s="80">
        <f t="shared" si="0"/>
        <v>52914.642464077158</v>
      </c>
    </row>
    <row r="9" spans="2:11" ht="14.25" customHeight="1" x14ac:dyDescent="0.2">
      <c r="B9" s="94">
        <v>45017</v>
      </c>
      <c r="C9" s="86">
        <v>117135819.07126024</v>
      </c>
      <c r="D9" s="95">
        <v>4.0200000000000001E-3</v>
      </c>
      <c r="E9" s="80">
        <f t="shared" si="1"/>
        <v>470885.99266646622</v>
      </c>
      <c r="F9" s="337"/>
      <c r="G9" s="86">
        <v>133331813</v>
      </c>
      <c r="H9" s="95">
        <v>4.0200000000000001E-3</v>
      </c>
      <c r="I9" s="80">
        <f t="shared" si="2"/>
        <v>535993.88826000004</v>
      </c>
      <c r="J9" s="335"/>
      <c r="K9" s="80">
        <f t="shared" si="0"/>
        <v>65107.895593533816</v>
      </c>
    </row>
    <row r="10" spans="2:11" ht="16.5" customHeight="1" x14ac:dyDescent="0.2">
      <c r="B10" s="94" t="s">
        <v>131</v>
      </c>
      <c r="C10" s="86">
        <v>110140476.02410069</v>
      </c>
      <c r="D10" s="95">
        <v>5.8900000000000003E-3</v>
      </c>
      <c r="E10" s="80">
        <f t="shared" si="1"/>
        <v>648727.40378195315</v>
      </c>
      <c r="F10" s="337"/>
      <c r="G10" s="86">
        <v>114119479</v>
      </c>
      <c r="H10" s="95">
        <v>5.3533713631833202E-3</v>
      </c>
      <c r="I10" s="80">
        <f t="shared" si="2"/>
        <v>610923.95086000033</v>
      </c>
      <c r="J10" s="335"/>
      <c r="K10" s="80">
        <f t="shared" si="0"/>
        <v>-37803.452921952819</v>
      </c>
    </row>
    <row r="11" spans="2:11" ht="14.25" customHeight="1" x14ac:dyDescent="0.2">
      <c r="B11" s="94">
        <v>45078</v>
      </c>
      <c r="C11" s="86">
        <v>102675406.86635324</v>
      </c>
      <c r="D11" s="95">
        <v>5.8900000000000003E-3</v>
      </c>
      <c r="E11" s="80">
        <f t="shared" si="1"/>
        <v>604758.14644282067</v>
      </c>
      <c r="F11" s="337"/>
      <c r="G11" s="86">
        <v>106611426</v>
      </c>
      <c r="H11" s="95">
        <v>5.8900000000000003E-3</v>
      </c>
      <c r="I11" s="80">
        <f t="shared" si="2"/>
        <v>627941.29914000002</v>
      </c>
      <c r="J11" s="335"/>
      <c r="K11" s="80">
        <f t="shared" si="0"/>
        <v>23183.15269717935</v>
      </c>
    </row>
    <row r="12" spans="2:11" ht="14.25" customHeight="1" x14ac:dyDescent="0.2">
      <c r="B12" s="94">
        <v>45108</v>
      </c>
      <c r="C12" s="86">
        <v>101287128.53539975</v>
      </c>
      <c r="D12" s="95">
        <v>5.8900000000000003E-3</v>
      </c>
      <c r="E12" s="80">
        <f t="shared" si="1"/>
        <v>596581.18707350455</v>
      </c>
      <c r="F12" s="337"/>
      <c r="G12" s="86">
        <v>111187167</v>
      </c>
      <c r="H12" s="95">
        <v>5.8900000000000003E-3</v>
      </c>
      <c r="I12" s="80">
        <f t="shared" si="2"/>
        <v>654892.41363000008</v>
      </c>
      <c r="J12" s="335"/>
      <c r="K12" s="80">
        <f t="shared" si="0"/>
        <v>58311.226556495531</v>
      </c>
    </row>
    <row r="13" spans="2:11" ht="14.25" customHeight="1" x14ac:dyDescent="0.2">
      <c r="B13" s="94">
        <v>45139</v>
      </c>
      <c r="C13" s="86">
        <v>111404739.0482394</v>
      </c>
      <c r="D13" s="95">
        <v>5.8900000000000003E-3</v>
      </c>
      <c r="E13" s="80">
        <f t="shared" si="1"/>
        <v>656173.91299413005</v>
      </c>
      <c r="F13" s="337"/>
      <c r="G13" s="86">
        <v>115851908</v>
      </c>
      <c r="H13" s="95">
        <v>5.8900000000000003E-3</v>
      </c>
      <c r="I13" s="80">
        <f t="shared" si="2"/>
        <v>682367.73811999999</v>
      </c>
      <c r="J13" s="335"/>
      <c r="K13" s="80">
        <f t="shared" si="0"/>
        <v>26193.825125869946</v>
      </c>
    </row>
    <row r="14" spans="2:11" ht="14.25" customHeight="1" x14ac:dyDescent="0.2">
      <c r="B14" s="94">
        <v>45170</v>
      </c>
      <c r="C14" s="86">
        <v>104369273.43774976</v>
      </c>
      <c r="D14" s="95">
        <v>5.8900000000000003E-3</v>
      </c>
      <c r="E14" s="80">
        <f t="shared" si="1"/>
        <v>614735.0205483461</v>
      </c>
      <c r="F14" s="337"/>
      <c r="G14" s="86">
        <v>108774864</v>
      </c>
      <c r="H14" s="95">
        <v>5.8900000000000003E-3</v>
      </c>
      <c r="I14" s="80">
        <f t="shared" si="2"/>
        <v>640683.94896000007</v>
      </c>
      <c r="J14" s="335"/>
      <c r="K14" s="80">
        <f t="shared" si="0"/>
        <v>25948.928411653964</v>
      </c>
    </row>
    <row r="15" spans="2:11" ht="16.5" customHeight="1" x14ac:dyDescent="0.2">
      <c r="B15" s="94" t="s">
        <v>132</v>
      </c>
      <c r="C15" s="86">
        <v>100720228.10162006</v>
      </c>
      <c r="D15" s="95">
        <v>5.8900000000000003E-3</v>
      </c>
      <c r="E15" s="80">
        <f t="shared" si="1"/>
        <v>593242.14351854217</v>
      </c>
      <c r="F15" s="337"/>
      <c r="G15" s="86">
        <v>103690120</v>
      </c>
      <c r="H15" s="95">
        <v>7.5114343896988496E-3</v>
      </c>
      <c r="I15" s="80">
        <f t="shared" si="2"/>
        <v>778861.53324000048</v>
      </c>
      <c r="J15" s="335"/>
      <c r="K15" s="80">
        <f t="shared" si="0"/>
        <v>185619.38972145831</v>
      </c>
    </row>
    <row r="16" spans="2:11" ht="14.25" customHeight="1" x14ac:dyDescent="0.2">
      <c r="B16" s="94">
        <v>45231</v>
      </c>
      <c r="C16" s="86">
        <v>113671527.05153482</v>
      </c>
      <c r="D16" s="95">
        <v>5.8900000000000003E-3</v>
      </c>
      <c r="E16" s="80">
        <f t="shared" si="1"/>
        <v>669525.29433354014</v>
      </c>
      <c r="F16" s="337"/>
      <c r="G16" s="86">
        <v>116312004</v>
      </c>
      <c r="H16" s="95">
        <v>9.1900000000000003E-3</v>
      </c>
      <c r="I16" s="80">
        <f t="shared" si="2"/>
        <v>1068907.3167600001</v>
      </c>
      <c r="J16" s="335"/>
      <c r="K16" s="80">
        <f t="shared" si="0"/>
        <v>399382.02242645994</v>
      </c>
    </row>
    <row r="17" spans="2:12" ht="14.25" customHeight="1" x14ac:dyDescent="0.2">
      <c r="B17" s="94">
        <v>45261</v>
      </c>
      <c r="C17" s="86">
        <v>123983576.79914089</v>
      </c>
      <c r="D17" s="95">
        <v>5.8900000000000003E-3</v>
      </c>
      <c r="E17" s="80">
        <f t="shared" si="1"/>
        <v>730263.26734693989</v>
      </c>
      <c r="F17" s="337"/>
      <c r="G17" s="86">
        <v>139507660</v>
      </c>
      <c r="H17" s="95">
        <v>9.1900000000000003E-3</v>
      </c>
      <c r="I17" s="80">
        <f t="shared" si="2"/>
        <v>1282075.3954</v>
      </c>
      <c r="J17" s="335"/>
      <c r="K17" s="80">
        <f t="shared" si="0"/>
        <v>551812.12805306015</v>
      </c>
    </row>
    <row r="18" spans="2:12" x14ac:dyDescent="0.2">
      <c r="B18" s="100" t="s">
        <v>0</v>
      </c>
      <c r="C18" s="97">
        <f>SUM(C6:C17)</f>
        <v>1391748980.9528525</v>
      </c>
      <c r="D18" s="98"/>
      <c r="E18" s="99">
        <f>SUM(E6:E17)</f>
        <v>7218462.8088964075</v>
      </c>
      <c r="F18" s="337"/>
      <c r="G18" s="97">
        <f>SUM(G6:G17)</f>
        <v>1479163879</v>
      </c>
      <c r="H18" s="98"/>
      <c r="I18" s="99">
        <f>SUM(I6:I17)</f>
        <v>8610352.7851300016</v>
      </c>
      <c r="J18" s="335"/>
      <c r="K18" s="99">
        <f>SUM(K6:K17)</f>
        <v>1391889.9762335941</v>
      </c>
      <c r="L18" s="114"/>
    </row>
    <row r="19" spans="2:12" ht="14.25" customHeight="1" x14ac:dyDescent="0.2">
      <c r="B19" s="94">
        <v>45292</v>
      </c>
      <c r="C19" s="86">
        <v>142032550.72446841</v>
      </c>
      <c r="D19" s="95">
        <v>5.8900000000000003E-3</v>
      </c>
      <c r="E19" s="80">
        <f>C19*D19</f>
        <v>836571.72376711899</v>
      </c>
      <c r="F19" s="337"/>
      <c r="G19" s="86">
        <v>151803020</v>
      </c>
      <c r="H19" s="95">
        <v>9.1900000000000003E-3</v>
      </c>
      <c r="I19" s="80">
        <f>G19*H19</f>
        <v>1395069.7538000001</v>
      </c>
      <c r="J19" s="335"/>
      <c r="K19" s="80">
        <f t="shared" ref="K19:K30" si="3">I19-E19</f>
        <v>558498.03003288107</v>
      </c>
    </row>
    <row r="20" spans="2:12" ht="14.25" customHeight="1" x14ac:dyDescent="0.2">
      <c r="B20" s="94">
        <v>45323</v>
      </c>
      <c r="C20" s="86">
        <v>142580221.02930975</v>
      </c>
      <c r="D20" s="95">
        <v>5.8900000000000003E-3</v>
      </c>
      <c r="E20" s="80">
        <f t="shared" ref="E20:E30" si="4">C20*D20</f>
        <v>839797.50186263444</v>
      </c>
      <c r="F20" s="337"/>
      <c r="G20" s="86">
        <v>161606065</v>
      </c>
      <c r="H20" s="95">
        <v>9.1900000000000003E-3</v>
      </c>
      <c r="I20" s="80">
        <f t="shared" ref="I20:I30" si="5">G20*H20</f>
        <v>1485159.7373500001</v>
      </c>
      <c r="J20" s="335"/>
      <c r="K20" s="80">
        <f t="shared" si="3"/>
        <v>645362.23548736563</v>
      </c>
    </row>
    <row r="21" spans="2:12" ht="14.25" customHeight="1" x14ac:dyDescent="0.2">
      <c r="B21" s="94" t="s">
        <v>133</v>
      </c>
      <c r="C21" s="86">
        <v>128237771.84429245</v>
      </c>
      <c r="D21" s="95">
        <v>2.8700000000000002E-3</v>
      </c>
      <c r="E21" s="80">
        <f t="shared" si="4"/>
        <v>368042.40519311937</v>
      </c>
      <c r="F21" s="337"/>
      <c r="G21" s="86">
        <v>143436991</v>
      </c>
      <c r="H21" s="95">
        <v>7.7398208248805229E-3</v>
      </c>
      <c r="I21" s="80">
        <f t="shared" si="5"/>
        <v>1110176.6100000001</v>
      </c>
      <c r="J21" s="335"/>
      <c r="K21" s="80">
        <f t="shared" si="3"/>
        <v>742134.20480688079</v>
      </c>
    </row>
    <row r="22" spans="2:12" ht="14.25" customHeight="1" x14ac:dyDescent="0.2">
      <c r="B22" s="94">
        <v>45383</v>
      </c>
      <c r="C22" s="86">
        <v>118916502.78984545</v>
      </c>
      <c r="D22" s="95">
        <v>2.8700000000000002E-3</v>
      </c>
      <c r="E22" s="80">
        <f t="shared" si="4"/>
        <v>341290.36300685647</v>
      </c>
      <c r="F22" s="337"/>
      <c r="G22" s="86">
        <v>131248896</v>
      </c>
      <c r="H22" s="95">
        <v>6.1700000000000001E-3</v>
      </c>
      <c r="I22" s="80">
        <f t="shared" si="5"/>
        <v>809805.68832000007</v>
      </c>
      <c r="J22" s="335"/>
      <c r="K22" s="80">
        <f t="shared" si="3"/>
        <v>468515.32531314361</v>
      </c>
    </row>
    <row r="23" spans="2:12" ht="14.25" customHeight="1" x14ac:dyDescent="0.2">
      <c r="B23" s="94">
        <v>45413</v>
      </c>
      <c r="C23" s="86">
        <v>111825763.46715468</v>
      </c>
      <c r="D23" s="95">
        <v>2.8700000000000002E-3</v>
      </c>
      <c r="E23" s="80">
        <f t="shared" si="4"/>
        <v>320939.94115073397</v>
      </c>
      <c r="F23" s="337"/>
      <c r="G23" s="86">
        <v>120450943</v>
      </c>
      <c r="H23" s="95">
        <v>6.1700000000000001E-3</v>
      </c>
      <c r="I23" s="80">
        <f t="shared" si="5"/>
        <v>743182.31831</v>
      </c>
      <c r="J23" s="335"/>
      <c r="K23" s="80">
        <f t="shared" si="3"/>
        <v>422242.37715926603</v>
      </c>
    </row>
    <row r="24" spans="2:12" ht="14.25" customHeight="1" x14ac:dyDescent="0.2">
      <c r="B24" s="94">
        <v>45444</v>
      </c>
      <c r="C24" s="86">
        <v>104120797.92420173</v>
      </c>
      <c r="D24" s="95">
        <v>2.8700000000000002E-3</v>
      </c>
      <c r="E24" s="80">
        <f t="shared" si="4"/>
        <v>298826.690042459</v>
      </c>
      <c r="F24" s="337"/>
      <c r="G24" s="86">
        <v>108630244</v>
      </c>
      <c r="H24" s="95">
        <v>6.1700000000000001E-3</v>
      </c>
      <c r="I24" s="80">
        <f t="shared" si="5"/>
        <v>670248.60548000003</v>
      </c>
      <c r="J24" s="335"/>
      <c r="K24" s="80">
        <f t="shared" si="3"/>
        <v>371421.91543754103</v>
      </c>
    </row>
    <row r="25" spans="2:12" ht="14.25" customHeight="1" x14ac:dyDescent="0.2">
      <c r="B25" s="94">
        <v>45474</v>
      </c>
      <c r="C25" s="86">
        <v>102666028.26549217</v>
      </c>
      <c r="D25" s="95">
        <v>2.8700000000000002E-3</v>
      </c>
      <c r="E25" s="80">
        <f t="shared" si="4"/>
        <v>294651.50112196256</v>
      </c>
      <c r="F25" s="337"/>
      <c r="G25" s="86">
        <v>109014180</v>
      </c>
      <c r="H25" s="95">
        <v>6.1700000000000001E-3</v>
      </c>
      <c r="I25" s="80">
        <f t="shared" si="5"/>
        <v>672617.49060000002</v>
      </c>
      <c r="J25" s="335"/>
      <c r="K25" s="80">
        <f t="shared" si="3"/>
        <v>377965.98947803746</v>
      </c>
    </row>
    <row r="26" spans="2:12" ht="14.25" customHeight="1" x14ac:dyDescent="0.2">
      <c r="B26" s="94">
        <v>45505</v>
      </c>
      <c r="C26" s="86">
        <v>112872931.75436507</v>
      </c>
      <c r="D26" s="95">
        <v>2.8700000000000002E-3</v>
      </c>
      <c r="E26" s="80">
        <f t="shared" si="4"/>
        <v>323945.31413502776</v>
      </c>
      <c r="F26" s="337"/>
      <c r="G26" s="86">
        <v>121409828</v>
      </c>
      <c r="H26" s="95">
        <v>6.1700000000000001E-3</v>
      </c>
      <c r="I26" s="80">
        <f t="shared" si="5"/>
        <v>749098.63876</v>
      </c>
      <c r="J26" s="335"/>
      <c r="K26" s="80">
        <f t="shared" si="3"/>
        <v>425153.32462497224</v>
      </c>
    </row>
    <row r="27" spans="2:12" ht="14.25" customHeight="1" x14ac:dyDescent="0.2">
      <c r="B27" s="94">
        <v>45536</v>
      </c>
      <c r="C27" s="86">
        <v>105824901.77192096</v>
      </c>
      <c r="D27" s="95">
        <v>2.8700000000000002E-3</v>
      </c>
      <c r="E27" s="80">
        <f t="shared" si="4"/>
        <v>303717.46808541316</v>
      </c>
      <c r="F27" s="337"/>
      <c r="G27" s="86">
        <v>112546943</v>
      </c>
      <c r="H27" s="95">
        <v>6.1700000000000001E-3</v>
      </c>
      <c r="I27" s="80">
        <f t="shared" si="5"/>
        <v>694414.63831000007</v>
      </c>
      <c r="J27" s="335"/>
      <c r="K27" s="80">
        <f t="shared" si="3"/>
        <v>390697.17022458691</v>
      </c>
    </row>
    <row r="28" spans="2:12" ht="14.25" customHeight="1" x14ac:dyDescent="0.2">
      <c r="B28" s="94">
        <v>45566</v>
      </c>
      <c r="C28" s="86">
        <v>102160879.78210528</v>
      </c>
      <c r="D28" s="95">
        <v>2.8700000000000002E-3</v>
      </c>
      <c r="E28" s="80">
        <f t="shared" si="4"/>
        <v>293201.72497464216</v>
      </c>
      <c r="F28" s="337"/>
      <c r="G28" s="86">
        <v>105514512</v>
      </c>
      <c r="H28" s="95">
        <v>6.1700000000000001E-3</v>
      </c>
      <c r="I28" s="80">
        <f t="shared" si="5"/>
        <v>651024.53904000006</v>
      </c>
      <c r="J28" s="335"/>
      <c r="K28" s="80">
        <f t="shared" si="3"/>
        <v>357822.8140653579</v>
      </c>
    </row>
    <row r="29" spans="2:12" ht="14.25" customHeight="1" x14ac:dyDescent="0.2">
      <c r="B29" s="94">
        <v>45597</v>
      </c>
      <c r="C29" s="86">
        <v>115343068.45004267</v>
      </c>
      <c r="D29" s="95">
        <v>2.8700000000000002E-3</v>
      </c>
      <c r="E29" s="80">
        <f t="shared" si="4"/>
        <v>331034.60645162244</v>
      </c>
      <c r="F29" s="337"/>
      <c r="G29" s="86">
        <v>118478863</v>
      </c>
      <c r="H29" s="95">
        <v>6.1700000000000001E-3</v>
      </c>
      <c r="I29" s="80">
        <f t="shared" si="5"/>
        <v>731014.58470999997</v>
      </c>
      <c r="J29" s="335"/>
      <c r="K29" s="80">
        <f t="shared" si="3"/>
        <v>399979.97825837752</v>
      </c>
    </row>
    <row r="30" spans="2:12" ht="14.25" customHeight="1" x14ac:dyDescent="0.2">
      <c r="B30" s="94">
        <v>45627</v>
      </c>
      <c r="C30" s="86">
        <v>125663840.92771745</v>
      </c>
      <c r="D30" s="95">
        <v>2.8700000000000002E-3</v>
      </c>
      <c r="E30" s="80">
        <f t="shared" si="4"/>
        <v>360655.2234625491</v>
      </c>
      <c r="F30" s="337"/>
      <c r="G30" s="86">
        <v>138809678</v>
      </c>
      <c r="H30" s="95">
        <v>6.1700000000000001E-3</v>
      </c>
      <c r="I30" s="80">
        <f t="shared" si="5"/>
        <v>856455.71325999999</v>
      </c>
      <c r="J30" s="335"/>
      <c r="K30" s="80">
        <f t="shared" si="3"/>
        <v>495800.48979745089</v>
      </c>
    </row>
    <row r="31" spans="2:12" ht="14.25" customHeight="1" x14ac:dyDescent="0.2">
      <c r="B31" s="100" t="s">
        <v>0</v>
      </c>
      <c r="C31" s="97">
        <f>SUM(C19:C30)</f>
        <v>1412245258.7309163</v>
      </c>
      <c r="D31" s="98"/>
      <c r="E31" s="99">
        <f>SUM(E19:E30)</f>
        <v>4912674.4632541388</v>
      </c>
      <c r="F31" s="337"/>
      <c r="G31" s="97">
        <f>SUM(G19:G30)</f>
        <v>1522950163</v>
      </c>
      <c r="H31" s="98"/>
      <c r="I31" s="99">
        <f>SUM(I19:I30)</f>
        <v>10568268.31794</v>
      </c>
      <c r="J31" s="335"/>
      <c r="K31" s="99">
        <f>SUM(K19:K30)</f>
        <v>5655593.8546858607</v>
      </c>
      <c r="L31" s="114"/>
    </row>
    <row r="32" spans="2:12" ht="14.25" customHeight="1" x14ac:dyDescent="0.2">
      <c r="B32" s="94">
        <v>45658</v>
      </c>
      <c r="C32" s="86">
        <v>144234332.86001351</v>
      </c>
      <c r="D32" s="95">
        <v>2.8700000000000002E-3</v>
      </c>
      <c r="E32" s="80">
        <f>C32*D32</f>
        <v>413952.53530823882</v>
      </c>
      <c r="F32" s="337"/>
      <c r="G32" s="86">
        <v>163456132</v>
      </c>
      <c r="H32" s="95">
        <v>6.1700000000000001E-3</v>
      </c>
      <c r="I32" s="80">
        <f>G32*H32</f>
        <v>1008524.33444</v>
      </c>
      <c r="J32" s="335"/>
      <c r="K32" s="80">
        <f t="shared" ref="K32:K43" si="6">I32-E32</f>
        <v>594571.79913176119</v>
      </c>
    </row>
    <row r="33" spans="2:12" ht="14.25" customHeight="1" x14ac:dyDescent="0.2">
      <c r="B33" s="94">
        <v>45689</v>
      </c>
      <c r="C33" s="86">
        <v>144808945.65470213</v>
      </c>
      <c r="D33" s="95">
        <v>2.8700000000000002E-3</v>
      </c>
      <c r="E33" s="80">
        <f t="shared" ref="E33:E43" si="7">C33*D33</f>
        <v>415601.67402899516</v>
      </c>
      <c r="F33" s="337"/>
      <c r="G33" s="86">
        <v>184510680</v>
      </c>
      <c r="H33" s="95">
        <v>6.1700000000000001E-3</v>
      </c>
      <c r="I33" s="80">
        <f t="shared" ref="I33:I42" si="8">G33*H33</f>
        <v>1138430.8955999999</v>
      </c>
      <c r="J33" s="335"/>
      <c r="K33" s="80">
        <f t="shared" si="6"/>
        <v>722829.22157100472</v>
      </c>
    </row>
    <row r="34" spans="2:12" ht="14.25" customHeight="1" x14ac:dyDescent="0.2">
      <c r="B34" s="94" t="s">
        <v>134</v>
      </c>
      <c r="C34" s="86">
        <v>130175659.48872799</v>
      </c>
      <c r="D34" s="95">
        <v>1.4499999999999999E-3</v>
      </c>
      <c r="E34" s="80">
        <f t="shared" si="7"/>
        <v>188754.70625865555</v>
      </c>
      <c r="F34" s="337"/>
      <c r="G34" s="86">
        <v>145458954</v>
      </c>
      <c r="H34" s="95">
        <v>5.4311540010111717E-3</v>
      </c>
      <c r="I34" s="80">
        <f t="shared" si="8"/>
        <v>790009.98</v>
      </c>
      <c r="J34" s="335"/>
      <c r="K34" s="80">
        <f t="shared" si="6"/>
        <v>601255.27374134446</v>
      </c>
    </row>
    <row r="35" spans="2:12" ht="14.25" customHeight="1" x14ac:dyDescent="0.2">
      <c r="B35" s="94">
        <v>45748</v>
      </c>
      <c r="C35" s="86">
        <v>120615451.49421346</v>
      </c>
      <c r="D35" s="95">
        <v>1.4499999999999999E-3</v>
      </c>
      <c r="E35" s="80">
        <f t="shared" si="7"/>
        <v>174892.40466660951</v>
      </c>
      <c r="F35" s="337"/>
      <c r="G35" s="86">
        <v>134369956</v>
      </c>
      <c r="H35" s="95">
        <v>4.7499999999999999E-3</v>
      </c>
      <c r="I35" s="80">
        <f t="shared" si="8"/>
        <v>638257.29099999997</v>
      </c>
      <c r="J35" s="335"/>
      <c r="K35" s="80">
        <f t="shared" si="6"/>
        <v>463364.88633339049</v>
      </c>
    </row>
    <row r="36" spans="2:12" ht="14.25" customHeight="1" x14ac:dyDescent="0.2">
      <c r="B36" s="94">
        <v>45778</v>
      </c>
      <c r="C36" s="86">
        <v>113389932.12815754</v>
      </c>
      <c r="D36" s="95">
        <v>1.4499999999999999E-3</v>
      </c>
      <c r="E36" s="80">
        <f t="shared" si="7"/>
        <v>164415.40158582843</v>
      </c>
      <c r="F36" s="337"/>
      <c r="G36" s="86">
        <v>122880714</v>
      </c>
      <c r="H36" s="95">
        <v>4.7499999999999999E-3</v>
      </c>
      <c r="I36" s="80">
        <f t="shared" si="8"/>
        <v>583683.39150000003</v>
      </c>
      <c r="J36" s="335"/>
      <c r="K36" s="80">
        <f t="shared" si="6"/>
        <v>419267.98991417163</v>
      </c>
    </row>
    <row r="37" spans="2:12" ht="14.25" customHeight="1" x14ac:dyDescent="0.2">
      <c r="B37" s="94">
        <v>45809</v>
      </c>
      <c r="C37" s="86">
        <v>105397044.48724304</v>
      </c>
      <c r="D37" s="95">
        <v>1.4499999999999999E-3</v>
      </c>
      <c r="E37" s="80">
        <f t="shared" si="7"/>
        <v>152825.71450650241</v>
      </c>
      <c r="F37" s="337"/>
      <c r="G37" s="86">
        <v>110377339</v>
      </c>
      <c r="H37" s="95">
        <v>4.7499999999999999E-3</v>
      </c>
      <c r="I37" s="80">
        <f t="shared" si="8"/>
        <v>524292.36025000003</v>
      </c>
      <c r="J37" s="335"/>
      <c r="K37" s="80">
        <f t="shared" si="6"/>
        <v>371466.64574349765</v>
      </c>
    </row>
    <row r="38" spans="2:12" ht="14.25" customHeight="1" x14ac:dyDescent="0.2">
      <c r="B38" s="94">
        <v>45839</v>
      </c>
      <c r="C38" s="86">
        <v>103847128.60257968</v>
      </c>
      <c r="D38" s="95">
        <v>1.4499999999999999E-3</v>
      </c>
      <c r="E38" s="80">
        <f t="shared" si="7"/>
        <v>150578.33647374052</v>
      </c>
      <c r="F38" s="337"/>
      <c r="G38" s="86">
        <v>109945752</v>
      </c>
      <c r="H38" s="95">
        <v>4.7499999999999999E-3</v>
      </c>
      <c r="I38" s="80">
        <f t="shared" si="8"/>
        <v>522242.32199999999</v>
      </c>
      <c r="J38" s="335"/>
      <c r="K38" s="80">
        <f t="shared" si="6"/>
        <v>371663.98552625946</v>
      </c>
    </row>
    <row r="39" spans="2:12" ht="14.25" customHeight="1" x14ac:dyDescent="0.2">
      <c r="B39" s="94">
        <v>45870</v>
      </c>
      <c r="C39" s="86">
        <v>114208390.49386537</v>
      </c>
      <c r="D39" s="95">
        <v>1.4499999999999999E-3</v>
      </c>
      <c r="E39" s="80">
        <f t="shared" si="7"/>
        <v>165602.16621610479</v>
      </c>
      <c r="F39" s="337"/>
      <c r="G39" s="86">
        <v>121193159</v>
      </c>
      <c r="H39" s="95">
        <v>4.7499999999999999E-3</v>
      </c>
      <c r="I39" s="80">
        <f t="shared" si="8"/>
        <v>575667.50524999993</v>
      </c>
      <c r="J39" s="335"/>
      <c r="K39" s="80">
        <f t="shared" si="6"/>
        <v>410065.33903389517</v>
      </c>
    </row>
    <row r="40" spans="2:12" ht="14.25" customHeight="1" x14ac:dyDescent="0.2">
      <c r="B40" s="94">
        <v>45901</v>
      </c>
      <c r="C40" s="86">
        <v>107014695.0786479</v>
      </c>
      <c r="D40" s="95">
        <v>1.4499999999999999E-3</v>
      </c>
      <c r="E40" s="80">
        <f t="shared" si="7"/>
        <v>155171.30786403944</v>
      </c>
      <c r="F40" s="337"/>
      <c r="G40" s="86">
        <v>112299750</v>
      </c>
      <c r="H40" s="95">
        <v>4.7499999999999999E-3</v>
      </c>
      <c r="I40" s="80">
        <f t="shared" si="8"/>
        <v>533423.8125</v>
      </c>
      <c r="J40" s="335"/>
      <c r="K40" s="80">
        <f t="shared" si="6"/>
        <v>378252.50463596056</v>
      </c>
    </row>
    <row r="41" spans="2:12" ht="14.25" customHeight="1" x14ac:dyDescent="0.2">
      <c r="B41" s="94">
        <v>45931</v>
      </c>
      <c r="C41" s="86">
        <v>103412312.39940697</v>
      </c>
      <c r="D41" s="95">
        <v>1.4499999999999999E-3</v>
      </c>
      <c r="E41" s="80">
        <f t="shared" si="7"/>
        <v>149947.85297914009</v>
      </c>
      <c r="F41" s="337"/>
      <c r="G41" s="86">
        <v>106753078.76482573</v>
      </c>
      <c r="H41" s="95">
        <v>4.7499999999999999E-3</v>
      </c>
      <c r="I41" s="80">
        <f t="shared" si="8"/>
        <v>507077.12413292221</v>
      </c>
      <c r="J41" s="335"/>
      <c r="K41" s="80">
        <f t="shared" si="6"/>
        <v>357129.27115378215</v>
      </c>
    </row>
    <row r="42" spans="2:12" ht="14.25" customHeight="1" x14ac:dyDescent="0.2">
      <c r="B42" s="94">
        <v>45962</v>
      </c>
      <c r="C42" s="86">
        <v>116873094.51088868</v>
      </c>
      <c r="D42" s="95">
        <v>1.4499999999999999E-3</v>
      </c>
      <c r="E42" s="80">
        <f t="shared" si="7"/>
        <v>169465.98704078858</v>
      </c>
      <c r="F42" s="337"/>
      <c r="G42" s="86">
        <v>120945028.800846</v>
      </c>
      <c r="H42" s="95">
        <v>4.7499999999999999E-3</v>
      </c>
      <c r="I42" s="80">
        <f t="shared" si="8"/>
        <v>574488.88680401852</v>
      </c>
      <c r="J42" s="335"/>
      <c r="K42" s="80">
        <f t="shared" si="6"/>
        <v>405022.89976322994</v>
      </c>
    </row>
    <row r="43" spans="2:12" ht="14.25" customHeight="1" x14ac:dyDescent="0.2">
      <c r="B43" s="94">
        <v>45992</v>
      </c>
      <c r="C43" s="86">
        <v>127109996.20271645</v>
      </c>
      <c r="D43" s="95">
        <v>1.4499999999999999E-3</v>
      </c>
      <c r="E43" s="80">
        <f t="shared" si="7"/>
        <v>184309.49449393884</v>
      </c>
      <c r="F43" s="337"/>
      <c r="G43" s="86">
        <v>148522092.69479001</v>
      </c>
      <c r="H43" s="95">
        <v>4.7499999999999999E-3</v>
      </c>
      <c r="I43" s="80">
        <f>G43*H43</f>
        <v>705479.94030025252</v>
      </c>
      <c r="J43" s="335"/>
      <c r="K43" s="80">
        <f t="shared" si="6"/>
        <v>521170.44580631366</v>
      </c>
    </row>
    <row r="44" spans="2:12" x14ac:dyDescent="0.2">
      <c r="B44" s="100" t="s">
        <v>0</v>
      </c>
      <c r="C44" s="101">
        <f>SUM(C32:C43)</f>
        <v>1431086983.4011624</v>
      </c>
      <c r="D44" s="102"/>
      <c r="E44" s="99">
        <f>SUM(E32:E43)</f>
        <v>2485517.5814225823</v>
      </c>
      <c r="F44" s="338"/>
      <c r="G44" s="101">
        <f>SUM(G32:G43)</f>
        <v>1580712636.2604618</v>
      </c>
      <c r="H44" s="102"/>
      <c r="I44" s="99">
        <f>SUM(I32:I43)</f>
        <v>8101577.8437771909</v>
      </c>
      <c r="J44" s="336"/>
      <c r="K44" s="99">
        <f>SUM(K32:K43)</f>
        <v>5616060.2623546114</v>
      </c>
      <c r="L44" s="114"/>
    </row>
    <row r="46" spans="2:12" ht="26.25" customHeight="1" x14ac:dyDescent="0.2">
      <c r="B46" s="342" t="s">
        <v>135</v>
      </c>
      <c r="C46" s="342"/>
      <c r="D46" s="342"/>
      <c r="E46" s="342"/>
      <c r="F46" s="342"/>
      <c r="G46" s="342"/>
      <c r="H46" s="342"/>
      <c r="I46" s="342"/>
      <c r="J46" s="342"/>
      <c r="K46" s="342"/>
    </row>
    <row r="47" spans="2:12" x14ac:dyDescent="0.2">
      <c r="I47" s="103"/>
    </row>
    <row r="48" spans="2:12" x14ac:dyDescent="0.2">
      <c r="I48" s="104"/>
    </row>
    <row r="49" spans="9:10" x14ac:dyDescent="0.2">
      <c r="I49" s="105"/>
    </row>
    <row r="50" spans="9:10" x14ac:dyDescent="0.2">
      <c r="I50" s="104"/>
      <c r="J50" s="104"/>
    </row>
  </sheetData>
  <mergeCells count="4">
    <mergeCell ref="J4:J44"/>
    <mergeCell ref="F4:F44"/>
    <mergeCell ref="B2:K3"/>
    <mergeCell ref="B46:K46"/>
  </mergeCells>
  <printOptions horizontalCentered="1"/>
  <pageMargins left="0.7" right="0.7" top="0.75" bottom="0.5" header="0.55000000000000004" footer="0.3"/>
  <pageSetup scale="75" orientation="portrait" r:id="rId1"/>
  <headerFooter>
    <oddHeader>&amp;R&amp;11Appendix B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"/>
  <dimension ref="B2:O63"/>
  <sheetViews>
    <sheetView zoomScaleNormal="100" workbookViewId="0">
      <selection activeCell="J17" sqref="J17"/>
    </sheetView>
  </sheetViews>
  <sheetFormatPr defaultColWidth="9.140625" defaultRowHeight="12.75" x14ac:dyDescent="0.2"/>
  <cols>
    <col min="1" max="1" width="2.42578125" style="59" customWidth="1"/>
    <col min="2" max="2" width="58.7109375" style="59" bestFit="1" customWidth="1"/>
    <col min="3" max="3" width="19.85546875" style="59" bestFit="1" customWidth="1"/>
    <col min="4" max="4" width="14" style="59" bestFit="1" customWidth="1"/>
    <col min="5" max="5" width="18" style="59" bestFit="1" customWidth="1"/>
    <col min="6" max="6" width="15" style="59" bestFit="1" customWidth="1"/>
    <col min="7" max="7" width="16" style="59" bestFit="1" customWidth="1"/>
    <col min="8" max="8" width="15.5703125" style="59" bestFit="1" customWidth="1"/>
    <col min="9" max="9" width="19.85546875" style="59" bestFit="1" customWidth="1"/>
    <col min="10" max="10" width="13.5703125" style="59" bestFit="1" customWidth="1"/>
    <col min="11" max="16384" width="9.140625" style="59"/>
  </cols>
  <sheetData>
    <row r="2" spans="2:7" ht="49.5" customHeight="1" x14ac:dyDescent="0.2">
      <c r="B2" s="355" t="s">
        <v>198</v>
      </c>
      <c r="C2" s="356"/>
      <c r="D2" s="356"/>
      <c r="E2" s="356"/>
      <c r="F2" s="357"/>
    </row>
    <row r="3" spans="2:7" x14ac:dyDescent="0.2">
      <c r="B3" s="135"/>
      <c r="C3" s="136"/>
      <c r="D3" s="129">
        <v>2023</v>
      </c>
      <c r="E3" s="132">
        <v>2024</v>
      </c>
      <c r="F3" s="132">
        <v>2025</v>
      </c>
    </row>
    <row r="4" spans="2:7" ht="22.5" customHeight="1" x14ac:dyDescent="0.2">
      <c r="B4" s="74" t="s">
        <v>96</v>
      </c>
      <c r="C4" s="137" t="s">
        <v>25</v>
      </c>
      <c r="D4" s="96">
        <f>'App A'!O20</f>
        <v>153351328</v>
      </c>
      <c r="E4" s="96">
        <f>'App A'!O56</f>
        <v>172463791</v>
      </c>
      <c r="F4" s="96">
        <f>'App A'!O92</f>
        <v>181969150.46776143</v>
      </c>
    </row>
    <row r="5" spans="2:7" x14ac:dyDescent="0.2">
      <c r="B5" s="74" t="s">
        <v>97</v>
      </c>
      <c r="C5" s="137" t="s">
        <v>26</v>
      </c>
      <c r="D5" s="77">
        <f>'App A'!O22</f>
        <v>1586443607</v>
      </c>
      <c r="E5" s="77">
        <f>'App A'!O58</f>
        <v>1634952719</v>
      </c>
      <c r="F5" s="96">
        <f>'App A'!O94</f>
        <v>1696369386.1312556</v>
      </c>
      <c r="G5" s="138"/>
    </row>
    <row r="6" spans="2:7" x14ac:dyDescent="0.2">
      <c r="B6" s="74" t="s">
        <v>23</v>
      </c>
      <c r="C6" s="137" t="s">
        <v>27</v>
      </c>
      <c r="D6" s="139">
        <f>'App A'!O23</f>
        <v>9.1216632213501667E-2</v>
      </c>
      <c r="E6" s="139">
        <f>'App A'!O59</f>
        <v>9.359954912243551E-2</v>
      </c>
      <c r="F6" s="139">
        <f>'App A'!O95</f>
        <v>9.5755939502770393E-2</v>
      </c>
      <c r="G6" s="138"/>
    </row>
    <row r="7" spans="2:7" x14ac:dyDescent="0.2">
      <c r="B7" s="74" t="s">
        <v>24</v>
      </c>
      <c r="C7" s="137" t="s">
        <v>202</v>
      </c>
      <c r="D7" s="140">
        <f>D5*D6</f>
        <v>144710043.02717999</v>
      </c>
      <c r="E7" s="140">
        <f>E5*E6</f>
        <v>153030837.33489999</v>
      </c>
      <c r="F7" s="140">
        <f>F5*F6</f>
        <v>162437444.31273627</v>
      </c>
      <c r="G7" s="138"/>
    </row>
    <row r="8" spans="2:7" x14ac:dyDescent="0.2">
      <c r="B8" s="126" t="s">
        <v>29</v>
      </c>
      <c r="C8" s="129" t="s">
        <v>28</v>
      </c>
      <c r="D8" s="141">
        <f>D4-D7</f>
        <v>8641284.9728200138</v>
      </c>
      <c r="E8" s="141">
        <f>E4-E7</f>
        <v>19432953.665100008</v>
      </c>
      <c r="F8" s="141">
        <f>F4-F7</f>
        <v>19531706.155025154</v>
      </c>
      <c r="G8" s="138"/>
    </row>
    <row r="9" spans="2:7" x14ac:dyDescent="0.2">
      <c r="B9" s="74" t="s">
        <v>245</v>
      </c>
      <c r="C9" s="137" t="s">
        <v>32</v>
      </c>
      <c r="D9" s="62">
        <v>4496080</v>
      </c>
      <c r="E9" s="62">
        <v>2923640</v>
      </c>
      <c r="F9" s="62">
        <v>518338</v>
      </c>
      <c r="G9" s="138"/>
    </row>
    <row r="10" spans="2:7" x14ac:dyDescent="0.2">
      <c r="B10" s="126" t="s">
        <v>115</v>
      </c>
      <c r="C10" s="129" t="s">
        <v>33</v>
      </c>
      <c r="D10" s="142">
        <f>+D8-D9</f>
        <v>4145204.9728200138</v>
      </c>
      <c r="E10" s="142">
        <f>+E8-E9</f>
        <v>16509313.665100008</v>
      </c>
      <c r="F10" s="142">
        <f>+F8-F9</f>
        <v>19013368.155025154</v>
      </c>
      <c r="G10" s="138"/>
    </row>
    <row r="13" spans="2:7" ht="54" customHeight="1" x14ac:dyDescent="0.2">
      <c r="B13" s="348" t="s">
        <v>199</v>
      </c>
      <c r="C13" s="353"/>
      <c r="D13" s="353"/>
      <c r="E13" s="353"/>
      <c r="F13" s="354"/>
    </row>
    <row r="14" spans="2:7" x14ac:dyDescent="0.2">
      <c r="B14" s="130"/>
      <c r="C14" s="131"/>
      <c r="D14" s="129">
        <v>2023</v>
      </c>
      <c r="E14" s="129">
        <v>2024</v>
      </c>
      <c r="F14" s="129">
        <v>2025</v>
      </c>
    </row>
    <row r="15" spans="2:7" x14ac:dyDescent="0.2">
      <c r="B15" s="74" t="s">
        <v>93</v>
      </c>
      <c r="C15" s="137" t="s">
        <v>25</v>
      </c>
      <c r="D15" s="80">
        <f>+'App A'!O34</f>
        <v>-8610352.7851300016</v>
      </c>
      <c r="E15" s="80">
        <f>+'App A'!O70</f>
        <v>-10568268.31794</v>
      </c>
      <c r="F15" s="80">
        <f>+'App A'!O106</f>
        <v>-8101577.8437771909</v>
      </c>
    </row>
    <row r="16" spans="2:7" x14ac:dyDescent="0.2">
      <c r="B16" s="74" t="s">
        <v>188</v>
      </c>
      <c r="C16" s="137" t="s">
        <v>26</v>
      </c>
      <c r="D16" s="80">
        <v>-7218463</v>
      </c>
      <c r="E16" s="80">
        <v>-4912674</v>
      </c>
      <c r="F16" s="80">
        <v>-2485518</v>
      </c>
    </row>
    <row r="17" spans="2:9" x14ac:dyDescent="0.2">
      <c r="B17" s="126" t="s">
        <v>129</v>
      </c>
      <c r="C17" s="129" t="s">
        <v>189</v>
      </c>
      <c r="D17" s="142">
        <f>D15-D16</f>
        <v>-1391889.7851300016</v>
      </c>
      <c r="E17" s="142">
        <f>E15-E16</f>
        <v>-5655594.3179400004</v>
      </c>
      <c r="F17" s="142">
        <f>F15-F16</f>
        <v>-5616059.8437771909</v>
      </c>
      <c r="H17" s="84"/>
    </row>
    <row r="18" spans="2:9" x14ac:dyDescent="0.2">
      <c r="H18" s="84"/>
    </row>
    <row r="20" spans="2:9" ht="56.25" customHeight="1" x14ac:dyDescent="0.2">
      <c r="B20" s="348" t="s">
        <v>200</v>
      </c>
      <c r="C20" s="349"/>
      <c r="D20" s="349"/>
      <c r="E20" s="349"/>
      <c r="F20" s="349"/>
      <c r="G20" s="349"/>
      <c r="H20" s="350"/>
    </row>
    <row r="21" spans="2:9" x14ac:dyDescent="0.2">
      <c r="B21" s="346"/>
      <c r="C21" s="347"/>
      <c r="D21" s="129">
        <v>2022</v>
      </c>
      <c r="E21" s="143"/>
      <c r="F21" s="129">
        <v>2023</v>
      </c>
      <c r="G21" s="129">
        <v>2024</v>
      </c>
      <c r="H21" s="129">
        <v>2025</v>
      </c>
    </row>
    <row r="22" spans="2:9" ht="31.5" customHeight="1" x14ac:dyDescent="0.2">
      <c r="B22" s="74" t="s">
        <v>190</v>
      </c>
      <c r="C22" s="137" t="s">
        <v>25</v>
      </c>
      <c r="D22" s="80">
        <v>11655299</v>
      </c>
      <c r="E22" s="144" t="s">
        <v>203</v>
      </c>
      <c r="F22" s="77">
        <f>D22+D8+D15</f>
        <v>11686231.187690012</v>
      </c>
      <c r="G22" s="77">
        <f>F22+E8+E15</f>
        <v>20550916.53485002</v>
      </c>
      <c r="H22" s="77">
        <f>G22+F8+F15-1</f>
        <v>31981043.84609798</v>
      </c>
      <c r="I22" s="103"/>
    </row>
    <row r="23" spans="2:9" ht="30.75" customHeight="1" x14ac:dyDescent="0.2">
      <c r="B23" s="74" t="s">
        <v>191</v>
      </c>
      <c r="C23" s="137" t="s">
        <v>26</v>
      </c>
      <c r="D23" s="80">
        <v>6791067.7687070575</v>
      </c>
      <c r="E23" s="144" t="s">
        <v>204</v>
      </c>
      <c r="F23" s="77">
        <f>D23+D9+D16</f>
        <v>4068684.7687070575</v>
      </c>
      <c r="G23" s="77">
        <f>F23+E9+E16</f>
        <v>2079650.7687070575</v>
      </c>
      <c r="H23" s="77">
        <f>G23+F9+F16</f>
        <v>112470.76870705746</v>
      </c>
      <c r="I23" s="103"/>
    </row>
    <row r="24" spans="2:9" x14ac:dyDescent="0.2">
      <c r="B24" s="126" t="s">
        <v>192</v>
      </c>
      <c r="C24" s="129" t="s">
        <v>166</v>
      </c>
      <c r="D24" s="142">
        <f>D22-D23</f>
        <v>4864231.2312929425</v>
      </c>
      <c r="E24" s="129" t="s">
        <v>205</v>
      </c>
      <c r="F24" s="142">
        <f>F22-F23</f>
        <v>7617546.4189829547</v>
      </c>
      <c r="G24" s="142">
        <f>G22-G23</f>
        <v>18471265.766142964</v>
      </c>
      <c r="H24" s="142">
        <f>H22-H23</f>
        <v>31868573.077390924</v>
      </c>
    </row>
    <row r="25" spans="2:9" x14ac:dyDescent="0.2">
      <c r="B25" s="81"/>
      <c r="C25" s="145"/>
      <c r="D25" s="146"/>
      <c r="E25" s="145"/>
      <c r="F25" s="146"/>
      <c r="G25" s="146"/>
      <c r="H25" s="146"/>
    </row>
    <row r="27" spans="2:9" ht="54" customHeight="1" x14ac:dyDescent="0.2">
      <c r="B27" s="348" t="s">
        <v>201</v>
      </c>
      <c r="C27" s="353"/>
      <c r="D27" s="353"/>
      <c r="E27" s="353"/>
      <c r="F27" s="354"/>
    </row>
    <row r="28" spans="2:9" x14ac:dyDescent="0.2">
      <c r="B28" s="351"/>
      <c r="C28" s="352"/>
      <c r="D28" s="343" t="s">
        <v>197</v>
      </c>
      <c r="E28" s="344"/>
      <c r="F28" s="345"/>
    </row>
    <row r="29" spans="2:9" x14ac:dyDescent="0.2">
      <c r="B29" s="343"/>
      <c r="C29" s="345"/>
      <c r="D29" s="129">
        <v>2023</v>
      </c>
      <c r="E29" s="132">
        <v>2024</v>
      </c>
      <c r="F29" s="132">
        <v>2025</v>
      </c>
    </row>
    <row r="30" spans="2:9" x14ac:dyDescent="0.2">
      <c r="B30" s="147" t="s">
        <v>194</v>
      </c>
      <c r="C30" s="148" t="s">
        <v>105</v>
      </c>
      <c r="D30" s="149">
        <v>4771262</v>
      </c>
      <c r="E30" s="149">
        <v>12942031</v>
      </c>
      <c r="F30" s="149">
        <v>11918621</v>
      </c>
      <c r="G30" s="84"/>
      <c r="H30" s="150"/>
    </row>
    <row r="31" spans="2:9" x14ac:dyDescent="0.2">
      <c r="B31" s="147" t="s">
        <v>195</v>
      </c>
      <c r="C31" s="148" t="s">
        <v>159</v>
      </c>
      <c r="D31" s="149">
        <v>1739</v>
      </c>
      <c r="E31" s="149">
        <v>1034701</v>
      </c>
      <c r="F31" s="149">
        <v>3005015</v>
      </c>
      <c r="G31" s="84"/>
      <c r="H31" s="150"/>
    </row>
    <row r="32" spans="2:9" s="151" customFormat="1" x14ac:dyDescent="0.2">
      <c r="B32" s="147" t="s">
        <v>177</v>
      </c>
      <c r="C32" s="148" t="s">
        <v>193</v>
      </c>
      <c r="D32" s="149">
        <v>-556885</v>
      </c>
      <c r="E32" s="149">
        <v>1687736</v>
      </c>
      <c r="F32" s="149">
        <v>5291778</v>
      </c>
      <c r="G32" s="84"/>
      <c r="H32" s="150"/>
    </row>
    <row r="33" spans="2:15" x14ac:dyDescent="0.2">
      <c r="B33" s="147" t="s">
        <v>106</v>
      </c>
      <c r="C33" s="148" t="s">
        <v>160</v>
      </c>
      <c r="D33" s="149">
        <v>966622</v>
      </c>
      <c r="E33" s="149">
        <v>1521485</v>
      </c>
      <c r="F33" s="149">
        <v>2679103</v>
      </c>
      <c r="G33" s="84"/>
      <c r="H33" s="150"/>
    </row>
    <row r="34" spans="2:15" x14ac:dyDescent="0.2">
      <c r="B34" s="147" t="s">
        <v>196</v>
      </c>
      <c r="C34" s="148" t="s">
        <v>168</v>
      </c>
      <c r="D34" s="149">
        <v>610201</v>
      </c>
      <c r="E34" s="149">
        <v>1860924</v>
      </c>
      <c r="F34" s="149">
        <v>-313834</v>
      </c>
      <c r="G34" s="84"/>
      <c r="H34" s="150"/>
    </row>
    <row r="35" spans="2:15" x14ac:dyDescent="0.2">
      <c r="B35" s="147" t="s">
        <v>107</v>
      </c>
      <c r="C35" s="148" t="s">
        <v>169</v>
      </c>
      <c r="D35" s="149">
        <v>0</v>
      </c>
      <c r="E35" s="149">
        <v>450000</v>
      </c>
      <c r="F35" s="149">
        <v>679965</v>
      </c>
      <c r="G35" s="84"/>
      <c r="H35" s="150"/>
    </row>
    <row r="36" spans="2:15" x14ac:dyDescent="0.2">
      <c r="B36" s="147" t="s">
        <v>180</v>
      </c>
      <c r="C36" s="148" t="s">
        <v>170</v>
      </c>
      <c r="D36" s="149">
        <v>460552</v>
      </c>
      <c r="E36" s="149">
        <v>0</v>
      </c>
      <c r="F36" s="149">
        <v>0</v>
      </c>
      <c r="G36" s="84"/>
      <c r="H36" s="150"/>
    </row>
    <row r="37" spans="2:15" s="61" customFormat="1" x14ac:dyDescent="0.2">
      <c r="B37" s="147" t="s">
        <v>110</v>
      </c>
      <c r="C37" s="148" t="s">
        <v>171</v>
      </c>
      <c r="D37" s="149">
        <v>-334863</v>
      </c>
      <c r="E37" s="149">
        <v>-3161</v>
      </c>
      <c r="F37" s="149">
        <v>-768266</v>
      </c>
      <c r="G37" s="84"/>
      <c r="H37" s="150"/>
    </row>
    <row r="38" spans="2:15" x14ac:dyDescent="0.2">
      <c r="B38" s="147" t="s">
        <v>179</v>
      </c>
      <c r="C38" s="148" t="s">
        <v>172</v>
      </c>
      <c r="D38" s="149">
        <v>-189222</v>
      </c>
      <c r="E38" s="149">
        <v>-64394</v>
      </c>
      <c r="F38" s="149">
        <v>-1168370</v>
      </c>
      <c r="G38" s="84"/>
      <c r="H38" s="150"/>
    </row>
    <row r="39" spans="2:15" x14ac:dyDescent="0.2">
      <c r="B39" s="147" t="s">
        <v>113</v>
      </c>
      <c r="C39" s="148" t="s">
        <v>173</v>
      </c>
      <c r="D39" s="149">
        <v>-604451</v>
      </c>
      <c r="E39" s="149">
        <v>-487419</v>
      </c>
      <c r="F39" s="149">
        <v>-395130</v>
      </c>
      <c r="G39" s="84"/>
      <c r="H39" s="150"/>
    </row>
    <row r="40" spans="2:15" x14ac:dyDescent="0.2">
      <c r="B40" s="147" t="s">
        <v>167</v>
      </c>
      <c r="C40" s="148" t="s">
        <v>174</v>
      </c>
      <c r="D40" s="149">
        <v>388802</v>
      </c>
      <c r="E40" s="149">
        <v>-336935</v>
      </c>
      <c r="F40" s="149">
        <v>1331602</v>
      </c>
      <c r="G40" s="84"/>
      <c r="H40" s="150"/>
    </row>
    <row r="41" spans="2:15" x14ac:dyDescent="0.2">
      <c r="B41" s="147" t="s">
        <v>182</v>
      </c>
      <c r="C41" s="148" t="s">
        <v>183</v>
      </c>
      <c r="D41" s="149">
        <v>-1368552</v>
      </c>
      <c r="E41" s="149">
        <v>-2095654</v>
      </c>
      <c r="F41" s="149">
        <v>-3247116</v>
      </c>
      <c r="G41" s="84"/>
      <c r="H41" s="150"/>
    </row>
    <row r="42" spans="2:15" x14ac:dyDescent="0.2">
      <c r="B42" s="152" t="s">
        <v>35</v>
      </c>
      <c r="C42" s="133"/>
      <c r="D42" s="153">
        <f>SUM(D30:D41)</f>
        <v>4145205</v>
      </c>
      <c r="E42" s="153">
        <f>SUM(E30:E41)</f>
        <v>16509314</v>
      </c>
      <c r="F42" s="153">
        <f>SUM(F30:F41)</f>
        <v>19013368</v>
      </c>
      <c r="G42" s="84"/>
    </row>
    <row r="44" spans="2:15" x14ac:dyDescent="0.2"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</row>
    <row r="45" spans="2:15" x14ac:dyDescent="0.2">
      <c r="D45" s="154"/>
      <c r="F45" s="84"/>
    </row>
    <row r="46" spans="2:15" x14ac:dyDescent="0.2">
      <c r="C46" s="123"/>
      <c r="D46" s="154"/>
    </row>
    <row r="47" spans="2:15" x14ac:dyDescent="0.2">
      <c r="C47" s="124"/>
      <c r="D47" s="154"/>
    </row>
    <row r="48" spans="2:15" x14ac:dyDescent="0.2">
      <c r="C48" s="124"/>
      <c r="D48" s="154"/>
    </row>
    <row r="49" spans="3:6" x14ac:dyDescent="0.2">
      <c r="C49" s="124"/>
      <c r="D49" s="154"/>
    </row>
    <row r="50" spans="3:6" x14ac:dyDescent="0.2">
      <c r="C50" s="124"/>
      <c r="D50" s="154"/>
    </row>
    <row r="51" spans="3:6" x14ac:dyDescent="0.2">
      <c r="C51" s="124"/>
      <c r="D51" s="154"/>
    </row>
    <row r="52" spans="3:6" x14ac:dyDescent="0.2">
      <c r="C52" s="124"/>
      <c r="D52" s="154"/>
    </row>
    <row r="53" spans="3:6" x14ac:dyDescent="0.2">
      <c r="C53" s="124"/>
      <c r="D53" s="154"/>
    </row>
    <row r="54" spans="3:6" x14ac:dyDescent="0.2">
      <c r="C54" s="124"/>
      <c r="D54" s="154"/>
    </row>
    <row r="55" spans="3:6" x14ac:dyDescent="0.2">
      <c r="C55" s="124"/>
      <c r="D55" s="154"/>
    </row>
    <row r="56" spans="3:6" x14ac:dyDescent="0.2">
      <c r="C56" s="124"/>
      <c r="D56" s="154"/>
    </row>
    <row r="57" spans="3:6" x14ac:dyDescent="0.2">
      <c r="C57" s="124"/>
      <c r="D57" s="155"/>
      <c r="E57" s="155"/>
      <c r="F57" s="155"/>
    </row>
    <row r="58" spans="3:6" x14ac:dyDescent="0.2">
      <c r="C58" s="125"/>
      <c r="D58" s="155"/>
      <c r="E58" s="155"/>
      <c r="F58" s="155"/>
    </row>
    <row r="59" spans="3:6" x14ac:dyDescent="0.2">
      <c r="C59" s="115"/>
    </row>
    <row r="61" spans="3:6" x14ac:dyDescent="0.2">
      <c r="D61" s="156"/>
      <c r="E61" s="156"/>
      <c r="F61" s="156"/>
    </row>
    <row r="62" spans="3:6" x14ac:dyDescent="0.2">
      <c r="D62" s="157"/>
      <c r="E62" s="157"/>
      <c r="F62" s="157"/>
    </row>
    <row r="63" spans="3:6" x14ac:dyDescent="0.2">
      <c r="D63" s="157"/>
      <c r="E63" s="157"/>
      <c r="F63" s="157"/>
    </row>
  </sheetData>
  <mergeCells count="7">
    <mergeCell ref="B2:F2"/>
    <mergeCell ref="B13:F13"/>
    <mergeCell ref="D28:F28"/>
    <mergeCell ref="B21:C21"/>
    <mergeCell ref="B20:H20"/>
    <mergeCell ref="B28:C29"/>
    <mergeCell ref="B27:F27"/>
  </mergeCells>
  <phoneticPr fontId="16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36525-187B-42AE-934B-318EA711D827}">
  <sheetPr codeName="Sheet2"/>
  <dimension ref="B2:G28"/>
  <sheetViews>
    <sheetView workbookViewId="0">
      <selection activeCell="J17" sqref="J17"/>
    </sheetView>
  </sheetViews>
  <sheetFormatPr defaultRowHeight="12.75" x14ac:dyDescent="0.2"/>
  <cols>
    <col min="1" max="1" width="3.28515625" customWidth="1"/>
    <col min="2" max="2" width="9.140625" style="134" customWidth="1"/>
    <col min="3" max="3" width="27.140625" customWidth="1"/>
    <col min="4" max="4" width="13.42578125" bestFit="1" customWidth="1"/>
    <col min="5" max="6" width="12.28515625" bestFit="1" customWidth="1"/>
  </cols>
  <sheetData>
    <row r="2" spans="2:7" ht="25.5" customHeight="1" x14ac:dyDescent="0.2">
      <c r="B2" s="362" t="s">
        <v>206</v>
      </c>
      <c r="C2" s="363"/>
      <c r="D2" s="363"/>
      <c r="E2" s="363"/>
      <c r="F2" s="363"/>
    </row>
    <row r="3" spans="2:7" ht="25.5" x14ac:dyDescent="0.2">
      <c r="B3" s="128" t="s">
        <v>103</v>
      </c>
      <c r="C3" s="128"/>
      <c r="D3" s="128" t="s">
        <v>45</v>
      </c>
      <c r="E3" s="128" t="s">
        <v>44</v>
      </c>
      <c r="F3" s="128" t="s">
        <v>104</v>
      </c>
    </row>
    <row r="4" spans="2:7" x14ac:dyDescent="0.2">
      <c r="B4" s="5">
        <v>2023</v>
      </c>
      <c r="C4" s="74" t="s">
        <v>102</v>
      </c>
      <c r="D4" s="76">
        <v>0</v>
      </c>
      <c r="E4" s="76">
        <v>4771262</v>
      </c>
      <c r="F4" s="78">
        <f>E4-D4</f>
        <v>4771262</v>
      </c>
      <c r="G4" s="70"/>
    </row>
    <row r="5" spans="2:7" x14ac:dyDescent="0.2">
      <c r="B5" s="5"/>
      <c r="C5" s="74" t="s">
        <v>207</v>
      </c>
      <c r="D5" s="77">
        <v>0</v>
      </c>
      <c r="E5" s="77">
        <v>64.599141262643684</v>
      </c>
      <c r="F5" s="77">
        <f>E5-D5</f>
        <v>64.599141262643684</v>
      </c>
    </row>
    <row r="6" spans="2:7" x14ac:dyDescent="0.2">
      <c r="B6" s="346"/>
      <c r="C6" s="361"/>
      <c r="D6" s="361"/>
      <c r="E6" s="361"/>
      <c r="F6" s="347"/>
    </row>
    <row r="7" spans="2:7" x14ac:dyDescent="0.2">
      <c r="B7" s="5">
        <v>2024</v>
      </c>
      <c r="C7" s="71" t="s">
        <v>102</v>
      </c>
      <c r="D7" s="76">
        <v>2587380</v>
      </c>
      <c r="E7" s="76">
        <v>15529411</v>
      </c>
      <c r="F7" s="78">
        <f>E7-D7</f>
        <v>12942031</v>
      </c>
      <c r="G7" s="70"/>
    </row>
    <row r="8" spans="2:7" x14ac:dyDescent="0.2">
      <c r="B8" s="5"/>
      <c r="C8" s="74" t="s">
        <v>207</v>
      </c>
      <c r="D8" s="77">
        <v>50</v>
      </c>
      <c r="E8" s="77">
        <v>254.59051705747126</v>
      </c>
      <c r="F8" s="77">
        <f>E8-D8</f>
        <v>204.59051705747126</v>
      </c>
    </row>
    <row r="9" spans="2:7" x14ac:dyDescent="0.2">
      <c r="B9" s="346"/>
      <c r="C9" s="361"/>
      <c r="D9" s="361"/>
      <c r="E9" s="361"/>
      <c r="F9" s="347"/>
    </row>
    <row r="10" spans="2:7" x14ac:dyDescent="0.2">
      <c r="B10" s="5">
        <v>2025</v>
      </c>
      <c r="C10" s="71" t="s">
        <v>102</v>
      </c>
      <c r="D10" s="76">
        <v>0</v>
      </c>
      <c r="E10" s="76">
        <v>11918621</v>
      </c>
      <c r="F10" s="78">
        <f>E10-D10</f>
        <v>11918621</v>
      </c>
      <c r="G10" s="70"/>
    </row>
    <row r="11" spans="2:7" x14ac:dyDescent="0.2">
      <c r="B11" s="163"/>
      <c r="C11" s="74" t="s">
        <v>207</v>
      </c>
      <c r="D11" s="77">
        <v>0</v>
      </c>
      <c r="E11" s="77">
        <v>157.81178160919541</v>
      </c>
      <c r="F11" s="77">
        <f>E11-D11</f>
        <v>157.81178160919541</v>
      </c>
    </row>
    <row r="12" spans="2:7" x14ac:dyDescent="0.2">
      <c r="B12" s="358"/>
      <c r="C12" s="359"/>
      <c r="D12" s="359"/>
      <c r="E12" s="359"/>
      <c r="F12" s="360"/>
    </row>
    <row r="13" spans="2:7" x14ac:dyDescent="0.2">
      <c r="C13" s="134"/>
      <c r="D13" s="134"/>
      <c r="E13" s="134"/>
      <c r="F13" s="134"/>
    </row>
    <row r="15" spans="2:7" ht="29.25" customHeight="1" x14ac:dyDescent="0.2">
      <c r="B15" s="362" t="s">
        <v>208</v>
      </c>
      <c r="C15" s="363"/>
      <c r="D15" s="363"/>
      <c r="E15" s="363"/>
      <c r="F15" s="363"/>
    </row>
    <row r="16" spans="2:7" ht="38.25" x14ac:dyDescent="0.2">
      <c r="B16" s="128" t="s">
        <v>103</v>
      </c>
      <c r="C16" s="128"/>
      <c r="D16" s="128" t="s">
        <v>45</v>
      </c>
      <c r="E16" s="128" t="s">
        <v>44</v>
      </c>
      <c r="F16" s="128" t="s">
        <v>111</v>
      </c>
    </row>
    <row r="17" spans="2:7" x14ac:dyDescent="0.2">
      <c r="B17" s="5">
        <v>2023</v>
      </c>
      <c r="C17" s="74" t="s">
        <v>99</v>
      </c>
      <c r="D17" s="76">
        <v>24164507</v>
      </c>
      <c r="E17" s="76">
        <v>24469289</v>
      </c>
      <c r="F17" s="76">
        <f>E17-D17</f>
        <v>304782</v>
      </c>
    </row>
    <row r="18" spans="2:7" x14ac:dyDescent="0.2">
      <c r="B18" s="5"/>
      <c r="C18" s="74" t="s">
        <v>98</v>
      </c>
      <c r="D18" s="77">
        <v>1316396</v>
      </c>
      <c r="E18" s="77">
        <v>1013353</v>
      </c>
      <c r="F18" s="76">
        <f>E18-D18</f>
        <v>-303043</v>
      </c>
    </row>
    <row r="19" spans="2:7" x14ac:dyDescent="0.2">
      <c r="B19" s="5"/>
      <c r="C19" s="75" t="s">
        <v>35</v>
      </c>
      <c r="D19" s="64">
        <f>SUM(D17:D18)</f>
        <v>25480903</v>
      </c>
      <c r="E19" s="64">
        <f>SUM(E17:E18)</f>
        <v>25482642</v>
      </c>
      <c r="F19" s="65">
        <f>SUM(F17:F18)</f>
        <v>1739</v>
      </c>
      <c r="G19" s="70"/>
    </row>
    <row r="20" spans="2:7" x14ac:dyDescent="0.2">
      <c r="B20" s="346"/>
      <c r="C20" s="361"/>
      <c r="D20" s="361"/>
      <c r="E20" s="361"/>
      <c r="F20" s="347"/>
    </row>
    <row r="21" spans="2:7" x14ac:dyDescent="0.2">
      <c r="B21" s="5">
        <v>2024</v>
      </c>
      <c r="C21" s="74" t="s">
        <v>99</v>
      </c>
      <c r="D21" s="76">
        <v>23527909</v>
      </c>
      <c r="E21" s="76">
        <v>25321462</v>
      </c>
      <c r="F21" s="76">
        <f>E21-D21</f>
        <v>1793553</v>
      </c>
    </row>
    <row r="22" spans="2:7" x14ac:dyDescent="0.2">
      <c r="B22" s="5"/>
      <c r="C22" s="74" t="s">
        <v>98</v>
      </c>
      <c r="D22" s="77">
        <v>1132727</v>
      </c>
      <c r="E22" s="77">
        <v>373875</v>
      </c>
      <c r="F22" s="76">
        <f>E22-D22</f>
        <v>-758852</v>
      </c>
    </row>
    <row r="23" spans="2:7" x14ac:dyDescent="0.2">
      <c r="B23" s="5"/>
      <c r="C23" s="75" t="s">
        <v>35</v>
      </c>
      <c r="D23" s="64">
        <f>SUM(D21:D22)</f>
        <v>24660636</v>
      </c>
      <c r="E23" s="64">
        <f t="shared" ref="E23:F23" si="0">SUM(E21:E22)</f>
        <v>25695337</v>
      </c>
      <c r="F23" s="65">
        <f t="shared" si="0"/>
        <v>1034701</v>
      </c>
      <c r="G23" s="70"/>
    </row>
    <row r="24" spans="2:7" x14ac:dyDescent="0.2">
      <c r="B24" s="346"/>
      <c r="C24" s="361"/>
      <c r="D24" s="361"/>
      <c r="E24" s="361"/>
      <c r="F24" s="347"/>
    </row>
    <row r="25" spans="2:7" x14ac:dyDescent="0.2">
      <c r="B25" s="5">
        <v>2025</v>
      </c>
      <c r="C25" s="74" t="s">
        <v>99</v>
      </c>
      <c r="D25" s="76">
        <v>24295872</v>
      </c>
      <c r="E25" s="76">
        <v>27659790</v>
      </c>
      <c r="F25" s="76">
        <f>E25-D25</f>
        <v>3363918</v>
      </c>
    </row>
    <row r="26" spans="2:7" x14ac:dyDescent="0.2">
      <c r="B26" s="163"/>
      <c r="C26" s="74" t="s">
        <v>98</v>
      </c>
      <c r="D26" s="77">
        <v>1351250</v>
      </c>
      <c r="E26" s="77">
        <v>992347</v>
      </c>
      <c r="F26" s="76">
        <f>E26-D26</f>
        <v>-358903</v>
      </c>
    </row>
    <row r="27" spans="2:7" x14ac:dyDescent="0.2">
      <c r="B27" s="163"/>
      <c r="C27" s="75" t="s">
        <v>35</v>
      </c>
      <c r="D27" s="64">
        <f>SUM(D25:D26)</f>
        <v>25647122</v>
      </c>
      <c r="E27" s="64">
        <f t="shared" ref="E27" si="1">SUM(E25:E26)</f>
        <v>28652137</v>
      </c>
      <c r="F27" s="65">
        <f>SUM(F25:F26)</f>
        <v>3005015</v>
      </c>
      <c r="G27" s="70"/>
    </row>
    <row r="28" spans="2:7" x14ac:dyDescent="0.2">
      <c r="B28" s="358"/>
      <c r="C28" s="359"/>
      <c r="D28" s="359"/>
      <c r="E28" s="359"/>
      <c r="F28" s="360"/>
    </row>
  </sheetData>
  <mergeCells count="8">
    <mergeCell ref="B2:F2"/>
    <mergeCell ref="B15:F15"/>
    <mergeCell ref="B28:F28"/>
    <mergeCell ref="B6:F6"/>
    <mergeCell ref="B9:F9"/>
    <mergeCell ref="B12:F12"/>
    <mergeCell ref="B24:F24"/>
    <mergeCell ref="B20:F20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DD65C-D625-4240-BFB7-689B357078DB}">
  <sheetPr codeName="Sheet3"/>
  <dimension ref="A2:G18"/>
  <sheetViews>
    <sheetView workbookViewId="0">
      <selection activeCell="J17" sqref="J17"/>
    </sheetView>
  </sheetViews>
  <sheetFormatPr defaultRowHeight="12.75" x14ac:dyDescent="0.2"/>
  <cols>
    <col min="1" max="1" width="2.5703125" customWidth="1"/>
    <col min="2" max="2" width="9.140625" style="134"/>
    <col min="3" max="3" width="30.28515625" bestFit="1" customWidth="1"/>
    <col min="4" max="5" width="12.28515625" bestFit="1" customWidth="1"/>
    <col min="6" max="6" width="12.85546875" bestFit="1" customWidth="1"/>
    <col min="7" max="7" width="11.85546875" style="61" bestFit="1" customWidth="1"/>
  </cols>
  <sheetData>
    <row r="2" spans="2:7" ht="29.25" customHeight="1" x14ac:dyDescent="0.2">
      <c r="B2" s="362" t="s">
        <v>209</v>
      </c>
      <c r="C2" s="363"/>
      <c r="D2" s="363"/>
      <c r="E2" s="363"/>
      <c r="F2" s="363"/>
    </row>
    <row r="3" spans="2:7" ht="38.25" x14ac:dyDescent="0.2">
      <c r="B3" s="128" t="s">
        <v>103</v>
      </c>
      <c r="C3" s="128"/>
      <c r="D3" s="128" t="s">
        <v>45</v>
      </c>
      <c r="E3" s="128" t="s">
        <v>44</v>
      </c>
      <c r="F3" s="128" t="s">
        <v>111</v>
      </c>
    </row>
    <row r="4" spans="2:7" x14ac:dyDescent="0.2">
      <c r="B4" s="5">
        <v>2023</v>
      </c>
      <c r="C4" s="74" t="s">
        <v>175</v>
      </c>
      <c r="D4" s="72">
        <v>24760131</v>
      </c>
      <c r="E4" s="72">
        <v>17005155</v>
      </c>
      <c r="F4" s="69">
        <f>E4-D4</f>
        <v>-7754976</v>
      </c>
      <c r="G4" s="70"/>
    </row>
    <row r="5" spans="2:7" x14ac:dyDescent="0.2">
      <c r="B5" s="5"/>
      <c r="C5" s="74" t="s">
        <v>176</v>
      </c>
      <c r="D5" s="72">
        <v>0</v>
      </c>
      <c r="E5" s="72">
        <v>7198091</v>
      </c>
      <c r="F5" s="69">
        <f>E5-D5</f>
        <v>7198091</v>
      </c>
      <c r="G5" s="70"/>
    </row>
    <row r="6" spans="2:7" x14ac:dyDescent="0.2">
      <c r="B6" s="5"/>
      <c r="C6" s="75" t="s">
        <v>35</v>
      </c>
      <c r="D6" s="76">
        <f>SUM(D4:D5)</f>
        <v>24760131</v>
      </c>
      <c r="E6" s="76">
        <f>SUM(E4:E5)</f>
        <v>24203246</v>
      </c>
      <c r="F6" s="78">
        <f>SUM(F4:F5)</f>
        <v>-556885</v>
      </c>
      <c r="G6" s="70"/>
    </row>
    <row r="7" spans="2:7" x14ac:dyDescent="0.2">
      <c r="B7" s="346"/>
      <c r="C7" s="361"/>
      <c r="D7" s="361"/>
      <c r="E7" s="361"/>
      <c r="F7" s="347"/>
    </row>
    <row r="8" spans="2:7" x14ac:dyDescent="0.2">
      <c r="B8" s="5">
        <v>2024</v>
      </c>
      <c r="C8" s="74" t="s">
        <v>175</v>
      </c>
      <c r="D8" s="72">
        <v>34881989</v>
      </c>
      <c r="E8" s="72">
        <v>21904285</v>
      </c>
      <c r="F8" s="69">
        <f>E8-D8</f>
        <v>-12977704</v>
      </c>
      <c r="G8" s="70"/>
    </row>
    <row r="9" spans="2:7" x14ac:dyDescent="0.2">
      <c r="B9" s="5"/>
      <c r="C9" s="74" t="s">
        <v>176</v>
      </c>
      <c r="D9" s="72">
        <v>0</v>
      </c>
      <c r="E9" s="72">
        <v>14665440</v>
      </c>
      <c r="F9" s="69">
        <f>E9-D9</f>
        <v>14665440</v>
      </c>
      <c r="G9" s="70"/>
    </row>
    <row r="10" spans="2:7" x14ac:dyDescent="0.2">
      <c r="B10" s="5"/>
      <c r="C10" s="75" t="s">
        <v>35</v>
      </c>
      <c r="D10" s="76">
        <f>SUM(D8:D9)</f>
        <v>34881989</v>
      </c>
      <c r="E10" s="76">
        <f t="shared" ref="E10" si="0">SUM(E8:E9)</f>
        <v>36569725</v>
      </c>
      <c r="F10" s="78">
        <f>SUM(F8:F9)</f>
        <v>1687736</v>
      </c>
      <c r="G10" s="70"/>
    </row>
    <row r="11" spans="2:7" x14ac:dyDescent="0.2">
      <c r="B11" s="346"/>
      <c r="C11" s="361"/>
      <c r="D11" s="361"/>
      <c r="E11" s="361"/>
      <c r="F11" s="347"/>
    </row>
    <row r="12" spans="2:7" x14ac:dyDescent="0.2">
      <c r="B12" s="5">
        <v>2025</v>
      </c>
      <c r="C12" s="74" t="s">
        <v>175</v>
      </c>
      <c r="D12" s="72">
        <v>47866428</v>
      </c>
      <c r="E12" s="72">
        <v>22707765</v>
      </c>
      <c r="F12" s="69">
        <f>E12-D12</f>
        <v>-25158663</v>
      </c>
      <c r="G12" s="70"/>
    </row>
    <row r="13" spans="2:7" x14ac:dyDescent="0.2">
      <c r="B13" s="5"/>
      <c r="C13" s="74" t="s">
        <v>176</v>
      </c>
      <c r="D13" s="72">
        <v>0</v>
      </c>
      <c r="E13" s="72">
        <v>30450441</v>
      </c>
      <c r="F13" s="69">
        <f>E13-D13</f>
        <v>30450441</v>
      </c>
      <c r="G13" s="70"/>
    </row>
    <row r="14" spans="2:7" x14ac:dyDescent="0.2">
      <c r="B14" s="5"/>
      <c r="C14" s="75" t="s">
        <v>35</v>
      </c>
      <c r="D14" s="76">
        <f>SUM(D12:D13)</f>
        <v>47866428</v>
      </c>
      <c r="E14" s="76">
        <f>SUM(E12:E13)</f>
        <v>53158206</v>
      </c>
      <c r="F14" s="78">
        <f>SUM(F12:F13)</f>
        <v>5291778</v>
      </c>
      <c r="G14" s="70"/>
    </row>
    <row r="15" spans="2:7" x14ac:dyDescent="0.2">
      <c r="B15" s="358"/>
      <c r="C15" s="359"/>
      <c r="D15" s="359"/>
      <c r="E15" s="359"/>
      <c r="F15" s="360"/>
    </row>
    <row r="18" spans="1:1" x14ac:dyDescent="0.2">
      <c r="A18" s="59"/>
    </row>
  </sheetData>
  <mergeCells count="4">
    <mergeCell ref="B2:F2"/>
    <mergeCell ref="B11:F11"/>
    <mergeCell ref="B7:F7"/>
    <mergeCell ref="B15:F1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875D8-5A38-474D-BF32-1CAA13A37556}">
  <sheetPr codeName="Sheet4"/>
  <dimension ref="A2:G16"/>
  <sheetViews>
    <sheetView workbookViewId="0">
      <selection activeCell="J17" sqref="J17"/>
    </sheetView>
  </sheetViews>
  <sheetFormatPr defaultRowHeight="12.75" x14ac:dyDescent="0.2"/>
  <cols>
    <col min="1" max="1" width="3.140625" customWidth="1"/>
    <col min="2" max="2" width="9.140625" style="134" customWidth="1"/>
    <col min="3" max="3" width="30.42578125" customWidth="1"/>
    <col min="4" max="5" width="12.28515625" bestFit="1" customWidth="1"/>
    <col min="6" max="6" width="11.85546875" bestFit="1" customWidth="1"/>
    <col min="7" max="7" width="10.85546875" style="61" bestFit="1" customWidth="1"/>
  </cols>
  <sheetData>
    <row r="2" spans="1:7" ht="27" customHeight="1" x14ac:dyDescent="0.2">
      <c r="B2" s="362" t="s">
        <v>210</v>
      </c>
      <c r="C2" s="363"/>
      <c r="D2" s="363"/>
      <c r="E2" s="363"/>
      <c r="F2" s="363"/>
    </row>
    <row r="3" spans="1:7" ht="38.25" x14ac:dyDescent="0.2">
      <c r="B3" s="128" t="s">
        <v>103</v>
      </c>
      <c r="C3" s="128"/>
      <c r="D3" s="128" t="s">
        <v>45</v>
      </c>
      <c r="E3" s="128" t="s">
        <v>44</v>
      </c>
      <c r="F3" s="128" t="s">
        <v>111</v>
      </c>
    </row>
    <row r="4" spans="1:7" x14ac:dyDescent="0.2">
      <c r="B4" s="5">
        <v>2023</v>
      </c>
      <c r="C4" s="74" t="s">
        <v>106</v>
      </c>
      <c r="D4" s="178">
        <v>1874441</v>
      </c>
      <c r="E4" s="178">
        <v>3440970</v>
      </c>
      <c r="F4" s="69">
        <f>E4-D4</f>
        <v>1566529</v>
      </c>
    </row>
    <row r="5" spans="1:7" ht="38.25" x14ac:dyDescent="0.2">
      <c r="B5" s="5"/>
      <c r="C5" s="85" t="s">
        <v>186</v>
      </c>
      <c r="D5" s="178"/>
      <c r="E5" s="178">
        <v>-599907</v>
      </c>
      <c r="F5" s="69">
        <f>E5-D5</f>
        <v>-599907</v>
      </c>
    </row>
    <row r="6" spans="1:7" x14ac:dyDescent="0.2">
      <c r="B6" s="5"/>
      <c r="C6" s="75" t="s">
        <v>35</v>
      </c>
      <c r="D6" s="180">
        <f>SUM(D4:D5)</f>
        <v>1874441</v>
      </c>
      <c r="E6" s="180">
        <f t="shared" ref="E6" si="0">SUM(E4:E5)</f>
        <v>2841063</v>
      </c>
      <c r="F6" s="186">
        <f>SUM(F4:F5)</f>
        <v>966622</v>
      </c>
      <c r="G6" s="70"/>
    </row>
    <row r="7" spans="1:7" x14ac:dyDescent="0.2">
      <c r="B7" s="346"/>
      <c r="C7" s="361"/>
      <c r="D7" s="361"/>
      <c r="E7" s="361"/>
      <c r="F7" s="347"/>
    </row>
    <row r="8" spans="1:7" x14ac:dyDescent="0.2">
      <c r="B8" s="60">
        <v>2024</v>
      </c>
      <c r="C8" s="160" t="s">
        <v>106</v>
      </c>
      <c r="D8" s="187">
        <v>2304647</v>
      </c>
      <c r="E8" s="187">
        <v>5026732</v>
      </c>
      <c r="F8" s="162">
        <f>E8-D8</f>
        <v>2722085</v>
      </c>
    </row>
    <row r="9" spans="1:7" ht="38.25" x14ac:dyDescent="0.2">
      <c r="B9" s="5"/>
      <c r="C9" s="85" t="s">
        <v>186</v>
      </c>
      <c r="D9" s="178"/>
      <c r="E9" s="178">
        <v>-1200600</v>
      </c>
      <c r="F9" s="69">
        <f>E9-D9</f>
        <v>-1200600</v>
      </c>
    </row>
    <row r="10" spans="1:7" x14ac:dyDescent="0.2">
      <c r="B10" s="5"/>
      <c r="C10" s="75" t="s">
        <v>35</v>
      </c>
      <c r="D10" s="180">
        <f t="shared" ref="D10:E10" si="1">SUM(D8:D9)</f>
        <v>2304647</v>
      </c>
      <c r="E10" s="180">
        <f t="shared" si="1"/>
        <v>3826132</v>
      </c>
      <c r="F10" s="186">
        <f>SUM(F8:F9)</f>
        <v>1521485</v>
      </c>
      <c r="G10" s="70"/>
    </row>
    <row r="11" spans="1:7" x14ac:dyDescent="0.2">
      <c r="B11" s="346"/>
      <c r="C11" s="361"/>
      <c r="D11" s="361"/>
      <c r="E11" s="361"/>
      <c r="F11" s="347"/>
    </row>
    <row r="12" spans="1:7" x14ac:dyDescent="0.2">
      <c r="B12" s="60">
        <v>2025</v>
      </c>
      <c r="C12" s="160" t="s">
        <v>106</v>
      </c>
      <c r="D12" s="187">
        <v>2770365</v>
      </c>
      <c r="E12" s="187">
        <v>7293056</v>
      </c>
      <c r="F12" s="162">
        <f>E12-D12</f>
        <v>4522691</v>
      </c>
    </row>
    <row r="13" spans="1:7" ht="38.25" x14ac:dyDescent="0.2">
      <c r="B13" s="5"/>
      <c r="C13" s="85" t="s">
        <v>186</v>
      </c>
      <c r="D13" s="178"/>
      <c r="E13" s="178">
        <v>-1843588</v>
      </c>
      <c r="F13" s="69">
        <f>E13-D13</f>
        <v>-1843588</v>
      </c>
    </row>
    <row r="14" spans="1:7" x14ac:dyDescent="0.2">
      <c r="B14" s="5"/>
      <c r="C14" s="75" t="s">
        <v>35</v>
      </c>
      <c r="D14" s="180">
        <f t="shared" ref="D14:E14" si="2">SUM(D12:D13)</f>
        <v>2770365</v>
      </c>
      <c r="E14" s="180">
        <f t="shared" si="2"/>
        <v>5449468</v>
      </c>
      <c r="F14" s="186">
        <f>SUM(F12:F13)</f>
        <v>2679103</v>
      </c>
      <c r="G14" s="70"/>
    </row>
    <row r="15" spans="1:7" x14ac:dyDescent="0.2">
      <c r="B15" s="358"/>
      <c r="C15" s="359"/>
      <c r="D15" s="359"/>
      <c r="E15" s="359"/>
      <c r="F15" s="360"/>
      <c r="G15"/>
    </row>
    <row r="16" spans="1:7" x14ac:dyDescent="0.2">
      <c r="A16" s="59"/>
    </row>
  </sheetData>
  <mergeCells count="4">
    <mergeCell ref="B2:F2"/>
    <mergeCell ref="B15:F15"/>
    <mergeCell ref="B11:F11"/>
    <mergeCell ref="B7:F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97A29-0C92-4483-B8A0-CC809CAEAEF2}">
  <sheetPr codeName="Sheet5"/>
  <dimension ref="A2:G37"/>
  <sheetViews>
    <sheetView workbookViewId="0">
      <selection activeCell="J17" sqref="J17"/>
    </sheetView>
  </sheetViews>
  <sheetFormatPr defaultRowHeight="12.75" x14ac:dyDescent="0.2"/>
  <cols>
    <col min="1" max="1" width="3.42578125" customWidth="1"/>
    <col min="2" max="2" width="9.140625" style="134" customWidth="1"/>
    <col min="3" max="3" width="45.85546875" customWidth="1"/>
    <col min="4" max="5" width="12.28515625" bestFit="1" customWidth="1"/>
    <col min="6" max="6" width="11.28515625" bestFit="1" customWidth="1"/>
    <col min="7" max="7" width="10.85546875" style="61" bestFit="1" customWidth="1"/>
  </cols>
  <sheetData>
    <row r="2" spans="2:7" ht="28.5" customHeight="1" x14ac:dyDescent="0.2">
      <c r="B2" s="362" t="s">
        <v>211</v>
      </c>
      <c r="C2" s="363"/>
      <c r="D2" s="363"/>
      <c r="E2" s="363"/>
      <c r="F2" s="363"/>
    </row>
    <row r="3" spans="2:7" ht="38.25" x14ac:dyDescent="0.2">
      <c r="B3" s="128" t="s">
        <v>103</v>
      </c>
      <c r="C3" s="128"/>
      <c r="D3" s="128" t="s">
        <v>45</v>
      </c>
      <c r="E3" s="128" t="s">
        <v>44</v>
      </c>
      <c r="F3" s="128" t="s">
        <v>111</v>
      </c>
    </row>
    <row r="4" spans="2:7" x14ac:dyDescent="0.2">
      <c r="B4" s="5">
        <v>2023</v>
      </c>
      <c r="C4" s="74" t="s">
        <v>187</v>
      </c>
      <c r="D4" s="120">
        <v>1583518</v>
      </c>
      <c r="E4" s="120">
        <v>2193719</v>
      </c>
      <c r="F4" s="68">
        <f>E4-D4</f>
        <v>610201</v>
      </c>
      <c r="G4" s="70"/>
    </row>
    <row r="5" spans="2:7" x14ac:dyDescent="0.2">
      <c r="B5" s="346"/>
      <c r="C5" s="361"/>
      <c r="D5" s="361"/>
      <c r="E5" s="361"/>
      <c r="F5" s="347"/>
    </row>
    <row r="6" spans="2:7" x14ac:dyDescent="0.2">
      <c r="B6" s="60">
        <v>2024</v>
      </c>
      <c r="C6" s="160" t="s">
        <v>187</v>
      </c>
      <c r="D6" s="167">
        <v>333385</v>
      </c>
      <c r="E6" s="167">
        <v>2194309</v>
      </c>
      <c r="F6" s="168">
        <f>E6-D6</f>
        <v>1860924</v>
      </c>
      <c r="G6" s="70"/>
    </row>
    <row r="7" spans="2:7" x14ac:dyDescent="0.2">
      <c r="B7" s="346"/>
      <c r="C7" s="361"/>
      <c r="D7" s="361"/>
      <c r="E7" s="361"/>
      <c r="F7" s="347"/>
    </row>
    <row r="8" spans="2:7" x14ac:dyDescent="0.2">
      <c r="B8" s="60">
        <v>2025</v>
      </c>
      <c r="C8" s="160" t="s">
        <v>187</v>
      </c>
      <c r="D8" s="167">
        <v>788956</v>
      </c>
      <c r="E8" s="167">
        <v>475122</v>
      </c>
      <c r="F8" s="168">
        <f>E8-D8</f>
        <v>-313834</v>
      </c>
      <c r="G8" s="70"/>
    </row>
    <row r="9" spans="2:7" x14ac:dyDescent="0.2">
      <c r="B9" s="346"/>
      <c r="C9" s="361"/>
      <c r="D9" s="361"/>
      <c r="E9" s="361"/>
      <c r="F9" s="347"/>
      <c r="G9" s="70"/>
    </row>
    <row r="10" spans="2:7" x14ac:dyDescent="0.2">
      <c r="B10" s="145"/>
      <c r="C10" s="59"/>
      <c r="D10" s="165"/>
      <c r="E10" s="165"/>
      <c r="F10" s="166"/>
      <c r="G10" s="70"/>
    </row>
    <row r="12" spans="2:7" ht="29.25" customHeight="1" x14ac:dyDescent="0.2">
      <c r="B12" s="362" t="s">
        <v>212</v>
      </c>
      <c r="C12" s="363"/>
      <c r="D12" s="363"/>
      <c r="E12" s="363"/>
      <c r="F12" s="363"/>
    </row>
    <row r="13" spans="2:7" ht="25.5" customHeight="1" x14ac:dyDescent="0.2">
      <c r="B13" s="128" t="s">
        <v>103</v>
      </c>
      <c r="C13" s="128"/>
      <c r="D13" s="128" t="s">
        <v>45</v>
      </c>
      <c r="E13" s="128" t="s">
        <v>44</v>
      </c>
      <c r="F13" s="128" t="s">
        <v>104</v>
      </c>
    </row>
    <row r="14" spans="2:7" x14ac:dyDescent="0.2">
      <c r="B14" s="5">
        <v>2023</v>
      </c>
      <c r="C14" s="74" t="s">
        <v>107</v>
      </c>
      <c r="D14" s="120">
        <v>11687880</v>
      </c>
      <c r="E14" s="120">
        <v>11687880</v>
      </c>
      <c r="F14" s="68">
        <f>E14-D14</f>
        <v>0</v>
      </c>
      <c r="G14" s="70"/>
    </row>
    <row r="15" spans="2:7" x14ac:dyDescent="0.2">
      <c r="B15" s="346"/>
      <c r="C15" s="361"/>
      <c r="D15" s="361"/>
      <c r="E15" s="361"/>
      <c r="F15" s="347"/>
    </row>
    <row r="16" spans="2:7" x14ac:dyDescent="0.2">
      <c r="B16" s="60">
        <v>2024</v>
      </c>
      <c r="C16" s="160" t="s">
        <v>107</v>
      </c>
      <c r="D16" s="161">
        <v>13050000</v>
      </c>
      <c r="E16" s="161">
        <v>13500000</v>
      </c>
      <c r="F16" s="168">
        <f>E16-D16</f>
        <v>450000</v>
      </c>
      <c r="G16" s="70"/>
    </row>
    <row r="17" spans="1:7" x14ac:dyDescent="0.2">
      <c r="B17" s="346"/>
      <c r="C17" s="361"/>
      <c r="D17" s="361"/>
      <c r="E17" s="361"/>
      <c r="F17" s="347"/>
    </row>
    <row r="18" spans="1:7" x14ac:dyDescent="0.2">
      <c r="A18">
        <v>1</v>
      </c>
      <c r="B18" s="60">
        <v>2025</v>
      </c>
      <c r="C18" s="160" t="s">
        <v>107</v>
      </c>
      <c r="D18" s="161">
        <v>13350000</v>
      </c>
      <c r="E18" s="161">
        <v>14029965</v>
      </c>
      <c r="F18" s="168">
        <f>E18-D18</f>
        <v>679965</v>
      </c>
      <c r="G18" s="70"/>
    </row>
    <row r="19" spans="1:7" x14ac:dyDescent="0.2">
      <c r="B19" s="346"/>
      <c r="C19" s="361"/>
      <c r="D19" s="361"/>
      <c r="E19" s="361"/>
      <c r="F19" s="347"/>
      <c r="G19" s="70"/>
    </row>
    <row r="20" spans="1:7" x14ac:dyDescent="0.2">
      <c r="B20" s="145"/>
      <c r="C20" s="59"/>
      <c r="D20" s="82"/>
      <c r="E20" s="82"/>
      <c r="F20" s="166"/>
      <c r="G20" s="70"/>
    </row>
    <row r="22" spans="1:7" ht="27" customHeight="1" x14ac:dyDescent="0.2">
      <c r="B22" s="362" t="s">
        <v>213</v>
      </c>
      <c r="C22" s="363"/>
      <c r="D22" s="363"/>
      <c r="E22" s="363"/>
      <c r="F22" s="363"/>
    </row>
    <row r="23" spans="1:7" ht="25.5" x14ac:dyDescent="0.2">
      <c r="B23" s="128" t="s">
        <v>103</v>
      </c>
      <c r="C23" s="128"/>
      <c r="D23" s="128" t="s">
        <v>45</v>
      </c>
      <c r="E23" s="128" t="s">
        <v>44</v>
      </c>
      <c r="F23" s="128" t="s">
        <v>104</v>
      </c>
    </row>
    <row r="24" spans="1:7" x14ac:dyDescent="0.2">
      <c r="B24" s="5">
        <v>2023</v>
      </c>
      <c r="C24" s="74" t="s">
        <v>108</v>
      </c>
      <c r="D24" s="72">
        <v>0</v>
      </c>
      <c r="E24" s="72">
        <v>254446</v>
      </c>
      <c r="F24" s="69">
        <f>E24-D24</f>
        <v>254446</v>
      </c>
    </row>
    <row r="25" spans="1:7" x14ac:dyDescent="0.2">
      <c r="B25" s="5"/>
      <c r="C25" s="74" t="s">
        <v>109</v>
      </c>
      <c r="D25" s="72">
        <v>0</v>
      </c>
      <c r="E25" s="72">
        <v>206106</v>
      </c>
      <c r="F25" s="69">
        <f t="shared" ref="F25" si="0">E25-D25</f>
        <v>206106</v>
      </c>
      <c r="G25" s="70"/>
    </row>
    <row r="26" spans="1:7" x14ac:dyDescent="0.2">
      <c r="B26" s="364" t="s">
        <v>35</v>
      </c>
      <c r="C26" s="365"/>
      <c r="D26" s="159">
        <f>SUM(D24:D25)</f>
        <v>0</v>
      </c>
      <c r="E26" s="158">
        <f>SUM(E24:E25)</f>
        <v>460552</v>
      </c>
      <c r="F26" s="169">
        <f>E26-D26</f>
        <v>460552</v>
      </c>
      <c r="G26" s="70"/>
    </row>
    <row r="27" spans="1:7" hidden="1" x14ac:dyDescent="0.2">
      <c r="B27" s="5"/>
      <c r="C27" s="74"/>
      <c r="D27" s="73"/>
      <c r="E27" s="73"/>
      <c r="F27" s="76"/>
    </row>
    <row r="28" spans="1:7" hidden="1" x14ac:dyDescent="0.2">
      <c r="B28" s="5">
        <v>2024</v>
      </c>
      <c r="C28" s="74" t="s">
        <v>108</v>
      </c>
      <c r="D28" s="72">
        <v>0</v>
      </c>
      <c r="E28" s="72">
        <v>0</v>
      </c>
      <c r="F28" s="69">
        <f>E28-D28</f>
        <v>0</v>
      </c>
      <c r="G28" s="70"/>
    </row>
    <row r="29" spans="1:7" hidden="1" x14ac:dyDescent="0.2">
      <c r="B29" s="5"/>
      <c r="C29" s="74" t="s">
        <v>109</v>
      </c>
      <c r="D29" s="72">
        <v>0</v>
      </c>
      <c r="E29" s="72">
        <v>0</v>
      </c>
      <c r="F29" s="69">
        <f t="shared" ref="F29:F30" si="1">E29-D29</f>
        <v>0</v>
      </c>
      <c r="G29" s="70"/>
    </row>
    <row r="30" spans="1:7" hidden="1" x14ac:dyDescent="0.2">
      <c r="B30" s="5"/>
      <c r="C30" s="75" t="s">
        <v>35</v>
      </c>
      <c r="D30" s="78">
        <f>SUM(D28:D29)</f>
        <v>0</v>
      </c>
      <c r="E30" s="78">
        <f t="shared" ref="E30" si="2">SUM(E28:E29)</f>
        <v>0</v>
      </c>
      <c r="F30" s="68">
        <f t="shared" si="1"/>
        <v>0</v>
      </c>
      <c r="G30" s="79">
        <f>F30-'5.1'!E36</f>
        <v>0</v>
      </c>
    </row>
    <row r="31" spans="1:7" hidden="1" x14ac:dyDescent="0.2">
      <c r="B31" s="5"/>
      <c r="C31" s="71"/>
      <c r="D31" s="73"/>
      <c r="E31" s="73"/>
      <c r="F31" s="77"/>
    </row>
    <row r="32" spans="1:7" hidden="1" x14ac:dyDescent="0.2">
      <c r="A32">
        <v>1</v>
      </c>
      <c r="B32" s="5">
        <v>2025</v>
      </c>
      <c r="C32" s="74" t="s">
        <v>108</v>
      </c>
      <c r="D32" s="72">
        <v>0</v>
      </c>
      <c r="E32" s="72">
        <v>0</v>
      </c>
      <c r="F32" s="69">
        <f>E32-D32</f>
        <v>0</v>
      </c>
      <c r="G32" s="70"/>
    </row>
    <row r="33" spans="1:7" hidden="1" x14ac:dyDescent="0.2">
      <c r="B33" s="5"/>
      <c r="C33" s="74" t="s">
        <v>109</v>
      </c>
      <c r="D33" s="72">
        <v>0</v>
      </c>
      <c r="E33" s="72">
        <v>0</v>
      </c>
      <c r="F33" s="69">
        <f>E33-D33</f>
        <v>0</v>
      </c>
      <c r="G33" s="70"/>
    </row>
    <row r="34" spans="1:7" hidden="1" x14ac:dyDescent="0.2">
      <c r="B34" s="5"/>
      <c r="C34" s="75" t="s">
        <v>35</v>
      </c>
      <c r="D34" s="78">
        <f>SUM(D32:D33)</f>
        <v>0</v>
      </c>
      <c r="E34" s="78">
        <f>SUM(E32:E33)</f>
        <v>0</v>
      </c>
      <c r="F34" s="68">
        <f>E34-D34</f>
        <v>0</v>
      </c>
      <c r="G34" s="79">
        <f>F34-'5.1'!F36</f>
        <v>0</v>
      </c>
    </row>
    <row r="37" spans="1:7" x14ac:dyDescent="0.2">
      <c r="A37" s="59"/>
    </row>
  </sheetData>
  <mergeCells count="10">
    <mergeCell ref="B26:C26"/>
    <mergeCell ref="B2:F2"/>
    <mergeCell ref="B12:F12"/>
    <mergeCell ref="B22:F22"/>
    <mergeCell ref="B5:F5"/>
    <mergeCell ref="B7:F7"/>
    <mergeCell ref="B9:F9"/>
    <mergeCell ref="B19:F19"/>
    <mergeCell ref="B17:F17"/>
    <mergeCell ref="B15:F1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2FE51-C4F7-42E0-9A26-45FBFB05551C}">
  <sheetPr codeName="Sheet6"/>
  <dimension ref="A2:I33"/>
  <sheetViews>
    <sheetView workbookViewId="0">
      <selection activeCell="J17" sqref="J17"/>
    </sheetView>
  </sheetViews>
  <sheetFormatPr defaultRowHeight="12.75" x14ac:dyDescent="0.2"/>
  <cols>
    <col min="1" max="1" width="3.42578125" customWidth="1"/>
    <col min="2" max="2" width="9.140625" style="134"/>
    <col min="3" max="3" width="38.85546875" customWidth="1"/>
    <col min="4" max="4" width="12.28515625" bestFit="1" customWidth="1"/>
    <col min="5" max="6" width="11.85546875" bestFit="1" customWidth="1"/>
    <col min="7" max="7" width="11.85546875" style="61" bestFit="1" customWidth="1"/>
    <col min="9" max="9" width="11.28515625" bestFit="1" customWidth="1"/>
  </cols>
  <sheetData>
    <row r="2" spans="2:9" ht="28.5" customHeight="1" x14ac:dyDescent="0.2">
      <c r="B2" s="362" t="s">
        <v>216</v>
      </c>
      <c r="C2" s="363"/>
      <c r="D2" s="363"/>
      <c r="E2" s="363"/>
      <c r="F2" s="363"/>
    </row>
    <row r="3" spans="2:9" ht="38.25" x14ac:dyDescent="0.2">
      <c r="B3" s="128" t="s">
        <v>103</v>
      </c>
      <c r="C3" s="128"/>
      <c r="D3" s="128" t="s">
        <v>45</v>
      </c>
      <c r="E3" s="128" t="s">
        <v>44</v>
      </c>
      <c r="F3" s="128" t="s">
        <v>111</v>
      </c>
    </row>
    <row r="4" spans="2:9" ht="25.5" x14ac:dyDescent="0.2">
      <c r="B4" s="5">
        <v>2023</v>
      </c>
      <c r="C4" s="85" t="s">
        <v>178</v>
      </c>
      <c r="D4" s="72">
        <v>0</v>
      </c>
      <c r="E4" s="178">
        <v>894428</v>
      </c>
      <c r="F4" s="69">
        <f>E4-D4</f>
        <v>894428</v>
      </c>
    </row>
    <row r="5" spans="2:9" x14ac:dyDescent="0.2">
      <c r="B5" s="5"/>
      <c r="C5" s="74" t="s">
        <v>214</v>
      </c>
      <c r="D5" s="177">
        <v>0</v>
      </c>
      <c r="E5" s="179">
        <v>-1785808</v>
      </c>
      <c r="F5" s="69">
        <f>E5-D5</f>
        <v>-1785808</v>
      </c>
    </row>
    <row r="6" spans="2:9" ht="25.5" x14ac:dyDescent="0.2">
      <c r="B6" s="5"/>
      <c r="C6" s="85" t="s">
        <v>215</v>
      </c>
      <c r="D6" s="177">
        <v>0</v>
      </c>
      <c r="E6" s="179">
        <v>556517</v>
      </c>
      <c r="F6" s="69">
        <f t="shared" ref="F6" si="0">E6-D6</f>
        <v>556517</v>
      </c>
    </row>
    <row r="7" spans="2:9" x14ac:dyDescent="0.2">
      <c r="B7" s="5"/>
      <c r="C7" s="75" t="s">
        <v>35</v>
      </c>
      <c r="D7" s="76">
        <f>SUM(D4:D6)</f>
        <v>0</v>
      </c>
      <c r="E7" s="180">
        <f>SUM(E4:E6)</f>
        <v>-334863</v>
      </c>
      <c r="F7" s="68">
        <f>SUM(F4:F6)</f>
        <v>-334863</v>
      </c>
      <c r="G7" s="170"/>
    </row>
    <row r="8" spans="2:9" x14ac:dyDescent="0.2">
      <c r="B8" s="346"/>
      <c r="C8" s="361"/>
      <c r="D8" s="361"/>
      <c r="E8" s="361"/>
      <c r="F8" s="347"/>
    </row>
    <row r="9" spans="2:9" ht="25.5" x14ac:dyDescent="0.2">
      <c r="B9" s="171">
        <v>2024</v>
      </c>
      <c r="C9" s="172" t="s">
        <v>178</v>
      </c>
      <c r="D9" s="173">
        <v>0</v>
      </c>
      <c r="E9" s="181">
        <v>912778</v>
      </c>
      <c r="F9" s="174">
        <f>E9-D9</f>
        <v>912778</v>
      </c>
    </row>
    <row r="10" spans="2:9" x14ac:dyDescent="0.2">
      <c r="B10" s="164"/>
      <c r="C10" s="74" t="s">
        <v>214</v>
      </c>
      <c r="D10" s="177">
        <v>0</v>
      </c>
      <c r="E10" s="182">
        <v>-987533</v>
      </c>
      <c r="F10" s="64">
        <f t="shared" ref="F10:F11" si="1">E10-D10</f>
        <v>-987533</v>
      </c>
    </row>
    <row r="11" spans="2:9" ht="25.5" x14ac:dyDescent="0.2">
      <c r="B11" s="164"/>
      <c r="C11" s="85" t="s">
        <v>215</v>
      </c>
      <c r="D11" s="177">
        <v>0</v>
      </c>
      <c r="E11" s="182">
        <v>71594</v>
      </c>
      <c r="F11" s="64">
        <f t="shared" si="1"/>
        <v>71594</v>
      </c>
    </row>
    <row r="12" spans="2:9" x14ac:dyDescent="0.2">
      <c r="B12" s="164"/>
      <c r="C12" s="75" t="s">
        <v>35</v>
      </c>
      <c r="D12" s="76">
        <f>SUM(D9:D11)</f>
        <v>0</v>
      </c>
      <c r="E12" s="180">
        <f>SUM(E9:E11)</f>
        <v>-3161</v>
      </c>
      <c r="F12" s="65">
        <f>SUM(F9:F11)</f>
        <v>-3161</v>
      </c>
      <c r="G12" s="170"/>
    </row>
    <row r="13" spans="2:9" x14ac:dyDescent="0.2">
      <c r="B13" s="346"/>
      <c r="C13" s="361"/>
      <c r="D13" s="361"/>
      <c r="E13" s="361"/>
      <c r="F13" s="347"/>
    </row>
    <row r="14" spans="2:9" ht="25.5" x14ac:dyDescent="0.2">
      <c r="B14" s="171">
        <v>2025</v>
      </c>
      <c r="C14" s="172" t="s">
        <v>178</v>
      </c>
      <c r="D14" s="175">
        <v>0</v>
      </c>
      <c r="E14" s="183">
        <v>1149555</v>
      </c>
      <c r="F14" s="176">
        <f>E14-D14</f>
        <v>1149555</v>
      </c>
      <c r="I14" s="66"/>
    </row>
    <row r="15" spans="2:9" x14ac:dyDescent="0.2">
      <c r="B15" s="164"/>
      <c r="C15" s="74" t="s">
        <v>214</v>
      </c>
      <c r="D15" s="177">
        <v>0</v>
      </c>
      <c r="E15" s="184">
        <v>-2783398</v>
      </c>
      <c r="F15" s="121">
        <f>E15-D15</f>
        <v>-2783398</v>
      </c>
      <c r="I15" s="66"/>
    </row>
    <row r="16" spans="2:9" ht="25.5" x14ac:dyDescent="0.2">
      <c r="B16" s="164"/>
      <c r="C16" s="85" t="s">
        <v>215</v>
      </c>
      <c r="D16" s="177">
        <v>0</v>
      </c>
      <c r="E16" s="184">
        <v>865577</v>
      </c>
      <c r="F16" s="185">
        <v>865576.64000000025</v>
      </c>
      <c r="I16" s="66"/>
    </row>
    <row r="17" spans="1:7" x14ac:dyDescent="0.2">
      <c r="B17" s="5"/>
      <c r="C17" s="75" t="s">
        <v>35</v>
      </c>
      <c r="D17" s="76">
        <f>SUM(D14:D15)</f>
        <v>0</v>
      </c>
      <c r="E17" s="180">
        <f>SUM(E14:E16)</f>
        <v>-768266</v>
      </c>
      <c r="F17" s="68">
        <f>SUM(F14:F16)</f>
        <v>-768266.35999999975</v>
      </c>
      <c r="G17" s="170"/>
    </row>
    <row r="18" spans="1:7" x14ac:dyDescent="0.2">
      <c r="B18" s="358"/>
      <c r="C18" s="359"/>
      <c r="D18" s="359"/>
      <c r="E18" s="359"/>
      <c r="F18" s="360"/>
    </row>
    <row r="19" spans="1:7" x14ac:dyDescent="0.2">
      <c r="C19" s="134"/>
      <c r="D19" s="134"/>
      <c r="E19" s="134"/>
      <c r="F19" s="134"/>
    </row>
    <row r="21" spans="1:7" ht="28.5" customHeight="1" x14ac:dyDescent="0.2">
      <c r="B21" s="362" t="s">
        <v>217</v>
      </c>
      <c r="C21" s="363"/>
      <c r="D21" s="363"/>
      <c r="E21" s="363"/>
      <c r="F21" s="363"/>
    </row>
    <row r="22" spans="1:7" ht="25.5" x14ac:dyDescent="0.2">
      <c r="B22" s="128" t="s">
        <v>103</v>
      </c>
      <c r="C22" s="128"/>
      <c r="D22" s="128" t="s">
        <v>45</v>
      </c>
      <c r="E22" s="128" t="s">
        <v>44</v>
      </c>
      <c r="F22" s="128" t="s">
        <v>112</v>
      </c>
    </row>
    <row r="23" spans="1:7" x14ac:dyDescent="0.2">
      <c r="B23" s="5">
        <v>2023</v>
      </c>
      <c r="C23" s="74" t="s">
        <v>179</v>
      </c>
      <c r="D23" s="72">
        <v>0</v>
      </c>
      <c r="E23" s="72">
        <v>-189222</v>
      </c>
      <c r="F23" s="68">
        <f>E23-D23</f>
        <v>-189222</v>
      </c>
      <c r="G23" s="170"/>
    </row>
    <row r="24" spans="1:7" x14ac:dyDescent="0.2">
      <c r="B24" s="346"/>
      <c r="C24" s="361"/>
      <c r="D24" s="361"/>
      <c r="E24" s="361"/>
      <c r="F24" s="347"/>
    </row>
    <row r="25" spans="1:7" x14ac:dyDescent="0.2">
      <c r="B25" s="60">
        <v>2024</v>
      </c>
      <c r="C25" s="74" t="s">
        <v>179</v>
      </c>
      <c r="D25" s="161">
        <v>0</v>
      </c>
      <c r="E25" s="161">
        <v>-64394</v>
      </c>
      <c r="F25" s="168">
        <f>E25-D25</f>
        <v>-64394</v>
      </c>
      <c r="G25" s="170"/>
    </row>
    <row r="26" spans="1:7" x14ac:dyDescent="0.2">
      <c r="B26" s="346"/>
      <c r="C26" s="361"/>
      <c r="D26" s="361"/>
      <c r="E26" s="361"/>
      <c r="F26" s="347"/>
    </row>
    <row r="27" spans="1:7" x14ac:dyDescent="0.2">
      <c r="B27" s="60">
        <v>2025</v>
      </c>
      <c r="C27" s="74" t="s">
        <v>179</v>
      </c>
      <c r="D27" s="161">
        <v>0</v>
      </c>
      <c r="E27" s="161">
        <v>-1168370</v>
      </c>
      <c r="F27" s="168">
        <f>E27-D27</f>
        <v>-1168370</v>
      </c>
      <c r="G27" s="170"/>
    </row>
    <row r="28" spans="1:7" x14ac:dyDescent="0.2">
      <c r="B28" s="358"/>
      <c r="C28" s="359"/>
      <c r="D28" s="359"/>
      <c r="E28" s="359"/>
      <c r="F28" s="360"/>
    </row>
    <row r="31" spans="1:7" x14ac:dyDescent="0.2">
      <c r="A31" s="59"/>
    </row>
    <row r="33" spans="3:3" x14ac:dyDescent="0.2">
      <c r="C33" s="61"/>
    </row>
  </sheetData>
  <mergeCells count="8">
    <mergeCell ref="B28:F28"/>
    <mergeCell ref="B26:F26"/>
    <mergeCell ref="B24:F24"/>
    <mergeCell ref="B2:F2"/>
    <mergeCell ref="B21:F21"/>
    <mergeCell ref="B18:F18"/>
    <mergeCell ref="B13:F13"/>
    <mergeCell ref="B8:F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9A508-B8DA-4E16-AD9F-2FC23FDCF16C}">
  <sheetPr codeName="Sheet8"/>
  <dimension ref="C2:H26"/>
  <sheetViews>
    <sheetView topLeftCell="B1" workbookViewId="0">
      <selection activeCell="J17" sqref="J17"/>
    </sheetView>
  </sheetViews>
  <sheetFormatPr defaultRowHeight="12.75" x14ac:dyDescent="0.2"/>
  <cols>
    <col min="2" max="2" width="3.7109375" customWidth="1"/>
    <col min="3" max="3" width="9.140625" style="134" customWidth="1"/>
    <col min="4" max="4" width="41.5703125" customWidth="1"/>
    <col min="5" max="6" width="18.7109375" bestFit="1" customWidth="1"/>
    <col min="7" max="7" width="14" bestFit="1" customWidth="1"/>
    <col min="8" max="8" width="11.85546875" style="61" bestFit="1" customWidth="1"/>
  </cols>
  <sheetData>
    <row r="2" spans="3:8" ht="28.5" customHeight="1" x14ac:dyDescent="0.2">
      <c r="C2" s="362" t="s">
        <v>219</v>
      </c>
      <c r="D2" s="363"/>
      <c r="E2" s="363"/>
      <c r="F2" s="363"/>
      <c r="G2" s="363"/>
    </row>
    <row r="3" spans="3:8" ht="25.5" x14ac:dyDescent="0.2">
      <c r="C3" s="128" t="s">
        <v>103</v>
      </c>
      <c r="D3" s="128"/>
      <c r="E3" s="128" t="s">
        <v>45</v>
      </c>
      <c r="F3" s="128" t="s">
        <v>44</v>
      </c>
      <c r="G3" s="128" t="s">
        <v>218</v>
      </c>
    </row>
    <row r="4" spans="3:8" x14ac:dyDescent="0.2">
      <c r="C4" s="5">
        <v>2023</v>
      </c>
      <c r="D4" s="74" t="s">
        <v>113</v>
      </c>
      <c r="E4" s="72">
        <v>4605290</v>
      </c>
      <c r="F4" s="72">
        <v>4000839</v>
      </c>
      <c r="G4" s="68">
        <f>F4-E4</f>
        <v>-604451</v>
      </c>
      <c r="H4" s="170"/>
    </row>
    <row r="5" spans="3:8" x14ac:dyDescent="0.2">
      <c r="C5" s="346"/>
      <c r="D5" s="361"/>
      <c r="E5" s="361"/>
      <c r="F5" s="361"/>
      <c r="G5" s="347"/>
    </row>
    <row r="6" spans="3:8" x14ac:dyDescent="0.2">
      <c r="C6" s="60">
        <v>2024</v>
      </c>
      <c r="D6" s="160" t="s">
        <v>113</v>
      </c>
      <c r="E6" s="161">
        <v>4630668</v>
      </c>
      <c r="F6" s="161">
        <v>4143249</v>
      </c>
      <c r="G6" s="168">
        <f>F6-E6</f>
        <v>-487419</v>
      </c>
      <c r="H6" s="170"/>
    </row>
    <row r="7" spans="3:8" x14ac:dyDescent="0.2">
      <c r="C7" s="346"/>
      <c r="D7" s="361"/>
      <c r="E7" s="361"/>
      <c r="F7" s="361"/>
      <c r="G7" s="347"/>
    </row>
    <row r="8" spans="3:8" x14ac:dyDescent="0.2">
      <c r="C8" s="60">
        <v>2025</v>
      </c>
      <c r="D8" s="160" t="s">
        <v>113</v>
      </c>
      <c r="E8" s="161">
        <v>4653006</v>
      </c>
      <c r="F8" s="161">
        <v>4257876</v>
      </c>
      <c r="G8" s="168">
        <f>F8-E8</f>
        <v>-395130</v>
      </c>
      <c r="H8" s="170"/>
    </row>
    <row r="9" spans="3:8" x14ac:dyDescent="0.2">
      <c r="C9" s="346"/>
      <c r="D9" s="361"/>
      <c r="E9" s="361"/>
      <c r="F9" s="361"/>
      <c r="G9" s="347"/>
      <c r="H9" s="170"/>
    </row>
    <row r="10" spans="3:8" x14ac:dyDescent="0.2">
      <c r="C10" s="145"/>
      <c r="D10" s="59"/>
      <c r="E10" s="82"/>
      <c r="F10" s="82"/>
      <c r="G10" s="166"/>
      <c r="H10" s="170"/>
    </row>
    <row r="12" spans="3:8" ht="29.25" customHeight="1" x14ac:dyDescent="0.2">
      <c r="C12" s="362" t="s">
        <v>220</v>
      </c>
      <c r="D12" s="363"/>
      <c r="E12" s="363"/>
      <c r="F12" s="363"/>
      <c r="G12" s="363"/>
    </row>
    <row r="13" spans="3:8" ht="38.25" x14ac:dyDescent="0.2">
      <c r="C13" s="128" t="s">
        <v>103</v>
      </c>
      <c r="D13" s="128"/>
      <c r="E13" s="128" t="s">
        <v>45</v>
      </c>
      <c r="F13" s="128" t="s">
        <v>44</v>
      </c>
      <c r="G13" s="128" t="s">
        <v>111</v>
      </c>
    </row>
    <row r="14" spans="3:8" x14ac:dyDescent="0.2">
      <c r="C14" s="5">
        <v>2023</v>
      </c>
      <c r="D14" s="74" t="s">
        <v>114</v>
      </c>
      <c r="E14" s="178">
        <v>975510</v>
      </c>
      <c r="F14" s="178">
        <v>1007686</v>
      </c>
      <c r="G14" s="69">
        <f>F14-E14</f>
        <v>32176</v>
      </c>
    </row>
    <row r="15" spans="3:8" ht="25.5" x14ac:dyDescent="0.2">
      <c r="C15" s="5"/>
      <c r="D15" s="85" t="s">
        <v>181</v>
      </c>
      <c r="E15" s="189">
        <v>0</v>
      </c>
      <c r="F15" s="179">
        <v>356626</v>
      </c>
      <c r="G15" s="188">
        <f>F15-E15</f>
        <v>356626</v>
      </c>
    </row>
    <row r="16" spans="3:8" x14ac:dyDescent="0.2">
      <c r="C16" s="5"/>
      <c r="D16" s="75" t="s">
        <v>35</v>
      </c>
      <c r="E16" s="190">
        <f>SUM(E14:E15)</f>
        <v>975510</v>
      </c>
      <c r="F16" s="190">
        <f>SUM(F14:F15)</f>
        <v>1364312</v>
      </c>
      <c r="G16" s="68">
        <f>F16-E16</f>
        <v>388802</v>
      </c>
      <c r="H16" s="170"/>
    </row>
    <row r="17" spans="3:8" x14ac:dyDescent="0.2">
      <c r="C17" s="346"/>
      <c r="D17" s="361"/>
      <c r="E17" s="361"/>
      <c r="F17" s="361"/>
      <c r="G17" s="347"/>
    </row>
    <row r="18" spans="3:8" x14ac:dyDescent="0.2">
      <c r="C18" s="60">
        <v>2024</v>
      </c>
      <c r="D18" s="160" t="s">
        <v>114</v>
      </c>
      <c r="E18" s="187">
        <v>1254434</v>
      </c>
      <c r="F18" s="187">
        <v>663684</v>
      </c>
      <c r="G18" s="162">
        <f>F18-E18</f>
        <v>-590750</v>
      </c>
    </row>
    <row r="19" spans="3:8" ht="25.5" x14ac:dyDescent="0.2">
      <c r="C19" s="5"/>
      <c r="D19" s="85" t="s">
        <v>181</v>
      </c>
      <c r="E19" s="179">
        <v>0</v>
      </c>
      <c r="F19" s="179">
        <v>253815</v>
      </c>
      <c r="G19" s="188">
        <f t="shared" ref="G19:G20" si="0">F19-E19</f>
        <v>253815</v>
      </c>
    </row>
    <row r="20" spans="3:8" x14ac:dyDescent="0.2">
      <c r="C20" s="5"/>
      <c r="D20" s="75" t="s">
        <v>35</v>
      </c>
      <c r="E20" s="190">
        <f>SUM(E18:E19)</f>
        <v>1254434</v>
      </c>
      <c r="F20" s="190">
        <f>SUM(F18:F19)</f>
        <v>917499</v>
      </c>
      <c r="G20" s="68">
        <f t="shared" si="0"/>
        <v>-336935</v>
      </c>
      <c r="H20" s="170"/>
    </row>
    <row r="21" spans="3:8" x14ac:dyDescent="0.2">
      <c r="C21" s="346"/>
      <c r="D21" s="361"/>
      <c r="E21" s="361"/>
      <c r="F21" s="361"/>
      <c r="G21" s="347"/>
    </row>
    <row r="22" spans="3:8" x14ac:dyDescent="0.2">
      <c r="C22" s="60">
        <v>2025</v>
      </c>
      <c r="D22" s="160" t="s">
        <v>114</v>
      </c>
      <c r="E22" s="187">
        <v>1387297</v>
      </c>
      <c r="F22" s="187">
        <v>2751407</v>
      </c>
      <c r="G22" s="162">
        <f>F22-E22</f>
        <v>1364110</v>
      </c>
    </row>
    <row r="23" spans="3:8" ht="25.5" x14ac:dyDescent="0.2">
      <c r="C23" s="5"/>
      <c r="D23" s="85" t="s">
        <v>181</v>
      </c>
      <c r="E23" s="179">
        <v>0</v>
      </c>
      <c r="F23" s="179">
        <v>-32508</v>
      </c>
      <c r="G23" s="188">
        <f>F23-E23</f>
        <v>-32508</v>
      </c>
    </row>
    <row r="24" spans="3:8" x14ac:dyDescent="0.2">
      <c r="C24" s="5"/>
      <c r="D24" s="75" t="s">
        <v>35</v>
      </c>
      <c r="E24" s="190">
        <f>SUM(E22:E23)</f>
        <v>1387297</v>
      </c>
      <c r="F24" s="190">
        <f>SUM(F22:F23)</f>
        <v>2718899</v>
      </c>
      <c r="G24" s="68">
        <f>F24-E24</f>
        <v>1331602</v>
      </c>
      <c r="H24" s="170"/>
    </row>
    <row r="25" spans="3:8" x14ac:dyDescent="0.2">
      <c r="C25" s="346"/>
      <c r="D25" s="361"/>
      <c r="E25" s="361"/>
      <c r="F25" s="361"/>
      <c r="G25" s="347"/>
    </row>
    <row r="26" spans="3:8" x14ac:dyDescent="0.2">
      <c r="C26" s="145"/>
      <c r="D26" s="59"/>
      <c r="E26" s="82"/>
      <c r="F26" s="82"/>
      <c r="G26" s="83"/>
    </row>
  </sheetData>
  <mergeCells count="8">
    <mergeCell ref="C25:G25"/>
    <mergeCell ref="C21:G21"/>
    <mergeCell ref="C17:G17"/>
    <mergeCell ref="C2:G2"/>
    <mergeCell ref="C12:G12"/>
    <mergeCell ref="C9:G9"/>
    <mergeCell ref="C7:G7"/>
    <mergeCell ref="C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3</vt:i4>
      </vt:variant>
    </vt:vector>
  </HeadingPairs>
  <TitlesOfParts>
    <vt:vector size="21" baseType="lpstr">
      <vt:lpstr>App A</vt:lpstr>
      <vt:lpstr>App B</vt:lpstr>
      <vt:lpstr>5.1</vt:lpstr>
      <vt:lpstr>5.2</vt:lpstr>
      <vt:lpstr>5.3</vt:lpstr>
      <vt:lpstr>5.4</vt:lpstr>
      <vt:lpstr>5.5 - 5.7</vt:lpstr>
      <vt:lpstr>5.8  - 5.9</vt:lpstr>
      <vt:lpstr>5.10-5.11</vt:lpstr>
      <vt:lpstr>5.12</vt:lpstr>
      <vt:lpstr>6.2</vt:lpstr>
      <vt:lpstr>7.3</vt:lpstr>
      <vt:lpstr>7.4</vt:lpstr>
      <vt:lpstr>7.5</vt:lpstr>
      <vt:lpstr>8.1</vt:lpstr>
      <vt:lpstr>8.2</vt:lpstr>
      <vt:lpstr>Customer Impact Summary</vt:lpstr>
      <vt:lpstr>Customer Impact Mar - Feb</vt:lpstr>
      <vt:lpstr>'App A'!Print_Area</vt:lpstr>
      <vt:lpstr>'App B'!Print_Area</vt:lpstr>
      <vt:lpstr>'App A'!Print_Titles</vt:lpstr>
    </vt:vector>
  </TitlesOfParts>
  <Company>Maritime Electric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Crockett, Gloria</dc:creator>
  <cp:lastModifiedBy>Douillette, Chelsey</cp:lastModifiedBy>
  <cp:lastPrinted>2025-12-09T14:37:34Z</cp:lastPrinted>
  <dcterms:created xsi:type="dcterms:W3CDTF">2001-09-20T18:08:58Z</dcterms:created>
  <dcterms:modified xsi:type="dcterms:W3CDTF">2025-12-11T15:21:41Z</dcterms:modified>
</cp:coreProperties>
</file>