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defaultThemeVersion="124226"/>
  <mc:AlternateContent xmlns:mc="http://schemas.openxmlformats.org/markup-compatibility/2006">
    <mc:Choice Requires="x15">
      <x15ac:absPath xmlns:x15ac="http://schemas.microsoft.com/office/spreadsheetml/2010/11/ac" url="C:\Users\pbowm\Dropbox\corp\Projects\PEI IRAC\"/>
    </mc:Choice>
  </mc:AlternateContent>
  <xr:revisionPtr revIDLastSave="0" documentId="13_ncr:1_{2DC9304F-E35B-46F9-B082-5E35A90AE21E}" xr6:coauthVersionLast="47" xr6:coauthVersionMax="47" xr10:uidLastSave="{00000000-0000-0000-0000-000000000000}"/>
  <bookViews>
    <workbookView xWindow="-3740" yWindow="-13110" windowWidth="15150" windowHeight="12340" tabRatio="831" activeTab="16" xr2:uid="{00000000-000D-0000-FFFF-FFFF00000000}"/>
  </bookViews>
  <sheets>
    <sheet name="Index" sheetId="27" r:id="rId1"/>
    <sheet name="1.0" sheetId="26" r:id="rId2"/>
    <sheet name="1.1" sheetId="25" r:id="rId3"/>
    <sheet name="1.2" sheetId="36" r:id="rId4"/>
    <sheet name="1.3" sheetId="23" r:id="rId5"/>
    <sheet name="1.4" sheetId="34" r:id="rId6"/>
    <sheet name="2.0" sheetId="21" r:id="rId7"/>
    <sheet name="2.1" sheetId="20" r:id="rId8"/>
    <sheet name="2.2" sheetId="19" r:id="rId9"/>
    <sheet name="2.4" sheetId="18" r:id="rId10"/>
    <sheet name="2.5" sheetId="22" r:id="rId11"/>
    <sheet name="3.0" sheetId="24" r:id="rId12"/>
    <sheet name="3.1" sheetId="15" r:id="rId13"/>
    <sheet name="3.2" sheetId="16" r:id="rId14"/>
    <sheet name="3.3" sheetId="29" r:id="rId15"/>
    <sheet name="3.4" sheetId="9" r:id="rId16"/>
    <sheet name="3.5" sheetId="10" r:id="rId17"/>
    <sheet name="3.6" sheetId="12" r:id="rId18"/>
    <sheet name="4.0" sheetId="8" r:id="rId19"/>
    <sheet name="4.1" sheetId="13" r:id="rId20"/>
    <sheet name="4.2" sheetId="3" r:id="rId21"/>
    <sheet name="5.0" sheetId="6" r:id="rId22"/>
    <sheet name="5.1" sheetId="7" r:id="rId23"/>
    <sheet name="5.2" sheetId="28" r:id="rId24"/>
    <sheet name="6.0" sheetId="14" r:id="rId25"/>
    <sheet name="6.1" sheetId="2" r:id="rId26"/>
    <sheet name="6.2" sheetId="4" r:id="rId27"/>
    <sheet name="6.3" sheetId="1" r:id="rId28"/>
  </sheets>
  <definedNames>
    <definedName name="_xlnm._FilterDatabase" localSheetId="24" hidden="1">'6.0'!$A$4:$J$159</definedName>
    <definedName name="_xlnm._FilterDatabase" localSheetId="25" hidden="1">'6.1'!$A$5:$Q$73</definedName>
    <definedName name="Assets_BasisFunc">'6.1'!$O$6:$O$74</definedName>
    <definedName name="Assets_PresHeader">'6.1'!$N$6:$N$74</definedName>
    <definedName name="Assets_UsedforAlloc">'6.1'!$P$6:$P$74</definedName>
    <definedName name="CentreFooter">Index!#REF!</definedName>
    <definedName name="GP_Direct">'4.0'!$A$6:$A$20</definedName>
    <definedName name="GP_First">'4.0'!$A$56:$A$70</definedName>
    <definedName name="GP_Second">'4.0'!$A$75:$A$89</definedName>
    <definedName name="List_Allocators">'6.3'!$B$5:$B$28</definedName>
    <definedName name="List_Classes">'6.3'!$A$5:$A$13</definedName>
    <definedName name="List_Functions">'6.3'!$A$16:$A$31</definedName>
    <definedName name="_xlnm.Print_Area" localSheetId="1">'1.0'!$A$1:$K$23</definedName>
    <definedName name="_xlnm.Print_Area" localSheetId="2">'1.1'!$A$1:$K$134</definedName>
    <definedName name="_xlnm.Print_Area" localSheetId="3">'1.2'!$A$1:$K$82</definedName>
    <definedName name="_xlnm.Print_Area" localSheetId="4">'1.3'!$A$1:$K$134</definedName>
    <definedName name="_xlnm.Print_Area" localSheetId="5">'1.4'!$A$1:$K$82</definedName>
    <definedName name="_xlnm.Print_Area" localSheetId="7">'2.1'!$A$1:$K$110</definedName>
    <definedName name="_xlnm.Print_Area" localSheetId="8">'2.2'!$A$1:$K$41</definedName>
    <definedName name="_xlnm.Print_Area" localSheetId="9">'2.4'!$A$1:$F$52</definedName>
    <definedName name="_xlnm.Print_Area" localSheetId="11">'3.0'!$A$1:$R$134</definedName>
    <definedName name="_xlnm.Print_Area" localSheetId="12">'3.1'!$A$1:$R$222</definedName>
    <definedName name="_xlnm.Print_Area" localSheetId="13">'3.2'!$A$1:$R$175</definedName>
    <definedName name="_xlnm.Print_Area" localSheetId="14">'3.3'!$A$1:$R$134</definedName>
    <definedName name="_xlnm.Print_Area" localSheetId="15">'3.4'!$A$1:$R$283</definedName>
    <definedName name="_xlnm.Print_Area" localSheetId="16">'3.5'!$A$1:$R$83</definedName>
    <definedName name="_xlnm.Print_Area" localSheetId="17">'3.6'!$A$1:$R$80</definedName>
    <definedName name="_xlnm.Print_Area" localSheetId="18">'4.0'!$A$1:$R$128</definedName>
    <definedName name="_xlnm.Print_Area" localSheetId="19">'4.1'!$A$1:$B$33</definedName>
    <definedName name="_xlnm.Print_Area" localSheetId="20">'4.2'!$A$1:$E$45</definedName>
    <definedName name="_xlnm.Print_Area" localSheetId="24">'6.0'!$A$1:$I$159</definedName>
    <definedName name="_xlnm.Print_Area" localSheetId="25">'6.1'!$A$1:$O$74</definedName>
    <definedName name="_xlnm.Print_Area" localSheetId="26">'6.2'!$A$1:$H$47</definedName>
    <definedName name="_xlnm.Print_Area" localSheetId="0">Index!$A$1:$A$35</definedName>
    <definedName name="_xlnm.Print_Titles" localSheetId="1">'1.0'!$A:$A,'1.0'!$1:$3</definedName>
    <definedName name="_xlnm.Print_Titles" localSheetId="2">'1.1'!$A:$A,'1.1'!$1:$3</definedName>
    <definedName name="_xlnm.Print_Titles" localSheetId="3">'1.2'!$A:$A,'1.2'!$1:$3</definedName>
    <definedName name="_xlnm.Print_Titles" localSheetId="4">'1.3'!$A:$A,'1.3'!$1:$3</definedName>
    <definedName name="_xlnm.Print_Titles" localSheetId="5">'1.4'!$A:$A,'1.4'!$1:$3</definedName>
    <definedName name="_xlnm.Print_Titles" localSheetId="6">'2.0'!$A:$A,'2.0'!$1:$3</definedName>
    <definedName name="_xlnm.Print_Titles" localSheetId="7">'2.1'!$A:$A,'2.1'!$1:$3</definedName>
    <definedName name="_xlnm.Print_Titles" localSheetId="8">'2.2'!$A:$A,'2.2'!$1:$3</definedName>
    <definedName name="_xlnm.Print_Titles" localSheetId="9">'2.4'!$A:$A,'2.4'!$1:$3</definedName>
    <definedName name="_xlnm.Print_Titles" localSheetId="10">'2.5'!$A:$A,'2.5'!$1:$3</definedName>
    <definedName name="_xlnm.Print_Titles" localSheetId="11">'3.0'!$A:$A,'3.0'!$1:$3</definedName>
    <definedName name="_xlnm.Print_Titles" localSheetId="12">'3.1'!$A:$A,'3.1'!$1:$3</definedName>
    <definedName name="_xlnm.Print_Titles" localSheetId="13">'3.2'!$A:$A,'3.2'!$1:$3</definedName>
    <definedName name="_xlnm.Print_Titles" localSheetId="14">'3.3'!$A:$A,'3.3'!$1:$3</definedName>
    <definedName name="_xlnm.Print_Titles" localSheetId="15">'3.4'!$A:$A,'3.4'!$1:$3</definedName>
    <definedName name="_xlnm.Print_Titles" localSheetId="16">'3.5'!$A:$A,'3.5'!$1:$3</definedName>
    <definedName name="_xlnm.Print_Titles" localSheetId="17">'3.6'!$A:$A,'3.6'!$1:$3</definedName>
    <definedName name="_xlnm.Print_Titles" localSheetId="18">'4.0'!$A:$A,'4.0'!$1:$3</definedName>
    <definedName name="_xlnm.Print_Titles" localSheetId="19">'4.1'!$A:$A,'4.1'!$1:$3</definedName>
    <definedName name="_xlnm.Print_Titles" localSheetId="20">'4.2'!$A:$A,'4.2'!$1:$3</definedName>
    <definedName name="_xlnm.Print_Titles" localSheetId="21">'5.0'!$A:$A,'5.0'!$1:$3</definedName>
    <definedName name="_xlnm.Print_Titles" localSheetId="22">'5.1'!$A:$A,'5.1'!$1:$3</definedName>
    <definedName name="_xlnm.Print_Titles" localSheetId="23">'5.2'!$A:$A,'5.2'!$1:$3</definedName>
    <definedName name="_xlnm.Print_Titles" localSheetId="24">'6.0'!$A:$A,'6.0'!$1:$3</definedName>
    <definedName name="_xlnm.Print_Titles" localSheetId="25">'6.1'!$A:$B,'6.1'!$1:$3</definedName>
    <definedName name="_xlnm.Print_Titles" localSheetId="26">'6.2'!$A:$A,'6.2'!$1:$3</definedName>
    <definedName name="_xlnm.Print_Titles" localSheetId="27">'6.3'!$A:$A,'6.3'!$1:$3</definedName>
    <definedName name="_xlnm.Print_Titles" localSheetId="0">Index!$A:$A,Index!$1:$3</definedName>
    <definedName name="Rate_Class_Ref">Index!#REF!</definedName>
    <definedName name="RightFooter">Index!#REF!</definedName>
    <definedName name="RR_Demand">'6.0'!$D$5:$D$159</definedName>
    <definedName name="RR_Function">'6.0'!$H$5:$H$159</definedName>
    <definedName name="RR_Labour">'6.0'!$E$5:$E$159</definedName>
    <definedName name="RR_Reporting">'6.0'!$G$5:$G$159</definedName>
    <definedName name="RR_TB">'6.0'!$C$5:$C$159</definedName>
    <definedName name="RR_Vehicle">'6.0'!$F$5:$F$159</definedName>
    <definedName name="solver_adj" localSheetId="8" hidden="1">'2.2'!$I$11</definedName>
    <definedName name="solver_adj" localSheetId="9" hidden="1">'2.4'!#REF!</definedName>
    <definedName name="solver_cvg" localSheetId="8" hidden="1">0.0001</definedName>
    <definedName name="solver_cvg" localSheetId="9" hidden="1">0.0001</definedName>
    <definedName name="solver_drv" localSheetId="8" hidden="1">1</definedName>
    <definedName name="solver_drv" localSheetId="9" hidden="1">1</definedName>
    <definedName name="solver_eng" localSheetId="8" hidden="1">1</definedName>
    <definedName name="solver_eng" localSheetId="9" hidden="1">1</definedName>
    <definedName name="solver_est" localSheetId="8" hidden="1">1</definedName>
    <definedName name="solver_est" localSheetId="9" hidden="1">1</definedName>
    <definedName name="solver_itr" localSheetId="8" hidden="1">2147483647</definedName>
    <definedName name="solver_itr" localSheetId="9" hidden="1">2147483647</definedName>
    <definedName name="solver_mip" localSheetId="8" hidden="1">2147483647</definedName>
    <definedName name="solver_mip" localSheetId="9" hidden="1">2147483647</definedName>
    <definedName name="solver_mni" localSheetId="8" hidden="1">30</definedName>
    <definedName name="solver_mni" localSheetId="9" hidden="1">30</definedName>
    <definedName name="solver_mrt" localSheetId="8" hidden="1">0.075</definedName>
    <definedName name="solver_mrt" localSheetId="9" hidden="1">0.075</definedName>
    <definedName name="solver_msl" localSheetId="8" hidden="1">2</definedName>
    <definedName name="solver_msl" localSheetId="9" hidden="1">2</definedName>
    <definedName name="solver_neg" localSheetId="8" hidden="1">1</definedName>
    <definedName name="solver_neg" localSheetId="9" hidden="1">1</definedName>
    <definedName name="solver_nod" localSheetId="8" hidden="1">2147483647</definedName>
    <definedName name="solver_nod" localSheetId="9" hidden="1">2147483647</definedName>
    <definedName name="solver_num" localSheetId="8" hidden="1">0</definedName>
    <definedName name="solver_num" localSheetId="9" hidden="1">0</definedName>
    <definedName name="solver_nwt" localSheetId="8" hidden="1">1</definedName>
    <definedName name="solver_nwt" localSheetId="9" hidden="1">1</definedName>
    <definedName name="solver_opt" localSheetId="8" hidden="1">'2.2'!#REF!</definedName>
    <definedName name="solver_opt" localSheetId="9" hidden="1">'2.4'!#REF!</definedName>
    <definedName name="solver_pre" localSheetId="8" hidden="1">0.000001</definedName>
    <definedName name="solver_pre" localSheetId="9" hidden="1">0.000001</definedName>
    <definedName name="solver_rbv" localSheetId="8" hidden="1">1</definedName>
    <definedName name="solver_rbv" localSheetId="9" hidden="1">1</definedName>
    <definedName name="solver_rlx" localSheetId="8" hidden="1">2</definedName>
    <definedName name="solver_rlx" localSheetId="9" hidden="1">2</definedName>
    <definedName name="solver_rsd" localSheetId="8" hidden="1">0</definedName>
    <definedName name="solver_rsd" localSheetId="9" hidden="1">0</definedName>
    <definedName name="solver_scl" localSheetId="8" hidden="1">1</definedName>
    <definedName name="solver_scl" localSheetId="9" hidden="1">1</definedName>
    <definedName name="solver_sho" localSheetId="8" hidden="1">2</definedName>
    <definedName name="solver_sho" localSheetId="9" hidden="1">2</definedName>
    <definedName name="solver_ssz" localSheetId="8" hidden="1">100</definedName>
    <definedName name="solver_ssz" localSheetId="9" hidden="1">100</definedName>
    <definedName name="solver_tim" localSheetId="8" hidden="1">2147483647</definedName>
    <definedName name="solver_tim" localSheetId="9" hidden="1">2147483647</definedName>
    <definedName name="solver_tol" localSheetId="8" hidden="1">0.01</definedName>
    <definedName name="solver_tol" localSheetId="9" hidden="1">0.01</definedName>
    <definedName name="solver_typ" localSheetId="8" hidden="1">3</definedName>
    <definedName name="solver_typ" localSheetId="9" hidden="1">3</definedName>
    <definedName name="solver_val" localSheetId="8" hidden="1">0</definedName>
    <definedName name="solver_val" localSheetId="9" hidden="1">0</definedName>
    <definedName name="solver_ver" localSheetId="8" hidden="1">3</definedName>
    <definedName name="solver_ver" localSheetId="9" hidden="1">3</definedName>
    <definedName name="Table_Allocators">'2.1'!$A$6:$J$29</definedName>
    <definedName name="Table_Allocators_Demand">'2.1'!$A$33:$J$56</definedName>
    <definedName name="Table_Allocators_Energy">'2.1'!$A$60:$J$83</definedName>
    <definedName name="Table_Allocators_Site">'2.1'!$A$87:$J$110</definedName>
    <definedName name="Table_AllocByFunction">'2.5'!$A$6:$B$21</definedName>
    <definedName name="Table_Classification">'2.4'!$A$6:$D$29</definedName>
    <definedName name="Table_FinalAlloc">'2.0'!$B$6:$J$21</definedName>
    <definedName name="Table_FinalAlloc_D">'2.0'!$B$25:$J$40</definedName>
    <definedName name="Table_FinalAlloc_E">'2.0'!$B$44:$J$59</definedName>
    <definedName name="Table_FinalAlloc_S">'2.0'!$B$63:$J$78</definedName>
    <definedName name="Table_FunctionAllocators">'5.0'!$A$6:$Q$38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6" l="1"/>
  <c r="H59" i="16"/>
  <c r="I59" i="16"/>
  <c r="J59" i="16"/>
  <c r="K59" i="16"/>
  <c r="L59" i="16"/>
  <c r="M59" i="16"/>
  <c r="N59" i="16"/>
  <c r="O59" i="16"/>
  <c r="P59" i="16"/>
  <c r="Q59" i="16"/>
  <c r="G51" i="16"/>
  <c r="H51" i="16"/>
  <c r="I51" i="16"/>
  <c r="J51" i="16"/>
  <c r="K51" i="16"/>
  <c r="L51" i="16"/>
  <c r="M51" i="16"/>
  <c r="N51" i="16"/>
  <c r="O51" i="16"/>
  <c r="P51" i="16"/>
  <c r="Q51" i="16"/>
  <c r="C77" i="16"/>
  <c r="D77" i="16"/>
  <c r="E77" i="16"/>
  <c r="F77" i="16"/>
  <c r="G77" i="16"/>
  <c r="H77" i="16"/>
  <c r="I77" i="16"/>
  <c r="J77" i="16"/>
  <c r="K77" i="16"/>
  <c r="L77" i="16"/>
  <c r="M77" i="16"/>
  <c r="N77" i="16"/>
  <c r="O77" i="16"/>
  <c r="P77" i="16"/>
  <c r="Q77" i="16"/>
  <c r="B77" i="16"/>
  <c r="F92" i="15" l="1"/>
  <c r="G92" i="15"/>
  <c r="H92" i="15"/>
  <c r="I92" i="15"/>
  <c r="J92" i="15"/>
  <c r="K92" i="15"/>
  <c r="L92" i="15"/>
  <c r="M92" i="15"/>
  <c r="N92" i="15"/>
  <c r="O92" i="15"/>
  <c r="P92" i="15"/>
  <c r="Q92" i="15"/>
  <c r="Q59" i="15"/>
  <c r="F84" i="15"/>
  <c r="G84" i="15"/>
  <c r="H84" i="15"/>
  <c r="I84" i="15"/>
  <c r="J84" i="15"/>
  <c r="K84" i="15"/>
  <c r="L84" i="15"/>
  <c r="M84" i="15"/>
  <c r="N84" i="15"/>
  <c r="O84" i="15"/>
  <c r="P84" i="15"/>
  <c r="Q84" i="15"/>
  <c r="Q51" i="15"/>
  <c r="P79" i="9"/>
  <c r="Q79" i="9"/>
  <c r="P77" i="9"/>
  <c r="Q77" i="9"/>
  <c r="B27" i="3"/>
  <c r="R117" i="16"/>
  <c r="Q117" i="16"/>
  <c r="P117" i="16"/>
  <c r="O117" i="16"/>
  <c r="O123" i="16" s="1"/>
  <c r="N117" i="16"/>
  <c r="M117" i="16"/>
  <c r="L117" i="16"/>
  <c r="K117" i="16"/>
  <c r="J117" i="16"/>
  <c r="I117" i="16"/>
  <c r="H117" i="16"/>
  <c r="G117" i="16"/>
  <c r="F117" i="16"/>
  <c r="E117" i="16"/>
  <c r="D117" i="16"/>
  <c r="C117" i="16"/>
  <c r="B117" i="16"/>
  <c r="C122" i="16"/>
  <c r="D122" i="16"/>
  <c r="E122" i="16"/>
  <c r="F122" i="16"/>
  <c r="G122" i="16"/>
  <c r="H122" i="16"/>
  <c r="I122" i="16"/>
  <c r="J122" i="16"/>
  <c r="K122" i="16"/>
  <c r="L122" i="16"/>
  <c r="M122" i="16"/>
  <c r="N122" i="16"/>
  <c r="O122" i="16"/>
  <c r="P122" i="16"/>
  <c r="P123" i="16" s="1"/>
  <c r="Q122" i="16"/>
  <c r="B122" i="16"/>
  <c r="R137" i="16"/>
  <c r="Q137" i="16"/>
  <c r="P137" i="16"/>
  <c r="O137" i="16"/>
  <c r="N137" i="16"/>
  <c r="M137" i="16"/>
  <c r="L137" i="16"/>
  <c r="K137" i="16"/>
  <c r="J137" i="16"/>
  <c r="I137" i="16"/>
  <c r="H137" i="16"/>
  <c r="G137" i="16"/>
  <c r="F137" i="16"/>
  <c r="E137" i="16"/>
  <c r="D137" i="16"/>
  <c r="C137" i="16"/>
  <c r="B137" i="16"/>
  <c r="B113" i="16" a="1"/>
  <c r="Q113" i="16" s="1"/>
  <c r="G8" i="7"/>
  <c r="H8" i="7"/>
  <c r="F8" i="7"/>
  <c r="C9" i="7"/>
  <c r="F10" i="7"/>
  <c r="G10" i="7"/>
  <c r="H10" i="7"/>
  <c r="H9" i="7"/>
  <c r="G9" i="7"/>
  <c r="F9" i="7"/>
  <c r="B9" i="7"/>
  <c r="L123" i="16" l="1"/>
  <c r="L129" i="16" s="1"/>
  <c r="C123" i="16"/>
  <c r="C129" i="16" s="1"/>
  <c r="I123" i="16"/>
  <c r="I129" i="16" s="1"/>
  <c r="I140" i="16" s="1"/>
  <c r="K123" i="16"/>
  <c r="K129" i="16" s="1"/>
  <c r="Q123" i="16"/>
  <c r="Q129" i="16" s="1"/>
  <c r="Q140" i="16" s="1"/>
  <c r="M123" i="16"/>
  <c r="M129" i="16" s="1"/>
  <c r="M140" i="16" s="1"/>
  <c r="M143" i="16" s="1"/>
  <c r="E123" i="16"/>
  <c r="E129" i="16" s="1"/>
  <c r="B123" i="16"/>
  <c r="B129" i="16" s="1"/>
  <c r="N123" i="16"/>
  <c r="N129" i="16" s="1"/>
  <c r="N140" i="16" s="1"/>
  <c r="N143" i="16" s="1"/>
  <c r="G123" i="16"/>
  <c r="G129" i="16" s="1"/>
  <c r="H123" i="16"/>
  <c r="H129" i="16" s="1"/>
  <c r="H140" i="16" s="1"/>
  <c r="H143" i="16" s="1"/>
  <c r="J123" i="16"/>
  <c r="J129" i="16" s="1"/>
  <c r="J140" i="16" s="1"/>
  <c r="R122" i="16"/>
  <c r="R123" i="16" s="1"/>
  <c r="D123" i="16"/>
  <c r="D129" i="16" s="1"/>
  <c r="F123" i="16"/>
  <c r="F129" i="16" s="1"/>
  <c r="C140" i="16"/>
  <c r="C143" i="16" s="1"/>
  <c r="O129" i="16"/>
  <c r="O140" i="16" s="1"/>
  <c r="O143" i="16" s="1"/>
  <c r="K140" i="16"/>
  <c r="K143" i="16" s="1"/>
  <c r="P129" i="16"/>
  <c r="P140" i="16" s="1"/>
  <c r="D113" i="16"/>
  <c r="F113" i="16"/>
  <c r="I113" i="16"/>
  <c r="L113" i="16"/>
  <c r="O113" i="16"/>
  <c r="E113" i="16"/>
  <c r="H113" i="16"/>
  <c r="K113" i="16"/>
  <c r="N113" i="16"/>
  <c r="B113" i="16"/>
  <c r="P113" i="16"/>
  <c r="G113" i="16"/>
  <c r="J113" i="16"/>
  <c r="M113" i="16"/>
  <c r="C113" i="16"/>
  <c r="C153" i="14"/>
  <c r="B24" i="13"/>
  <c r="B16" i="13"/>
  <c r="C25" i="4"/>
  <c r="D25" i="4"/>
  <c r="F17" i="4"/>
  <c r="D18" i="4"/>
  <c r="C18" i="4"/>
  <c r="E17" i="4"/>
  <c r="E7" i="4"/>
  <c r="E8" i="4"/>
  <c r="E9" i="4"/>
  <c r="E10" i="4"/>
  <c r="F10" i="4"/>
  <c r="F9" i="4"/>
  <c r="D11" i="4"/>
  <c r="C11" i="4"/>
  <c r="K54" i="2"/>
  <c r="H54" i="2"/>
  <c r="E54" i="2"/>
  <c r="D116" i="14"/>
  <c r="D119" i="14"/>
  <c r="D121" i="14"/>
  <c r="D127" i="14"/>
  <c r="D133" i="14"/>
  <c r="D139" i="14"/>
  <c r="D51" i="14"/>
  <c r="D23" i="14"/>
  <c r="D32" i="3"/>
  <c r="D33" i="3"/>
  <c r="K27" i="19"/>
  <c r="K28" i="19"/>
  <c r="K29" i="19"/>
  <c r="K30" i="19"/>
  <c r="K31" i="19"/>
  <c r="K32" i="19"/>
  <c r="K33" i="19"/>
  <c r="K26" i="19"/>
  <c r="K39" i="19"/>
  <c r="K40" i="19"/>
  <c r="K38" i="19"/>
  <c r="K21" i="19"/>
  <c r="K7" i="19"/>
  <c r="K8" i="19"/>
  <c r="K9" i="19"/>
  <c r="K10" i="19"/>
  <c r="K6" i="19"/>
  <c r="Q33" i="12"/>
  <c r="P33" i="12"/>
  <c r="O33" i="12"/>
  <c r="N33" i="12"/>
  <c r="M33" i="12"/>
  <c r="B86" i="12"/>
  <c r="L54" i="2" l="1"/>
  <c r="F25" i="4"/>
  <c r="L140" i="16"/>
  <c r="L143" i="16" s="1"/>
  <c r="E140" i="16"/>
  <c r="E143" i="16" s="1"/>
  <c r="B140" i="16"/>
  <c r="B143" i="16" s="1"/>
  <c r="G140" i="16"/>
  <c r="G143" i="16" s="1"/>
  <c r="F140" i="16"/>
  <c r="F143" i="16" s="1"/>
  <c r="J143" i="16"/>
  <c r="R129" i="16"/>
  <c r="R140" i="16" s="1"/>
  <c r="R143" i="16" s="1"/>
  <c r="I143" i="16"/>
  <c r="Q143" i="16"/>
  <c r="P143" i="16"/>
  <c r="D140" i="16"/>
  <c r="D143" i="16" s="1"/>
  <c r="E25" i="4"/>
  <c r="C59" i="28"/>
  <c r="C58" i="28"/>
  <c r="S174" i="16" l="1"/>
  <c r="S173" i="16"/>
  <c r="S171" i="16"/>
  <c r="S170" i="16"/>
  <c r="S169" i="16"/>
  <c r="S168" i="16"/>
  <c r="S167" i="16"/>
  <c r="S165" i="16"/>
  <c r="S164" i="16"/>
  <c r="S163" i="16"/>
  <c r="S160" i="16"/>
  <c r="S159" i="16"/>
  <c r="S157" i="16"/>
  <c r="S154" i="16"/>
  <c r="S153" i="16"/>
  <c r="S152" i="16"/>
  <c r="S151" i="16"/>
  <c r="S150" i="16"/>
  <c r="S148" i="16"/>
  <c r="S147" i="16"/>
  <c r="S133" i="29"/>
  <c r="S132" i="29"/>
  <c r="S130" i="29"/>
  <c r="S129" i="29"/>
  <c r="S128" i="29"/>
  <c r="S127" i="29"/>
  <c r="S126" i="29"/>
  <c r="S125" i="29"/>
  <c r="S124" i="29"/>
  <c r="S123" i="29"/>
  <c r="S120" i="29"/>
  <c r="S119" i="29"/>
  <c r="S118" i="29"/>
  <c r="S115" i="29"/>
  <c r="S114" i="29"/>
  <c r="S113" i="29"/>
  <c r="S112" i="29"/>
  <c r="S111" i="29"/>
  <c r="S109" i="29"/>
  <c r="S108" i="29"/>
  <c r="D21" i="14" l="1"/>
  <c r="D20" i="14"/>
  <c r="D19" i="14"/>
  <c r="B22" i="13" l="1"/>
  <c r="D125" i="14"/>
  <c r="D103" i="14"/>
  <c r="D42" i="14"/>
  <c r="D47" i="14"/>
  <c r="M72" i="2"/>
  <c r="I72" i="2"/>
  <c r="J72" i="2"/>
  <c r="F72" i="2"/>
  <c r="G72" i="2"/>
  <c r="D72" i="2"/>
  <c r="C72" i="2"/>
  <c r="M63" i="2" l="1"/>
  <c r="M74" i="2" s="1"/>
  <c r="I63" i="2"/>
  <c r="I74" i="2" s="1"/>
  <c r="J63" i="2"/>
  <c r="J74" i="2" s="1"/>
  <c r="F63" i="2"/>
  <c r="F74" i="2" s="1"/>
  <c r="G63" i="2"/>
  <c r="G74" i="2" s="1"/>
  <c r="D63" i="2"/>
  <c r="D74" i="2" s="1"/>
  <c r="C63" i="2"/>
  <c r="C74" i="2" s="1"/>
  <c r="C23" i="4" l="1"/>
  <c r="D23" i="4"/>
  <c r="D26" i="4" s="1"/>
  <c r="C24" i="4"/>
  <c r="D24" i="4"/>
  <c r="D18" i="14"/>
  <c r="J29" i="19"/>
  <c r="I29" i="19"/>
  <c r="F25" i="19"/>
  <c r="E25" i="19"/>
  <c r="J24" i="19"/>
  <c r="I24" i="19"/>
  <c r="G24" i="19"/>
  <c r="F24" i="19"/>
  <c r="J23" i="19"/>
  <c r="I23" i="19"/>
  <c r="G23" i="19"/>
  <c r="F23" i="19"/>
  <c r="J22" i="19"/>
  <c r="I22" i="19"/>
  <c r="I28" i="19" s="1"/>
  <c r="H22" i="19"/>
  <c r="H29" i="19" s="1"/>
  <c r="G22" i="19"/>
  <c r="G30" i="19" s="1"/>
  <c r="F22" i="19"/>
  <c r="E22" i="19"/>
  <c r="E28" i="19" s="1"/>
  <c r="C26" i="4" l="1"/>
  <c r="E30" i="19"/>
  <c r="E29" i="19"/>
  <c r="H30" i="19"/>
  <c r="I30" i="19"/>
  <c r="F28" i="19"/>
  <c r="J28" i="19"/>
  <c r="G28" i="19"/>
  <c r="F29" i="19"/>
  <c r="H28" i="19"/>
  <c r="G29" i="19"/>
  <c r="F30" i="19"/>
  <c r="J30" i="19"/>
  <c r="B14" i="19" l="1" a="1"/>
  <c r="J14" i="19" s="1"/>
  <c r="B5" i="19" a="1"/>
  <c r="J5" i="19" s="1"/>
  <c r="B86" i="20" a="1"/>
  <c r="J86" i="20" s="1"/>
  <c r="B59" i="20" a="1"/>
  <c r="J59" i="20" s="1"/>
  <c r="B32" i="20" a="1"/>
  <c r="J32" i="20" s="1"/>
  <c r="B5" i="20" a="1"/>
  <c r="J5" i="20" s="1"/>
  <c r="B62" i="21" a="1"/>
  <c r="J62" i="21" s="1"/>
  <c r="B43" i="21" a="1"/>
  <c r="H43" i="21" s="1"/>
  <c r="B24" i="21" a="1"/>
  <c r="J24" i="21" s="1"/>
  <c r="B5" i="21" a="1"/>
  <c r="J5" i="21" s="1"/>
  <c r="B85" i="34" a="1"/>
  <c r="J85" i="34" s="1"/>
  <c r="B65" i="34" a="1"/>
  <c r="J65" i="34" s="1"/>
  <c r="B45" i="34" a="1"/>
  <c r="J45" i="34" s="1"/>
  <c r="B25" i="34" a="1"/>
  <c r="J25" i="34" s="1"/>
  <c r="B5" i="34" a="1"/>
  <c r="J5" i="34" s="1"/>
  <c r="B141" i="23" a="1"/>
  <c r="J141" i="23" s="1"/>
  <c r="B104" i="23" a="1"/>
  <c r="J104" i="23" s="1"/>
  <c r="B71" i="23" a="1"/>
  <c r="J71" i="23" s="1"/>
  <c r="B38" i="23" a="1"/>
  <c r="J38" i="23" s="1"/>
  <c r="B5" i="23" a="1"/>
  <c r="H5" i="23" s="1"/>
  <c r="B65" i="36" a="1"/>
  <c r="J65" i="36" s="1"/>
  <c r="B45" i="36" a="1"/>
  <c r="J45" i="36" s="1"/>
  <c r="B25" i="36" a="1"/>
  <c r="J25" i="36" s="1"/>
  <c r="B5" i="36" a="1"/>
  <c r="J5" i="36" s="1"/>
  <c r="B104" i="25" a="1"/>
  <c r="J104" i="25" s="1"/>
  <c r="B71" i="25" a="1"/>
  <c r="J71" i="25" s="1"/>
  <c r="N38" i="25" a="1"/>
  <c r="V38" i="25" s="1"/>
  <c r="B38" i="25" a="1"/>
  <c r="J38" i="25" s="1"/>
  <c r="B5" i="25" a="1"/>
  <c r="H5" i="25" s="1"/>
  <c r="B5" i="26" a="1"/>
  <c r="C5" i="26" s="1"/>
  <c r="C14" i="19" l="1"/>
  <c r="G14" i="19"/>
  <c r="D14" i="19"/>
  <c r="H14" i="19"/>
  <c r="E14" i="19"/>
  <c r="I14" i="19"/>
  <c r="B14" i="19"/>
  <c r="F14" i="19"/>
  <c r="C5" i="19"/>
  <c r="G5" i="19"/>
  <c r="D5" i="19"/>
  <c r="H5" i="19"/>
  <c r="E5" i="19"/>
  <c r="I5" i="19"/>
  <c r="B5" i="19"/>
  <c r="F5" i="19"/>
  <c r="C86" i="20"/>
  <c r="G86" i="20"/>
  <c r="D86" i="20"/>
  <c r="H86" i="20"/>
  <c r="E86" i="20"/>
  <c r="I86" i="20"/>
  <c r="B86" i="20"/>
  <c r="F86" i="20"/>
  <c r="C59" i="20"/>
  <c r="G59" i="20"/>
  <c r="D59" i="20"/>
  <c r="H59" i="20"/>
  <c r="E59" i="20"/>
  <c r="I59" i="20"/>
  <c r="B59" i="20"/>
  <c r="F59" i="20"/>
  <c r="E32" i="20"/>
  <c r="I32" i="20"/>
  <c r="C32" i="20"/>
  <c r="G32" i="20"/>
  <c r="D32" i="20"/>
  <c r="H32" i="20"/>
  <c r="B32" i="20"/>
  <c r="F32" i="20"/>
  <c r="C5" i="20"/>
  <c r="G5" i="20"/>
  <c r="D5" i="20"/>
  <c r="H5" i="20"/>
  <c r="E5" i="20"/>
  <c r="I5" i="20"/>
  <c r="B5" i="20"/>
  <c r="F5" i="20"/>
  <c r="E62" i="21"/>
  <c r="I62" i="21"/>
  <c r="C62" i="21"/>
  <c r="G62" i="21"/>
  <c r="D62" i="21"/>
  <c r="H62" i="21"/>
  <c r="B62" i="21"/>
  <c r="F62" i="21"/>
  <c r="E43" i="21"/>
  <c r="I43" i="21"/>
  <c r="B43" i="21"/>
  <c r="F43" i="21"/>
  <c r="J43" i="21"/>
  <c r="C43" i="21"/>
  <c r="G43" i="21"/>
  <c r="D43" i="21"/>
  <c r="E24" i="21"/>
  <c r="I24" i="21"/>
  <c r="C24" i="21"/>
  <c r="G24" i="21"/>
  <c r="D24" i="21"/>
  <c r="H24" i="21"/>
  <c r="B24" i="21"/>
  <c r="F24" i="21"/>
  <c r="C5" i="21"/>
  <c r="G5" i="21"/>
  <c r="D5" i="21"/>
  <c r="H5" i="21"/>
  <c r="E5" i="21"/>
  <c r="I5" i="21"/>
  <c r="B5" i="21"/>
  <c r="F5" i="21"/>
  <c r="C85" i="34"/>
  <c r="G85" i="34"/>
  <c r="D85" i="34"/>
  <c r="H85" i="34"/>
  <c r="E85" i="34"/>
  <c r="I85" i="34"/>
  <c r="B85" i="34"/>
  <c r="F85" i="34"/>
  <c r="C65" i="34"/>
  <c r="G65" i="34"/>
  <c r="D65" i="34"/>
  <c r="H65" i="34"/>
  <c r="E65" i="34"/>
  <c r="I65" i="34"/>
  <c r="B65" i="34"/>
  <c r="F65" i="34"/>
  <c r="C45" i="34"/>
  <c r="G45" i="34"/>
  <c r="D45" i="34"/>
  <c r="H45" i="34"/>
  <c r="E45" i="34"/>
  <c r="I45" i="34"/>
  <c r="B45" i="34"/>
  <c r="F45" i="34"/>
  <c r="C25" i="34"/>
  <c r="G25" i="34"/>
  <c r="D25" i="34"/>
  <c r="H25" i="34"/>
  <c r="E25" i="34"/>
  <c r="I25" i="34"/>
  <c r="B25" i="34"/>
  <c r="F25" i="34"/>
  <c r="C5" i="34"/>
  <c r="G5" i="34"/>
  <c r="D5" i="34"/>
  <c r="H5" i="34"/>
  <c r="E5" i="34"/>
  <c r="I5" i="34"/>
  <c r="B5" i="34"/>
  <c r="F5" i="34"/>
  <c r="C141" i="23"/>
  <c r="G141" i="23"/>
  <c r="D141" i="23"/>
  <c r="H141" i="23"/>
  <c r="E141" i="23"/>
  <c r="I141" i="23"/>
  <c r="B141" i="23"/>
  <c r="F141" i="23"/>
  <c r="E104" i="23"/>
  <c r="I104" i="23"/>
  <c r="C104" i="23"/>
  <c r="G104" i="23"/>
  <c r="D104" i="23"/>
  <c r="H104" i="23"/>
  <c r="B104" i="23"/>
  <c r="F104" i="23"/>
  <c r="C71" i="23"/>
  <c r="G71" i="23"/>
  <c r="D71" i="23"/>
  <c r="H71" i="23"/>
  <c r="E71" i="23"/>
  <c r="I71" i="23"/>
  <c r="B71" i="23"/>
  <c r="F71" i="23"/>
  <c r="C38" i="23"/>
  <c r="G38" i="23"/>
  <c r="D38" i="23"/>
  <c r="H38" i="23"/>
  <c r="E38" i="23"/>
  <c r="I38" i="23"/>
  <c r="B38" i="23"/>
  <c r="F38" i="23"/>
  <c r="E5" i="23"/>
  <c r="I5" i="23"/>
  <c r="B5" i="23"/>
  <c r="F5" i="23"/>
  <c r="J5" i="23"/>
  <c r="C5" i="23"/>
  <c r="G5" i="23"/>
  <c r="D5" i="23"/>
  <c r="C65" i="36"/>
  <c r="G65" i="36"/>
  <c r="D65" i="36"/>
  <c r="H65" i="36"/>
  <c r="E65" i="36"/>
  <c r="I65" i="36"/>
  <c r="B65" i="36"/>
  <c r="F65" i="36"/>
  <c r="C45" i="36"/>
  <c r="G45" i="36"/>
  <c r="D45" i="36"/>
  <c r="H45" i="36"/>
  <c r="E45" i="36"/>
  <c r="I45" i="36"/>
  <c r="B45" i="36"/>
  <c r="F45" i="36"/>
  <c r="C25" i="36"/>
  <c r="G25" i="36"/>
  <c r="D25" i="36"/>
  <c r="H25" i="36"/>
  <c r="E25" i="36"/>
  <c r="I25" i="36"/>
  <c r="B25" i="36"/>
  <c r="F25" i="36"/>
  <c r="C5" i="36"/>
  <c r="G5" i="36"/>
  <c r="D5" i="36"/>
  <c r="H5" i="36"/>
  <c r="E5" i="36"/>
  <c r="I5" i="36"/>
  <c r="B5" i="36"/>
  <c r="F5" i="36"/>
  <c r="C104" i="25"/>
  <c r="G104" i="25"/>
  <c r="D104" i="25"/>
  <c r="H104" i="25"/>
  <c r="E104" i="25"/>
  <c r="I104" i="25"/>
  <c r="B104" i="25"/>
  <c r="F104" i="25"/>
  <c r="C71" i="25"/>
  <c r="G71" i="25"/>
  <c r="D71" i="25"/>
  <c r="H71" i="25"/>
  <c r="E71" i="25"/>
  <c r="I71" i="25"/>
  <c r="B71" i="25"/>
  <c r="F71" i="25"/>
  <c r="O38" i="25"/>
  <c r="S38" i="25"/>
  <c r="P38" i="25"/>
  <c r="T38" i="25"/>
  <c r="Q38" i="25"/>
  <c r="U38" i="25"/>
  <c r="N38" i="25"/>
  <c r="R38" i="25"/>
  <c r="C38" i="25"/>
  <c r="G38" i="25"/>
  <c r="D38" i="25"/>
  <c r="H38" i="25"/>
  <c r="E38" i="25"/>
  <c r="I38" i="25"/>
  <c r="B38" i="25"/>
  <c r="F38" i="25"/>
  <c r="E5" i="25"/>
  <c r="B5" i="25"/>
  <c r="J5" i="25"/>
  <c r="C5" i="25"/>
  <c r="G5" i="25"/>
  <c r="I5" i="25"/>
  <c r="F5" i="25"/>
  <c r="D5" i="25"/>
  <c r="H5" i="26"/>
  <c r="D5" i="26"/>
  <c r="J5" i="26"/>
  <c r="F5" i="26"/>
  <c r="B5" i="26"/>
  <c r="I5" i="26"/>
  <c r="E5" i="26"/>
  <c r="G5" i="26"/>
  <c r="B5" i="15" l="1" a="1"/>
  <c r="P5" i="15" s="1"/>
  <c r="R9" i="7"/>
  <c r="B10" i="6" s="1"/>
  <c r="B105" i="15" s="1"/>
  <c r="B38" i="15" a="1"/>
  <c r="B38" i="15" s="1"/>
  <c r="A6" i="34" a="1"/>
  <c r="A6" i="34" s="1"/>
  <c r="B5" i="24" a="1"/>
  <c r="B5" i="24" s="1"/>
  <c r="X216" i="15"/>
  <c r="E15" i="4"/>
  <c r="E16" i="4"/>
  <c r="B5" i="12" a="1"/>
  <c r="G5" i="12" s="1"/>
  <c r="O5" i="12"/>
  <c r="B21" i="12" a="1"/>
  <c r="K21" i="12"/>
  <c r="K33" i="12" s="1"/>
  <c r="M23" i="12"/>
  <c r="N23" i="12"/>
  <c r="O23" i="12"/>
  <c r="P23" i="12"/>
  <c r="Q23" i="12"/>
  <c r="M25" i="12"/>
  <c r="N25" i="12"/>
  <c r="O25" i="12"/>
  <c r="P25" i="12"/>
  <c r="Q25" i="12"/>
  <c r="M26" i="12"/>
  <c r="N26" i="12"/>
  <c r="O26" i="12"/>
  <c r="P26" i="12"/>
  <c r="Q26" i="12"/>
  <c r="M27" i="12"/>
  <c r="N27" i="12"/>
  <c r="O27" i="12"/>
  <c r="P27" i="12"/>
  <c r="Q27" i="12"/>
  <c r="M28" i="12"/>
  <c r="N28" i="12"/>
  <c r="O28" i="12"/>
  <c r="P28" i="12"/>
  <c r="Q28" i="12"/>
  <c r="M29" i="12"/>
  <c r="N29" i="12"/>
  <c r="O29" i="12"/>
  <c r="P29" i="12"/>
  <c r="Q29" i="12"/>
  <c r="M31" i="12"/>
  <c r="N31" i="12"/>
  <c r="O31" i="12"/>
  <c r="P31" i="12"/>
  <c r="Q31" i="12"/>
  <c r="D7" i="14"/>
  <c r="D48" i="14"/>
  <c r="D43" i="14"/>
  <c r="D15" i="14"/>
  <c r="D14" i="14"/>
  <c r="D13" i="14"/>
  <c r="D12" i="14"/>
  <c r="D11" i="14"/>
  <c r="D140" i="14"/>
  <c r="D60" i="14"/>
  <c r="D68" i="14"/>
  <c r="D39" i="14"/>
  <c r="D38" i="14"/>
  <c r="D27" i="14"/>
  <c r="D22" i="14"/>
  <c r="D122" i="14"/>
  <c r="D123" i="14"/>
  <c r="D124" i="14"/>
  <c r="D126" i="14"/>
  <c r="D128" i="14"/>
  <c r="B71" i="15" a="1"/>
  <c r="D71" i="15" s="1"/>
  <c r="B38" i="16" a="1"/>
  <c r="E38" i="16" s="1"/>
  <c r="B36" i="29" a="1"/>
  <c r="D36" i="29" s="1"/>
  <c r="B49" i="9" a="1"/>
  <c r="M49" i="9" s="1"/>
  <c r="B24" i="8" a="1"/>
  <c r="J24" i="8"/>
  <c r="A6" i="36" a="1"/>
  <c r="A18" i="36" s="1"/>
  <c r="A10" i="36"/>
  <c r="A26" i="36" a="1"/>
  <c r="A66" i="36" a="1"/>
  <c r="A46" i="36" a="1"/>
  <c r="A26" i="34" a="1"/>
  <c r="A46" i="34" a="1"/>
  <c r="A55" i="34" s="1"/>
  <c r="A66" i="34" a="1"/>
  <c r="A70" i="34" s="1"/>
  <c r="A86" i="34" a="1"/>
  <c r="A101" i="34" s="1"/>
  <c r="A6" i="21" a="1"/>
  <c r="A10" i="21" s="1"/>
  <c r="A25" i="21" a="1"/>
  <c r="A44" i="21" a="1"/>
  <c r="A63" i="21" a="1"/>
  <c r="A6" i="22" a="1"/>
  <c r="A13" i="22" s="1"/>
  <c r="B137" i="24" a="1"/>
  <c r="B104" i="24" a="1"/>
  <c r="O104" i="24" s="1"/>
  <c r="B71" i="24" a="1"/>
  <c r="C71" i="24" s="1"/>
  <c r="B38" i="24" a="1"/>
  <c r="I38" i="24" s="1"/>
  <c r="B192" i="15" a="1"/>
  <c r="B192" i="15" s="1"/>
  <c r="B159" i="15" a="1"/>
  <c r="P159" i="15" s="1"/>
  <c r="B126" i="15" a="1"/>
  <c r="N126" i="15" s="1"/>
  <c r="B104" i="15" a="1"/>
  <c r="I104" i="15" s="1"/>
  <c r="B145" i="16" a="1"/>
  <c r="N145" i="16" s="1"/>
  <c r="B80" i="16" a="1"/>
  <c r="G80" i="16" s="1"/>
  <c r="B71" i="16" a="1"/>
  <c r="K71" i="16" s="1"/>
  <c r="B5" i="16" a="1"/>
  <c r="Q5" i="16" s="1"/>
  <c r="B106" i="29" a="1"/>
  <c r="O106" i="29" s="1"/>
  <c r="B75" i="29" a="1"/>
  <c r="B67" i="29" a="1"/>
  <c r="B5" i="29" a="1"/>
  <c r="F5" i="29" s="1"/>
  <c r="B242" i="9" a="1"/>
  <c r="H242" i="9" s="1"/>
  <c r="B198" i="9" a="1"/>
  <c r="B198" i="9" s="1"/>
  <c r="B154" i="9" a="1"/>
  <c r="K154" i="9" s="1"/>
  <c r="B110" i="9" a="1"/>
  <c r="F110" i="9" s="1"/>
  <c r="B93" i="9" a="1"/>
  <c r="D93" i="9" s="1"/>
  <c r="B5" i="9" a="1"/>
  <c r="K5" i="9" s="1"/>
  <c r="K35" i="9" s="1"/>
  <c r="B67" i="10" a="1"/>
  <c r="M67" i="10" s="1"/>
  <c r="B48" i="10" a="1"/>
  <c r="Q48" i="10" s="1"/>
  <c r="B43" i="10" a="1"/>
  <c r="N43" i="10" s="1"/>
  <c r="B5" i="10" a="1"/>
  <c r="B67" i="12" a="1"/>
  <c r="Q67" i="12" s="1"/>
  <c r="B51" i="12" a="1"/>
  <c r="B37" i="12" a="1"/>
  <c r="B37" i="12" s="1"/>
  <c r="B112" i="8" a="1"/>
  <c r="B93" i="8" a="1"/>
  <c r="H93" i="8" s="1"/>
  <c r="B74" i="8" a="1"/>
  <c r="Q74" i="8" s="1"/>
  <c r="B55" i="8" a="1"/>
  <c r="B43" i="8" a="1"/>
  <c r="J43" i="8" s="1"/>
  <c r="B5" i="8" a="1"/>
  <c r="Q5" i="8" s="1"/>
  <c r="Q15" i="8" s="1"/>
  <c r="B5" i="6" a="1"/>
  <c r="B5" i="7" a="1"/>
  <c r="N5" i="7" s="1"/>
  <c r="B13" i="7" a="1"/>
  <c r="J13" i="7" s="1"/>
  <c r="B58" i="7" a="1"/>
  <c r="Q58" i="7" s="1"/>
  <c r="B72" i="28" a="1"/>
  <c r="Q72" i="28" s="1"/>
  <c r="B47" i="28" a="1"/>
  <c r="L47" i="28" s="1"/>
  <c r="B35" i="28" a="1"/>
  <c r="B35" i="28" s="1"/>
  <c r="B22" i="28" a="1"/>
  <c r="B22" i="28" s="1"/>
  <c r="A31" i="36"/>
  <c r="A11" i="36"/>
  <c r="E38" i="15"/>
  <c r="E59" i="15" s="1"/>
  <c r="A51" i="36"/>
  <c r="A46" i="36"/>
  <c r="A54" i="36"/>
  <c r="A74" i="36"/>
  <c r="A55" i="36"/>
  <c r="A26" i="36"/>
  <c r="A34" i="36"/>
  <c r="A6" i="36"/>
  <c r="A14" i="36"/>
  <c r="E36" i="29"/>
  <c r="E45" i="29" s="1"/>
  <c r="A26" i="21"/>
  <c r="A31" i="21"/>
  <c r="A37" i="21"/>
  <c r="A50" i="36"/>
  <c r="A58" i="36"/>
  <c r="A35" i="36"/>
  <c r="A7" i="36"/>
  <c r="A15" i="36"/>
  <c r="C36" i="29"/>
  <c r="G24" i="8"/>
  <c r="D24" i="8"/>
  <c r="C24" i="8"/>
  <c r="B24" i="8"/>
  <c r="B29" i="8" s="1"/>
  <c r="E24" i="8"/>
  <c r="F24" i="8"/>
  <c r="A19" i="36"/>
  <c r="A8" i="36"/>
  <c r="A12" i="36"/>
  <c r="A16" i="36"/>
  <c r="A20" i="36"/>
  <c r="A9" i="36"/>
  <c r="A13" i="36"/>
  <c r="A17" i="36"/>
  <c r="A39" i="36"/>
  <c r="A28" i="36"/>
  <c r="A36" i="36"/>
  <c r="A40" i="36"/>
  <c r="A29" i="36"/>
  <c r="A37" i="36"/>
  <c r="A68" i="36"/>
  <c r="A77" i="36"/>
  <c r="A48" i="36"/>
  <c r="A52" i="36"/>
  <c r="A56" i="36"/>
  <c r="A49" i="36"/>
  <c r="A53" i="36"/>
  <c r="A57" i="36"/>
  <c r="A9" i="21"/>
  <c r="A36" i="21"/>
  <c r="A47" i="21"/>
  <c r="A12" i="22"/>
  <c r="A19" i="22"/>
  <c r="A7" i="22"/>
  <c r="A21" i="22"/>
  <c r="A17" i="22"/>
  <c r="A8" i="22"/>
  <c r="A18" i="22"/>
  <c r="A10" i="22"/>
  <c r="P106" i="29"/>
  <c r="G75" i="29"/>
  <c r="F75" i="29"/>
  <c r="J75" i="29"/>
  <c r="L75" i="29"/>
  <c r="P75" i="29"/>
  <c r="G67" i="29"/>
  <c r="M67" i="29"/>
  <c r="O5" i="29"/>
  <c r="O31" i="29" s="1"/>
  <c r="P5" i="29"/>
  <c r="P25" i="29" s="1"/>
  <c r="J67" i="10"/>
  <c r="N67" i="10"/>
  <c r="I67" i="10"/>
  <c r="F48" i="10"/>
  <c r="J48" i="10"/>
  <c r="N48" i="10"/>
  <c r="G48" i="10"/>
  <c r="K48" i="10"/>
  <c r="O48" i="10"/>
  <c r="H48" i="10"/>
  <c r="L48" i="10"/>
  <c r="P48" i="10"/>
  <c r="I48" i="10"/>
  <c r="M48" i="10"/>
  <c r="K43" i="10"/>
  <c r="F5" i="10"/>
  <c r="F7" i="10" s="1"/>
  <c r="N67" i="12"/>
  <c r="C67" i="12"/>
  <c r="G67" i="12"/>
  <c r="K67" i="12"/>
  <c r="O67" i="12"/>
  <c r="B67" i="12"/>
  <c r="F67" i="12"/>
  <c r="J67" i="12"/>
  <c r="D67" i="12"/>
  <c r="H67" i="12"/>
  <c r="L67" i="12"/>
  <c r="P67" i="12"/>
  <c r="E67" i="12"/>
  <c r="I67" i="12"/>
  <c r="M67" i="12"/>
  <c r="G51" i="12"/>
  <c r="M51" i="12"/>
  <c r="D37" i="12"/>
  <c r="H37" i="12"/>
  <c r="N112" i="8"/>
  <c r="D112" i="8"/>
  <c r="M112" i="8"/>
  <c r="J93" i="8"/>
  <c r="N93" i="8"/>
  <c r="G93" i="8"/>
  <c r="K93" i="8"/>
  <c r="O93" i="8"/>
  <c r="L93" i="8"/>
  <c r="P93" i="8"/>
  <c r="I93" i="8"/>
  <c r="M93" i="8"/>
  <c r="B74" i="8"/>
  <c r="N74" i="8"/>
  <c r="C74" i="8"/>
  <c r="D74" i="8"/>
  <c r="P74" i="8"/>
  <c r="E74" i="8"/>
  <c r="J55" i="8"/>
  <c r="O55" i="8"/>
  <c r="N5" i="6"/>
  <c r="H5" i="7"/>
  <c r="N13" i="7"/>
  <c r="N15" i="7" s="1"/>
  <c r="N17" i="7" s="1"/>
  <c r="K13" i="7"/>
  <c r="K15" i="7" s="1"/>
  <c r="K17" i="7" s="1"/>
  <c r="D13" i="7"/>
  <c r="D15" i="7" s="1"/>
  <c r="D17" i="7" s="1"/>
  <c r="L13" i="7"/>
  <c r="L15" i="7" s="1"/>
  <c r="L17" i="7" s="1"/>
  <c r="P58" i="7"/>
  <c r="B72" i="28"/>
  <c r="K72" i="28"/>
  <c r="M47" i="28"/>
  <c r="J35" i="28"/>
  <c r="C35" i="28"/>
  <c r="D35" i="28"/>
  <c r="E35" i="28"/>
  <c r="Q22" i="28"/>
  <c r="P22" i="28"/>
  <c r="O22" i="28"/>
  <c r="L88" i="20"/>
  <c r="L61" i="20"/>
  <c r="L34" i="20"/>
  <c r="E7" i="18"/>
  <c r="A87" i="20" a="1"/>
  <c r="A110" i="20" s="1"/>
  <c r="A60" i="20" a="1"/>
  <c r="A68" i="20" s="1"/>
  <c r="A33" i="20" a="1"/>
  <c r="A56" i="20" s="1"/>
  <c r="A6" i="20" a="1"/>
  <c r="A20" i="20" s="1"/>
  <c r="A33" i="18" a="1"/>
  <c r="A33" i="18" s="1"/>
  <c r="A6" i="18" a="1"/>
  <c r="A7" i="18" s="1"/>
  <c r="S273" i="9"/>
  <c r="S245" i="9"/>
  <c r="B24" i="10" a="1"/>
  <c r="C24" i="10" s="1"/>
  <c r="D145" i="14"/>
  <c r="D159" i="14"/>
  <c r="D158" i="14"/>
  <c r="D157" i="14"/>
  <c r="D156" i="14"/>
  <c r="D155" i="14"/>
  <c r="D154" i="14"/>
  <c r="D153" i="14"/>
  <c r="D152" i="14"/>
  <c r="D151" i="14"/>
  <c r="D150" i="14"/>
  <c r="D149" i="14"/>
  <c r="D148" i="14"/>
  <c r="D147" i="14"/>
  <c r="D146" i="14"/>
  <c r="K22" i="26"/>
  <c r="Q62" i="29"/>
  <c r="P62" i="29"/>
  <c r="O62" i="29"/>
  <c r="N62" i="29"/>
  <c r="M62" i="29"/>
  <c r="L62" i="29"/>
  <c r="K62" i="29"/>
  <c r="J62" i="29"/>
  <c r="I62" i="29"/>
  <c r="H62" i="29"/>
  <c r="G62" i="29"/>
  <c r="Q99" i="15"/>
  <c r="P99" i="15"/>
  <c r="O99" i="15"/>
  <c r="N99" i="15"/>
  <c r="M99" i="15"/>
  <c r="L99" i="15"/>
  <c r="K99" i="15"/>
  <c r="J99" i="15"/>
  <c r="I99" i="15"/>
  <c r="H99" i="15"/>
  <c r="G99" i="15"/>
  <c r="F99" i="15"/>
  <c r="Q66" i="15"/>
  <c r="Q66" i="16"/>
  <c r="P66" i="16"/>
  <c r="O66" i="16"/>
  <c r="N66" i="16"/>
  <c r="M66" i="16"/>
  <c r="L66" i="16"/>
  <c r="K66" i="16"/>
  <c r="J66" i="16"/>
  <c r="I66" i="16"/>
  <c r="H66" i="16"/>
  <c r="G66" i="16"/>
  <c r="B32" i="13"/>
  <c r="R85" i="9"/>
  <c r="B30" i="8"/>
  <c r="B34" i="8"/>
  <c r="B31" i="8"/>
  <c r="C6" i="26"/>
  <c r="E6" i="26"/>
  <c r="F6" i="26"/>
  <c r="G6" i="26"/>
  <c r="H6" i="26"/>
  <c r="I6" i="26"/>
  <c r="J6" i="26"/>
  <c r="K37" i="19"/>
  <c r="S82" i="15"/>
  <c r="Q100" i="15"/>
  <c r="P100" i="15"/>
  <c r="O100" i="15"/>
  <c r="N100" i="15"/>
  <c r="M100" i="15"/>
  <c r="L100" i="15"/>
  <c r="K100" i="15"/>
  <c r="J100" i="15"/>
  <c r="I100" i="15"/>
  <c r="H100" i="15"/>
  <c r="G100" i="15"/>
  <c r="F100" i="15"/>
  <c r="Q97" i="15"/>
  <c r="P97" i="15"/>
  <c r="O97" i="15"/>
  <c r="N97" i="15"/>
  <c r="M97" i="15"/>
  <c r="L97" i="15"/>
  <c r="K97" i="15"/>
  <c r="J97" i="15"/>
  <c r="I97" i="15"/>
  <c r="H97" i="15"/>
  <c r="G97" i="15"/>
  <c r="F97" i="15"/>
  <c r="Q96" i="15"/>
  <c r="P96" i="15"/>
  <c r="O96" i="15"/>
  <c r="N96" i="15"/>
  <c r="M96" i="15"/>
  <c r="L96" i="15"/>
  <c r="K96" i="15"/>
  <c r="J96" i="15"/>
  <c r="I96" i="15"/>
  <c r="H96" i="15"/>
  <c r="G96" i="15"/>
  <c r="F96" i="15"/>
  <c r="Q93" i="15"/>
  <c r="P93" i="15"/>
  <c r="O93" i="15"/>
  <c r="N93" i="15"/>
  <c r="M93" i="15"/>
  <c r="L93" i="15"/>
  <c r="K93" i="15"/>
  <c r="J93" i="15"/>
  <c r="I93" i="15"/>
  <c r="H93" i="15"/>
  <c r="G93" i="15"/>
  <c r="F93" i="15"/>
  <c r="Q91" i="15"/>
  <c r="P91" i="15"/>
  <c r="O91" i="15"/>
  <c r="N91" i="15"/>
  <c r="M91" i="15"/>
  <c r="L91" i="15"/>
  <c r="K91" i="15"/>
  <c r="J91" i="15"/>
  <c r="I91" i="15"/>
  <c r="H91" i="15"/>
  <c r="G91" i="15"/>
  <c r="F91" i="15"/>
  <c r="Q90" i="15"/>
  <c r="P90" i="15"/>
  <c r="O90" i="15"/>
  <c r="N90" i="15"/>
  <c r="M90" i="15"/>
  <c r="L90" i="15"/>
  <c r="K90" i="15"/>
  <c r="J90" i="15"/>
  <c r="I90" i="15"/>
  <c r="H90" i="15"/>
  <c r="G90" i="15"/>
  <c r="F90" i="15"/>
  <c r="Q89" i="15"/>
  <c r="P89" i="15"/>
  <c r="O89" i="15"/>
  <c r="N89" i="15"/>
  <c r="M89" i="15"/>
  <c r="L89" i="15"/>
  <c r="K89" i="15"/>
  <c r="J89" i="15"/>
  <c r="I89" i="15"/>
  <c r="H89" i="15"/>
  <c r="G89" i="15"/>
  <c r="F89" i="15"/>
  <c r="Q85" i="15"/>
  <c r="P85" i="15"/>
  <c r="O85" i="15"/>
  <c r="N85" i="15"/>
  <c r="M85" i="15"/>
  <c r="L85" i="15"/>
  <c r="K85" i="15"/>
  <c r="J85" i="15"/>
  <c r="I85" i="15"/>
  <c r="H85" i="15"/>
  <c r="G85" i="15"/>
  <c r="F85" i="15"/>
  <c r="Q83" i="15"/>
  <c r="P83" i="15"/>
  <c r="O83" i="15"/>
  <c r="N83" i="15"/>
  <c r="M83" i="15"/>
  <c r="L83" i="15"/>
  <c r="K83" i="15"/>
  <c r="J83" i="15"/>
  <c r="I83" i="15"/>
  <c r="H83" i="15"/>
  <c r="G83" i="15"/>
  <c r="F83" i="15"/>
  <c r="Q80" i="15"/>
  <c r="P80" i="15"/>
  <c r="O80" i="15"/>
  <c r="N80" i="15"/>
  <c r="M80" i="15"/>
  <c r="L80" i="15"/>
  <c r="K80" i="15"/>
  <c r="J80" i="15"/>
  <c r="I80" i="15"/>
  <c r="H80" i="15"/>
  <c r="G80" i="15"/>
  <c r="F80" i="15"/>
  <c r="Q79" i="15"/>
  <c r="P79" i="15"/>
  <c r="O79" i="15"/>
  <c r="N79" i="15"/>
  <c r="M79" i="15"/>
  <c r="L79" i="15"/>
  <c r="K79" i="15"/>
  <c r="J79" i="15"/>
  <c r="I79" i="15"/>
  <c r="H79" i="15"/>
  <c r="G79" i="15"/>
  <c r="F79" i="15"/>
  <c r="Q78" i="15"/>
  <c r="P78" i="15"/>
  <c r="O78" i="15"/>
  <c r="N78" i="15"/>
  <c r="M78" i="15"/>
  <c r="L78" i="15"/>
  <c r="K78" i="15"/>
  <c r="J78" i="15"/>
  <c r="I78" i="15"/>
  <c r="H78" i="15"/>
  <c r="G78" i="15"/>
  <c r="F78" i="15"/>
  <c r="Q77" i="15"/>
  <c r="P77" i="15"/>
  <c r="O77" i="15"/>
  <c r="N77" i="15"/>
  <c r="M77" i="15"/>
  <c r="L77" i="15"/>
  <c r="K77" i="15"/>
  <c r="J77" i="15"/>
  <c r="I77" i="15"/>
  <c r="H77" i="15"/>
  <c r="G77" i="15"/>
  <c r="F77" i="15"/>
  <c r="Q76" i="15"/>
  <c r="P76" i="15"/>
  <c r="O76" i="15"/>
  <c r="N76" i="15"/>
  <c r="M76" i="15"/>
  <c r="L76" i="15"/>
  <c r="K76" i="15"/>
  <c r="J76" i="15"/>
  <c r="I76" i="15"/>
  <c r="H76" i="15"/>
  <c r="G76" i="15"/>
  <c r="F76" i="15"/>
  <c r="Q74" i="15"/>
  <c r="P74" i="15"/>
  <c r="O74" i="15"/>
  <c r="N74" i="15"/>
  <c r="M74" i="15"/>
  <c r="L74" i="15"/>
  <c r="K74" i="15"/>
  <c r="J74" i="15"/>
  <c r="I74" i="15"/>
  <c r="H74" i="15"/>
  <c r="G74" i="15"/>
  <c r="F74" i="15"/>
  <c r="Q73" i="15"/>
  <c r="P73" i="15"/>
  <c r="O73" i="15"/>
  <c r="N73" i="15"/>
  <c r="M73" i="15"/>
  <c r="L73" i="15"/>
  <c r="K73" i="15"/>
  <c r="J73" i="15"/>
  <c r="I73" i="15"/>
  <c r="H73" i="15"/>
  <c r="G73" i="15"/>
  <c r="F73" i="15"/>
  <c r="B140" i="29"/>
  <c r="Q63" i="29"/>
  <c r="P63" i="29"/>
  <c r="O63" i="29"/>
  <c r="N63" i="29"/>
  <c r="M63" i="29"/>
  <c r="L63" i="29"/>
  <c r="K63" i="29"/>
  <c r="J63" i="29"/>
  <c r="I63" i="29"/>
  <c r="H63" i="29"/>
  <c r="G63" i="29"/>
  <c r="Q60" i="29"/>
  <c r="P60" i="29"/>
  <c r="O60" i="29"/>
  <c r="N60" i="29"/>
  <c r="M60" i="29"/>
  <c r="L60" i="29"/>
  <c r="K60" i="29"/>
  <c r="J60" i="29"/>
  <c r="I60" i="29"/>
  <c r="H60" i="29"/>
  <c r="G60" i="29"/>
  <c r="Q59" i="29"/>
  <c r="P59" i="29"/>
  <c r="O59" i="29"/>
  <c r="N59" i="29"/>
  <c r="M59" i="29"/>
  <c r="L59" i="29"/>
  <c r="K59" i="29"/>
  <c r="J59" i="29"/>
  <c r="I59" i="29"/>
  <c r="H59" i="29"/>
  <c r="G59" i="29"/>
  <c r="Q56" i="29"/>
  <c r="P56" i="29"/>
  <c r="O56" i="29"/>
  <c r="N56" i="29"/>
  <c r="M56" i="29"/>
  <c r="L56" i="29"/>
  <c r="K56" i="29"/>
  <c r="J56" i="29"/>
  <c r="I56" i="29"/>
  <c r="H56" i="29"/>
  <c r="G56" i="29"/>
  <c r="Q55" i="29"/>
  <c r="P55" i="29"/>
  <c r="O55" i="29"/>
  <c r="N55" i="29"/>
  <c r="M55" i="29"/>
  <c r="L55" i="29"/>
  <c r="K55" i="29"/>
  <c r="J55" i="29"/>
  <c r="I55" i="29"/>
  <c r="H55" i="29"/>
  <c r="G55" i="29"/>
  <c r="Q54" i="29"/>
  <c r="P54" i="29"/>
  <c r="O54" i="29"/>
  <c r="N54" i="29"/>
  <c r="M54" i="29"/>
  <c r="L54" i="29"/>
  <c r="K54" i="29"/>
  <c r="J54" i="29"/>
  <c r="I54" i="29"/>
  <c r="H54" i="29"/>
  <c r="G54" i="29"/>
  <c r="Q53" i="29"/>
  <c r="P53" i="29"/>
  <c r="O53" i="29"/>
  <c r="N53" i="29"/>
  <c r="M53" i="29"/>
  <c r="L53" i="29"/>
  <c r="K53" i="29"/>
  <c r="J53" i="29"/>
  <c r="I53" i="29"/>
  <c r="H53" i="29"/>
  <c r="G53" i="29"/>
  <c r="Q49" i="29"/>
  <c r="P49" i="29"/>
  <c r="O49" i="29"/>
  <c r="N49" i="29"/>
  <c r="M49" i="29"/>
  <c r="L49" i="29"/>
  <c r="K49" i="29"/>
  <c r="J49" i="29"/>
  <c r="I49" i="29"/>
  <c r="H49" i="29"/>
  <c r="G49" i="29"/>
  <c r="Q48" i="29"/>
  <c r="P48" i="29"/>
  <c r="O48" i="29"/>
  <c r="N48" i="29"/>
  <c r="M48" i="29"/>
  <c r="L48" i="29"/>
  <c r="K48" i="29"/>
  <c r="J48" i="29"/>
  <c r="I48" i="29"/>
  <c r="H48" i="29"/>
  <c r="G48" i="29"/>
  <c r="Q45" i="29"/>
  <c r="P45" i="29"/>
  <c r="O45" i="29"/>
  <c r="N45" i="29"/>
  <c r="M45" i="29"/>
  <c r="L45" i="29"/>
  <c r="K45" i="29"/>
  <c r="J45" i="29"/>
  <c r="I45" i="29"/>
  <c r="H45" i="29"/>
  <c r="G45" i="29"/>
  <c r="Q44" i="29"/>
  <c r="P44" i="29"/>
  <c r="O44" i="29"/>
  <c r="N44" i="29"/>
  <c r="M44" i="29"/>
  <c r="L44" i="29"/>
  <c r="K44" i="29"/>
  <c r="J44" i="29"/>
  <c r="I44" i="29"/>
  <c r="H44" i="29"/>
  <c r="G44" i="29"/>
  <c r="Q43" i="29"/>
  <c r="P43" i="29"/>
  <c r="O43" i="29"/>
  <c r="N43" i="29"/>
  <c r="M43" i="29"/>
  <c r="L43" i="29"/>
  <c r="K43" i="29"/>
  <c r="J43" i="29"/>
  <c r="I43" i="29"/>
  <c r="H43" i="29"/>
  <c r="G43" i="29"/>
  <c r="Q42" i="29"/>
  <c r="P42" i="29"/>
  <c r="O42" i="29"/>
  <c r="N42" i="29"/>
  <c r="M42" i="29"/>
  <c r="L42" i="29"/>
  <c r="K42" i="29"/>
  <c r="J42" i="29"/>
  <c r="I42" i="29"/>
  <c r="H42" i="29"/>
  <c r="G42" i="29"/>
  <c r="Q41" i="29"/>
  <c r="P41" i="29"/>
  <c r="O41" i="29"/>
  <c r="N41" i="29"/>
  <c r="M41" i="29"/>
  <c r="L41" i="29"/>
  <c r="K41" i="29"/>
  <c r="J41" i="29"/>
  <c r="I41" i="29"/>
  <c r="H41" i="29"/>
  <c r="G41" i="29"/>
  <c r="Q39" i="29"/>
  <c r="P39" i="29"/>
  <c r="O39" i="29"/>
  <c r="N39" i="29"/>
  <c r="M39" i="29"/>
  <c r="L39" i="29"/>
  <c r="K39" i="29"/>
  <c r="J39" i="29"/>
  <c r="I39" i="29"/>
  <c r="H39" i="29"/>
  <c r="G39" i="29"/>
  <c r="Q38" i="29"/>
  <c r="P38" i="29"/>
  <c r="O38" i="29"/>
  <c r="N38" i="29"/>
  <c r="M38" i="29"/>
  <c r="L38" i="29"/>
  <c r="K38" i="29"/>
  <c r="J38" i="29"/>
  <c r="I38" i="29"/>
  <c r="H38" i="29"/>
  <c r="G38" i="29"/>
  <c r="R91" i="29"/>
  <c r="Q52" i="29"/>
  <c r="P52" i="29"/>
  <c r="O52" i="29"/>
  <c r="N52" i="29"/>
  <c r="M52" i="29"/>
  <c r="L52" i="29"/>
  <c r="K52" i="29"/>
  <c r="J52" i="29"/>
  <c r="I52" i="29"/>
  <c r="H52" i="29"/>
  <c r="G52" i="29"/>
  <c r="D144" i="14"/>
  <c r="D143" i="14"/>
  <c r="D142" i="14"/>
  <c r="D141" i="14"/>
  <c r="D138" i="14"/>
  <c r="D137" i="14"/>
  <c r="D136" i="14"/>
  <c r="D135" i="14"/>
  <c r="D134" i="14"/>
  <c r="D132" i="14"/>
  <c r="D131" i="14"/>
  <c r="D130" i="14"/>
  <c r="D129" i="14"/>
  <c r="D120" i="14"/>
  <c r="D118" i="14"/>
  <c r="D117" i="14"/>
  <c r="D115" i="14"/>
  <c r="D114" i="14"/>
  <c r="D113" i="14"/>
  <c r="D112" i="14"/>
  <c r="D111" i="14"/>
  <c r="D110" i="14"/>
  <c r="D109" i="14"/>
  <c r="D108" i="14"/>
  <c r="D107" i="14"/>
  <c r="D106" i="14"/>
  <c r="D105" i="14"/>
  <c r="D104" i="14"/>
  <c r="D102" i="14"/>
  <c r="D101" i="14"/>
  <c r="D100" i="14"/>
  <c r="D99" i="14"/>
  <c r="D98" i="14"/>
  <c r="D97" i="14"/>
  <c r="D96" i="14"/>
  <c r="D95" i="14"/>
  <c r="D94" i="14"/>
  <c r="D93" i="14"/>
  <c r="D92" i="14"/>
  <c r="D91" i="14"/>
  <c r="D90" i="14"/>
  <c r="D89" i="14"/>
  <c r="D84" i="14"/>
  <c r="D83" i="14"/>
  <c r="D82" i="14"/>
  <c r="D81" i="14"/>
  <c r="D80" i="14"/>
  <c r="D79" i="14"/>
  <c r="D78" i="14"/>
  <c r="D77" i="14"/>
  <c r="D76" i="14"/>
  <c r="D75" i="14"/>
  <c r="D74" i="14"/>
  <c r="D73" i="14"/>
  <c r="D72" i="14"/>
  <c r="D71" i="14"/>
  <c r="D70" i="14"/>
  <c r="D69" i="14"/>
  <c r="D67" i="14"/>
  <c r="D66" i="14"/>
  <c r="D65" i="14"/>
  <c r="D64" i="14"/>
  <c r="D63" i="14"/>
  <c r="D62" i="14"/>
  <c r="D61" i="14"/>
  <c r="D59" i="14"/>
  <c r="D58" i="14"/>
  <c r="D57" i="14"/>
  <c r="D56" i="14"/>
  <c r="D55" i="14"/>
  <c r="D54" i="14"/>
  <c r="D53" i="14"/>
  <c r="D52" i="14"/>
  <c r="D50" i="14"/>
  <c r="D49" i="14"/>
  <c r="D46" i="14"/>
  <c r="D45" i="14"/>
  <c r="D44" i="14"/>
  <c r="D41" i="14"/>
  <c r="D40" i="14"/>
  <c r="D37" i="14"/>
  <c r="D36" i="14"/>
  <c r="D35" i="14"/>
  <c r="D34" i="14"/>
  <c r="D33" i="14"/>
  <c r="D32" i="14"/>
  <c r="D31" i="14"/>
  <c r="D30" i="14"/>
  <c r="D29" i="14"/>
  <c r="D28" i="14"/>
  <c r="D26" i="14"/>
  <c r="D25" i="14"/>
  <c r="D24" i="14"/>
  <c r="D17" i="14"/>
  <c r="D16" i="14"/>
  <c r="D10" i="14"/>
  <c r="D9" i="14"/>
  <c r="D8" i="14"/>
  <c r="D6" i="14"/>
  <c r="C62" i="29"/>
  <c r="D55" i="29"/>
  <c r="D48" i="29"/>
  <c r="D54" i="29"/>
  <c r="D45" i="29"/>
  <c r="D53" i="29"/>
  <c r="D44" i="29"/>
  <c r="D56" i="29"/>
  <c r="D49" i="29"/>
  <c r="E54" i="29"/>
  <c r="E53" i="29"/>
  <c r="E56" i="29"/>
  <c r="E55" i="29"/>
  <c r="C63" i="29"/>
  <c r="C56" i="29"/>
  <c r="C49" i="29"/>
  <c r="C43" i="29"/>
  <c r="C38" i="29"/>
  <c r="C55" i="29"/>
  <c r="C48" i="29"/>
  <c r="C42" i="29"/>
  <c r="C60" i="29"/>
  <c r="C54" i="29"/>
  <c r="C45" i="29"/>
  <c r="C41" i="29"/>
  <c r="C59" i="29"/>
  <c r="C53" i="29"/>
  <c r="C44" i="29"/>
  <c r="C39" i="29"/>
  <c r="O28" i="29"/>
  <c r="O13" i="29"/>
  <c r="O32" i="29"/>
  <c r="O18" i="29"/>
  <c r="O7" i="29"/>
  <c r="O17" i="29"/>
  <c r="O29" i="29"/>
  <c r="O14" i="29"/>
  <c r="P32" i="29"/>
  <c r="P18" i="29"/>
  <c r="P7" i="29"/>
  <c r="P17" i="29"/>
  <c r="P29" i="29"/>
  <c r="P14" i="29"/>
  <c r="P28" i="29"/>
  <c r="P13" i="29"/>
  <c r="D52" i="29"/>
  <c r="C52" i="29"/>
  <c r="R49" i="28"/>
  <c r="R50" i="28"/>
  <c r="B45" i="28"/>
  <c r="R37" i="28"/>
  <c r="B33" i="28"/>
  <c r="R24" i="28"/>
  <c r="R23" i="28"/>
  <c r="B13" i="28"/>
  <c r="B69" i="28"/>
  <c r="B68" i="28"/>
  <c r="B67" i="28"/>
  <c r="B66" i="28"/>
  <c r="B65" i="28"/>
  <c r="K36" i="19"/>
  <c r="L22" i="23"/>
  <c r="L16" i="23"/>
  <c r="L87" i="20"/>
  <c r="L89" i="20"/>
  <c r="L90" i="20"/>
  <c r="L91" i="20"/>
  <c r="L92" i="20"/>
  <c r="L93" i="20"/>
  <c r="L94" i="20"/>
  <c r="L95" i="20"/>
  <c r="L96" i="20"/>
  <c r="L97" i="20"/>
  <c r="L98" i="20"/>
  <c r="L99" i="20"/>
  <c r="L100" i="20"/>
  <c r="L101" i="20"/>
  <c r="L102" i="20"/>
  <c r="L103" i="20"/>
  <c r="L104" i="20"/>
  <c r="L105" i="20"/>
  <c r="L60" i="20"/>
  <c r="L62" i="20"/>
  <c r="L63" i="20"/>
  <c r="L64" i="20"/>
  <c r="L65" i="20"/>
  <c r="L66" i="20"/>
  <c r="L67" i="20"/>
  <c r="L68" i="20"/>
  <c r="L69" i="20"/>
  <c r="L70" i="20"/>
  <c r="L71" i="20"/>
  <c r="L72" i="20"/>
  <c r="L73" i="20"/>
  <c r="L74" i="20"/>
  <c r="L75" i="20"/>
  <c r="L76" i="20"/>
  <c r="L77" i="20"/>
  <c r="L78" i="20"/>
  <c r="L33" i="20"/>
  <c r="L35" i="20"/>
  <c r="L36" i="20"/>
  <c r="L37" i="20"/>
  <c r="L38" i="20"/>
  <c r="L39" i="20"/>
  <c r="L40" i="20"/>
  <c r="L41" i="20"/>
  <c r="L42" i="20"/>
  <c r="L43" i="20"/>
  <c r="L44" i="20"/>
  <c r="L45" i="20"/>
  <c r="L46" i="20"/>
  <c r="L47" i="20"/>
  <c r="L48" i="20"/>
  <c r="L49" i="20"/>
  <c r="L50" i="20"/>
  <c r="L51" i="20"/>
  <c r="J24" i="20"/>
  <c r="D29" i="18"/>
  <c r="L110" i="20" s="1"/>
  <c r="C29" i="18"/>
  <c r="E29" i="18" s="1"/>
  <c r="D28" i="18"/>
  <c r="L109" i="20" s="1"/>
  <c r="C28" i="18"/>
  <c r="L82" i="20" s="1"/>
  <c r="D27" i="18"/>
  <c r="L108" i="20" s="1"/>
  <c r="C27" i="18"/>
  <c r="L81" i="20" s="1"/>
  <c r="B29" i="18"/>
  <c r="L56" i="20" s="1"/>
  <c r="B28" i="18"/>
  <c r="L55" i="20" s="1"/>
  <c r="B27" i="18"/>
  <c r="L54" i="20" s="1"/>
  <c r="E24" i="18"/>
  <c r="E23" i="18"/>
  <c r="E22" i="18"/>
  <c r="E21" i="18"/>
  <c r="E20" i="18"/>
  <c r="E19" i="18"/>
  <c r="E18" i="18"/>
  <c r="E17" i="18"/>
  <c r="E16" i="18"/>
  <c r="E15" i="18"/>
  <c r="E14" i="18"/>
  <c r="E13" i="18"/>
  <c r="E12" i="18"/>
  <c r="E11" i="18"/>
  <c r="E10" i="18"/>
  <c r="E9" i="18"/>
  <c r="E8" i="18"/>
  <c r="E6" i="18"/>
  <c r="F52" i="18"/>
  <c r="E52" i="18"/>
  <c r="D52" i="18"/>
  <c r="D5" i="14"/>
  <c r="M76" i="2"/>
  <c r="Q64" i="16"/>
  <c r="P64" i="16"/>
  <c r="O64" i="16"/>
  <c r="N64" i="16"/>
  <c r="M64" i="16"/>
  <c r="L64" i="16"/>
  <c r="K64" i="16"/>
  <c r="J64" i="16"/>
  <c r="I64" i="16"/>
  <c r="H64" i="16"/>
  <c r="G64" i="16"/>
  <c r="Q61" i="9"/>
  <c r="Q59" i="9"/>
  <c r="Q51" i="9"/>
  <c r="Q34" i="10"/>
  <c r="P34" i="10"/>
  <c r="O34" i="10"/>
  <c r="N34" i="10"/>
  <c r="M34" i="10"/>
  <c r="L34" i="10"/>
  <c r="K34" i="10"/>
  <c r="J34" i="10"/>
  <c r="I34" i="10"/>
  <c r="H34" i="10"/>
  <c r="G34" i="10"/>
  <c r="F34" i="10"/>
  <c r="E34" i="10"/>
  <c r="Q26" i="10"/>
  <c r="P26" i="10"/>
  <c r="O26" i="10"/>
  <c r="N26" i="10"/>
  <c r="M26" i="10"/>
  <c r="L26" i="10"/>
  <c r="K26" i="10"/>
  <c r="J26" i="10"/>
  <c r="I26" i="10"/>
  <c r="H26" i="10"/>
  <c r="G26" i="10"/>
  <c r="F26" i="10"/>
  <c r="E26" i="10"/>
  <c r="Q34" i="8"/>
  <c r="P34" i="8"/>
  <c r="O34" i="8"/>
  <c r="N34" i="8"/>
  <c r="M34" i="8"/>
  <c r="L34" i="8"/>
  <c r="Q26" i="8"/>
  <c r="P26" i="8"/>
  <c r="O26" i="8"/>
  <c r="N26" i="8"/>
  <c r="M26" i="8"/>
  <c r="L26" i="8"/>
  <c r="C14" i="3"/>
  <c r="B14" i="3"/>
  <c r="C6" i="3"/>
  <c r="B6" i="3"/>
  <c r="S203" i="15"/>
  <c r="E39" i="4"/>
  <c r="E38" i="4"/>
  <c r="R27" i="7" s="1"/>
  <c r="E37" i="4"/>
  <c r="R28" i="7" s="1"/>
  <c r="E32" i="4"/>
  <c r="E31" i="4"/>
  <c r="E30" i="4"/>
  <c r="E6" i="4"/>
  <c r="E11" i="4" s="1"/>
  <c r="Q64" i="15"/>
  <c r="B181" i="16"/>
  <c r="Q67" i="16"/>
  <c r="P67" i="16"/>
  <c r="Q63" i="16"/>
  <c r="P63" i="16"/>
  <c r="Q60" i="16"/>
  <c r="P60" i="16"/>
  <c r="Q58" i="16"/>
  <c r="P58" i="16"/>
  <c r="Q57" i="16"/>
  <c r="P57" i="16"/>
  <c r="Q56" i="16"/>
  <c r="P56" i="16"/>
  <c r="Q52" i="16"/>
  <c r="P52" i="16"/>
  <c r="Q50" i="16"/>
  <c r="P50" i="16"/>
  <c r="Q47" i="16"/>
  <c r="P47" i="16"/>
  <c r="Q46" i="16"/>
  <c r="P46" i="16"/>
  <c r="Q45" i="16"/>
  <c r="P45" i="16"/>
  <c r="Q44" i="16"/>
  <c r="P44" i="16"/>
  <c r="Q43" i="16"/>
  <c r="P43" i="16"/>
  <c r="Q41" i="16"/>
  <c r="P41" i="16"/>
  <c r="Q40" i="16"/>
  <c r="P40" i="16"/>
  <c r="R97" i="16"/>
  <c r="Q55" i="16"/>
  <c r="P55" i="16"/>
  <c r="R143" i="15"/>
  <c r="Q67" i="15"/>
  <c r="Q63" i="15"/>
  <c r="Q60" i="15"/>
  <c r="Q58" i="15"/>
  <c r="Q57" i="15"/>
  <c r="Q56" i="15"/>
  <c r="Q52" i="15"/>
  <c r="Q50" i="15"/>
  <c r="Q47" i="15"/>
  <c r="Q46" i="15"/>
  <c r="Q45" i="15"/>
  <c r="Q44" i="15"/>
  <c r="Q43" i="15"/>
  <c r="Q41" i="15"/>
  <c r="Q40" i="15"/>
  <c r="B31" i="13"/>
  <c r="B28" i="13"/>
  <c r="B25" i="13"/>
  <c r="B23" i="13"/>
  <c r="B21" i="13"/>
  <c r="B17" i="13"/>
  <c r="B15" i="13"/>
  <c r="B12" i="13"/>
  <c r="B11" i="13"/>
  <c r="B10" i="13"/>
  <c r="B9" i="13"/>
  <c r="B8" i="13"/>
  <c r="B6" i="13"/>
  <c r="B5" i="13"/>
  <c r="M60" i="16"/>
  <c r="M41" i="16"/>
  <c r="M46" i="16"/>
  <c r="M56" i="16"/>
  <c r="M63" i="16"/>
  <c r="M43" i="16"/>
  <c r="M47" i="16"/>
  <c r="M57" i="16"/>
  <c r="M67" i="16"/>
  <c r="M44" i="16"/>
  <c r="M50" i="16"/>
  <c r="M58" i="16"/>
  <c r="N55" i="16"/>
  <c r="M40" i="16"/>
  <c r="M45" i="16"/>
  <c r="M52" i="16"/>
  <c r="M55" i="16"/>
  <c r="J55" i="16"/>
  <c r="H55" i="16"/>
  <c r="L55" i="16"/>
  <c r="I60" i="16"/>
  <c r="I52" i="16"/>
  <c r="I45" i="16"/>
  <c r="I40" i="16"/>
  <c r="I58" i="16"/>
  <c r="I50" i="16"/>
  <c r="I44" i="16"/>
  <c r="I67" i="16"/>
  <c r="I57" i="16"/>
  <c r="I47" i="16"/>
  <c r="I43" i="16"/>
  <c r="I63" i="16"/>
  <c r="I56" i="16"/>
  <c r="I46" i="16"/>
  <c r="I41" i="16"/>
  <c r="K67" i="16"/>
  <c r="K57" i="16"/>
  <c r="K47" i="16"/>
  <c r="K43" i="16"/>
  <c r="K63" i="16"/>
  <c r="K56" i="16"/>
  <c r="K46" i="16"/>
  <c r="K41" i="16"/>
  <c r="K60" i="16"/>
  <c r="K52" i="16"/>
  <c r="K45" i="16"/>
  <c r="K40" i="16"/>
  <c r="K58" i="16"/>
  <c r="K50" i="16"/>
  <c r="K44" i="16"/>
  <c r="J58" i="16"/>
  <c r="J50" i="16"/>
  <c r="J44" i="16"/>
  <c r="J67" i="16"/>
  <c r="J57" i="16"/>
  <c r="J47" i="16"/>
  <c r="J43" i="16"/>
  <c r="J63" i="16"/>
  <c r="J56" i="16"/>
  <c r="J46" i="16"/>
  <c r="J41" i="16"/>
  <c r="J60" i="16"/>
  <c r="J52" i="16"/>
  <c r="J45" i="16"/>
  <c r="J40" i="16"/>
  <c r="G67" i="16"/>
  <c r="G57" i="16"/>
  <c r="G47" i="16"/>
  <c r="G43" i="16"/>
  <c r="G63" i="16"/>
  <c r="G56" i="16"/>
  <c r="G46" i="16"/>
  <c r="G41" i="16"/>
  <c r="G60" i="16"/>
  <c r="G52" i="16"/>
  <c r="G45" i="16"/>
  <c r="G40" i="16"/>
  <c r="G58" i="16"/>
  <c r="G50" i="16"/>
  <c r="G44" i="16"/>
  <c r="L63" i="16"/>
  <c r="L56" i="16"/>
  <c r="L46" i="16"/>
  <c r="L41" i="16"/>
  <c r="L60" i="16"/>
  <c r="L52" i="16"/>
  <c r="L45" i="16"/>
  <c r="L40" i="16"/>
  <c r="L58" i="16"/>
  <c r="L50" i="16"/>
  <c r="L44" i="16"/>
  <c r="L67" i="16"/>
  <c r="L57" i="16"/>
  <c r="L47" i="16"/>
  <c r="L43" i="16"/>
  <c r="N58" i="16"/>
  <c r="N50" i="16"/>
  <c r="N44" i="16"/>
  <c r="N67" i="16"/>
  <c r="N57" i="16"/>
  <c r="N47" i="16"/>
  <c r="N43" i="16"/>
  <c r="N63" i="16"/>
  <c r="N56" i="16"/>
  <c r="N46" i="16"/>
  <c r="N41" i="16"/>
  <c r="N60" i="16"/>
  <c r="N52" i="16"/>
  <c r="N45" i="16"/>
  <c r="N40" i="16"/>
  <c r="O67" i="16"/>
  <c r="O57" i="16"/>
  <c r="O47" i="16"/>
  <c r="O43" i="16"/>
  <c r="O63" i="16"/>
  <c r="O56" i="16"/>
  <c r="O46" i="16"/>
  <c r="O41" i="16"/>
  <c r="O60" i="16"/>
  <c r="O52" i="16"/>
  <c r="O45" i="16"/>
  <c r="O40" i="16"/>
  <c r="O58" i="16"/>
  <c r="O50" i="16"/>
  <c r="O44" i="16"/>
  <c r="H63" i="16"/>
  <c r="H56" i="16"/>
  <c r="H46" i="16"/>
  <c r="H41" i="16"/>
  <c r="H60" i="16"/>
  <c r="H52" i="16"/>
  <c r="H45" i="16"/>
  <c r="H40" i="16"/>
  <c r="H58" i="16"/>
  <c r="H50" i="16"/>
  <c r="H44" i="16"/>
  <c r="H67" i="16"/>
  <c r="H57" i="16"/>
  <c r="H47" i="16"/>
  <c r="H43" i="16"/>
  <c r="O55" i="16"/>
  <c r="I55" i="16"/>
  <c r="K55" i="16"/>
  <c r="G55" i="16"/>
  <c r="R278" i="9"/>
  <c r="S278" i="9" s="1"/>
  <c r="R255" i="9"/>
  <c r="S255" i="9" s="1"/>
  <c r="Q88" i="9"/>
  <c r="Q87" i="9"/>
  <c r="Q86" i="9"/>
  <c r="Q84" i="9"/>
  <c r="Q78" i="9"/>
  <c r="Q76" i="9"/>
  <c r="Q75" i="9"/>
  <c r="Q74" i="9"/>
  <c r="Q73" i="9"/>
  <c r="Q71" i="9"/>
  <c r="Q70" i="9"/>
  <c r="Q69" i="9"/>
  <c r="Q68" i="9"/>
  <c r="Q67" i="9"/>
  <c r="Q66" i="9"/>
  <c r="Q65" i="9"/>
  <c r="Q64" i="9"/>
  <c r="Q63" i="9"/>
  <c r="R41" i="9"/>
  <c r="P59" i="9"/>
  <c r="P61" i="9"/>
  <c r="P51" i="9"/>
  <c r="P84" i="9"/>
  <c r="P75" i="9"/>
  <c r="P74" i="9"/>
  <c r="P71" i="9"/>
  <c r="P69" i="9"/>
  <c r="P68" i="9"/>
  <c r="P66" i="9"/>
  <c r="P64" i="9"/>
  <c r="P78" i="9"/>
  <c r="P88" i="9"/>
  <c r="P86" i="9"/>
  <c r="P76" i="9"/>
  <c r="P73" i="9"/>
  <c r="P70" i="9"/>
  <c r="P67" i="9"/>
  <c r="P65" i="9"/>
  <c r="P63" i="9"/>
  <c r="P81" i="9"/>
  <c r="Q81" i="9"/>
  <c r="P82" i="9"/>
  <c r="Q82" i="9"/>
  <c r="Q57" i="9"/>
  <c r="P57" i="9"/>
  <c r="Q56" i="9"/>
  <c r="P56" i="9"/>
  <c r="Q55" i="9"/>
  <c r="P55" i="9"/>
  <c r="Q54" i="9"/>
  <c r="P54" i="9"/>
  <c r="Q53" i="9"/>
  <c r="P53" i="9"/>
  <c r="Q38" i="10"/>
  <c r="P38" i="10"/>
  <c r="O38" i="10"/>
  <c r="N38" i="10"/>
  <c r="M38" i="10"/>
  <c r="L38" i="10"/>
  <c r="K38" i="10"/>
  <c r="J38" i="10"/>
  <c r="I38" i="10"/>
  <c r="H38" i="10"/>
  <c r="G38" i="10"/>
  <c r="F38" i="10"/>
  <c r="E38" i="10"/>
  <c r="Q37" i="10"/>
  <c r="P37" i="10"/>
  <c r="O37" i="10"/>
  <c r="N37" i="10"/>
  <c r="M37" i="10"/>
  <c r="L37" i="10"/>
  <c r="K37" i="10"/>
  <c r="J37" i="10"/>
  <c r="I37" i="10"/>
  <c r="H37" i="10"/>
  <c r="G37" i="10"/>
  <c r="F37" i="10"/>
  <c r="E37" i="10"/>
  <c r="Q32" i="10"/>
  <c r="P32" i="10"/>
  <c r="O32" i="10"/>
  <c r="N32" i="10"/>
  <c r="M32" i="10"/>
  <c r="L32" i="10"/>
  <c r="K32" i="10"/>
  <c r="Q31" i="10"/>
  <c r="P31" i="10"/>
  <c r="O31" i="10"/>
  <c r="N31" i="10"/>
  <c r="M31" i="10"/>
  <c r="L31" i="10"/>
  <c r="K31" i="10"/>
  <c r="Q30" i="10"/>
  <c r="P30" i="10"/>
  <c r="O30" i="10"/>
  <c r="N30" i="10"/>
  <c r="M30" i="10"/>
  <c r="L30" i="10"/>
  <c r="K30" i="10"/>
  <c r="Q29" i="10"/>
  <c r="P29" i="10"/>
  <c r="O29" i="10"/>
  <c r="N29" i="10"/>
  <c r="M29" i="10"/>
  <c r="L29" i="10"/>
  <c r="K29" i="10"/>
  <c r="Q28" i="10"/>
  <c r="P28" i="10"/>
  <c r="O28" i="10"/>
  <c r="N28" i="10"/>
  <c r="M28" i="10"/>
  <c r="L28" i="10"/>
  <c r="K28" i="10"/>
  <c r="Q38" i="8"/>
  <c r="P38" i="8"/>
  <c r="O38" i="8"/>
  <c r="N38" i="8"/>
  <c r="M38" i="8"/>
  <c r="L38" i="8"/>
  <c r="Q37" i="8"/>
  <c r="P37" i="8"/>
  <c r="O37" i="8"/>
  <c r="N37" i="8"/>
  <c r="M37" i="8"/>
  <c r="L37" i="8"/>
  <c r="Q32" i="8"/>
  <c r="P32" i="8"/>
  <c r="O32" i="8"/>
  <c r="N32" i="8"/>
  <c r="M32" i="8"/>
  <c r="L32" i="8"/>
  <c r="Q31" i="8"/>
  <c r="P31" i="8"/>
  <c r="O31" i="8"/>
  <c r="N31" i="8"/>
  <c r="M31" i="8"/>
  <c r="L31" i="8"/>
  <c r="Q30" i="8"/>
  <c r="P30" i="8"/>
  <c r="O30" i="8"/>
  <c r="N30" i="8"/>
  <c r="M30" i="8"/>
  <c r="L30" i="8"/>
  <c r="Q29" i="8"/>
  <c r="P29" i="8"/>
  <c r="O29" i="8"/>
  <c r="N29" i="8"/>
  <c r="M29" i="8"/>
  <c r="L29" i="8"/>
  <c r="Q28" i="8"/>
  <c r="P28" i="8"/>
  <c r="O28" i="8"/>
  <c r="N28" i="8"/>
  <c r="M28" i="8"/>
  <c r="L28" i="8"/>
  <c r="D38" i="10"/>
  <c r="D34" i="10"/>
  <c r="D26" i="10"/>
  <c r="F15" i="10"/>
  <c r="F19" i="10"/>
  <c r="F10" i="10"/>
  <c r="F13" i="10"/>
  <c r="F9" i="10"/>
  <c r="F12" i="10"/>
  <c r="F11" i="10"/>
  <c r="G30" i="10"/>
  <c r="G29" i="10"/>
  <c r="G32" i="10"/>
  <c r="G28" i="10"/>
  <c r="G31" i="10"/>
  <c r="F31" i="10"/>
  <c r="F30" i="10"/>
  <c r="F29" i="10"/>
  <c r="F32" i="10"/>
  <c r="F28" i="10"/>
  <c r="D29" i="10"/>
  <c r="D32" i="10"/>
  <c r="D28" i="10"/>
  <c r="D31" i="10"/>
  <c r="D30" i="10"/>
  <c r="I32" i="10"/>
  <c r="I28" i="10"/>
  <c r="I31" i="10"/>
  <c r="I30" i="10"/>
  <c r="I29" i="10"/>
  <c r="J31" i="10"/>
  <c r="J30" i="10"/>
  <c r="J29" i="10"/>
  <c r="J32" i="10"/>
  <c r="J28" i="10"/>
  <c r="H29" i="10"/>
  <c r="H32" i="10"/>
  <c r="H28" i="10"/>
  <c r="H31" i="10"/>
  <c r="H30" i="10"/>
  <c r="E32" i="10"/>
  <c r="E28" i="10"/>
  <c r="E31" i="10"/>
  <c r="E30" i="10"/>
  <c r="E29" i="10"/>
  <c r="E25" i="7"/>
  <c r="D25" i="7"/>
  <c r="Q25" i="7"/>
  <c r="P25" i="7"/>
  <c r="O25" i="7"/>
  <c r="N25" i="7"/>
  <c r="M25" i="7"/>
  <c r="L25" i="7"/>
  <c r="K25" i="7"/>
  <c r="J25" i="7"/>
  <c r="I25" i="7"/>
  <c r="C25" i="7"/>
  <c r="B25" i="7"/>
  <c r="R7" i="7"/>
  <c r="I8" i="6" s="1"/>
  <c r="Q21" i="7"/>
  <c r="P21" i="7"/>
  <c r="O21" i="7"/>
  <c r="N21" i="7"/>
  <c r="M21" i="7"/>
  <c r="L21" i="7"/>
  <c r="K21" i="7"/>
  <c r="J21" i="7"/>
  <c r="I21" i="7"/>
  <c r="H21" i="7"/>
  <c r="F21" i="7"/>
  <c r="C21" i="7"/>
  <c r="B21" i="7"/>
  <c r="C12" i="3"/>
  <c r="B12" i="3"/>
  <c r="C11" i="3"/>
  <c r="B11" i="3"/>
  <c r="C10" i="3"/>
  <c r="B10" i="3"/>
  <c r="C8" i="3"/>
  <c r="B8" i="3"/>
  <c r="R14" i="7"/>
  <c r="C26" i="8"/>
  <c r="R8" i="7"/>
  <c r="J9" i="6" s="1"/>
  <c r="C38" i="8"/>
  <c r="C37" i="8"/>
  <c r="C30" i="8"/>
  <c r="C29" i="8"/>
  <c r="C32" i="8"/>
  <c r="C28" i="8"/>
  <c r="C31" i="8"/>
  <c r="R10" i="7"/>
  <c r="E11" i="6" s="1"/>
  <c r="F10" i="6"/>
  <c r="F105" i="15" s="1"/>
  <c r="M10" i="6"/>
  <c r="M68" i="29" s="1"/>
  <c r="K26" i="8"/>
  <c r="D26" i="8"/>
  <c r="D34" i="8"/>
  <c r="F26" i="8"/>
  <c r="F34" i="8"/>
  <c r="J26" i="8"/>
  <c r="G26" i="8"/>
  <c r="E26" i="8"/>
  <c r="E34" i="8"/>
  <c r="C10" i="6"/>
  <c r="C95" i="9" s="1"/>
  <c r="L10" i="6"/>
  <c r="L39" i="12" s="1"/>
  <c r="E10" i="6"/>
  <c r="E105" i="15" s="1"/>
  <c r="K10" i="6"/>
  <c r="K39" i="12" s="1"/>
  <c r="D10" i="6"/>
  <c r="D95" i="9" s="1"/>
  <c r="J10" i="6"/>
  <c r="J105" i="15" s="1"/>
  <c r="G10" i="6"/>
  <c r="G105" i="15" s="1"/>
  <c r="H10" i="6"/>
  <c r="H68" i="29" s="1"/>
  <c r="I10" i="6"/>
  <c r="I39" i="12" s="1"/>
  <c r="N10" i="6"/>
  <c r="N45" i="8" s="1"/>
  <c r="Q10" i="6"/>
  <c r="Q45" i="8" s="1"/>
  <c r="O10" i="6"/>
  <c r="O95" i="9" s="1"/>
  <c r="P10" i="6"/>
  <c r="P68" i="29" s="1"/>
  <c r="D37" i="8"/>
  <c r="D38" i="8"/>
  <c r="J37" i="8"/>
  <c r="F38" i="8"/>
  <c r="Q18" i="8"/>
  <c r="G38" i="8"/>
  <c r="E37" i="8"/>
  <c r="E38" i="8"/>
  <c r="K38" i="8"/>
  <c r="K37" i="8"/>
  <c r="D29" i="8"/>
  <c r="D32" i="8"/>
  <c r="D28" i="8"/>
  <c r="D31" i="8"/>
  <c r="Q10" i="8"/>
  <c r="F31" i="8"/>
  <c r="F30" i="8"/>
  <c r="F32" i="8"/>
  <c r="F28" i="8"/>
  <c r="G30" i="8"/>
  <c r="G32" i="8"/>
  <c r="G28" i="8"/>
  <c r="G31" i="8"/>
  <c r="E28" i="8"/>
  <c r="E31" i="8"/>
  <c r="E30" i="8"/>
  <c r="J31" i="8"/>
  <c r="J30" i="8"/>
  <c r="J29" i="8"/>
  <c r="J32" i="8"/>
  <c r="J28" i="8"/>
  <c r="K30" i="8"/>
  <c r="K29" i="8"/>
  <c r="K32" i="8"/>
  <c r="K28" i="8"/>
  <c r="K31" i="8"/>
  <c r="J15" i="7"/>
  <c r="J17" i="7" s="1"/>
  <c r="B95" i="9"/>
  <c r="B68" i="29"/>
  <c r="P45" i="8"/>
  <c r="B45" i="8"/>
  <c r="B39" i="12"/>
  <c r="B72" i="16"/>
  <c r="D39" i="3"/>
  <c r="D43" i="3"/>
  <c r="D42" i="3"/>
  <c r="D41" i="3"/>
  <c r="D26" i="3"/>
  <c r="D24" i="3"/>
  <c r="D23" i="3"/>
  <c r="D22" i="3"/>
  <c r="D21" i="3"/>
  <c r="D20" i="3"/>
  <c r="D19" i="3"/>
  <c r="D18" i="3"/>
  <c r="P87" i="9"/>
  <c r="D25" i="3"/>
  <c r="C27" i="3"/>
  <c r="D34" i="3"/>
  <c r="D31" i="3"/>
  <c r="D30" i="3"/>
  <c r="D29" i="3"/>
  <c r="D28" i="3"/>
  <c r="D46" i="4"/>
  <c r="C37" i="3" s="1"/>
  <c r="C46" i="4"/>
  <c r="B37" i="3" s="1"/>
  <c r="D45" i="4"/>
  <c r="C45" i="4"/>
  <c r="D44" i="4"/>
  <c r="C44" i="4"/>
  <c r="D40" i="4"/>
  <c r="C40" i="4"/>
  <c r="D33" i="4"/>
  <c r="C33" i="4"/>
  <c r="F39" i="4"/>
  <c r="F38" i="4"/>
  <c r="F37" i="4"/>
  <c r="F32" i="4"/>
  <c r="F31" i="4"/>
  <c r="F30" i="4"/>
  <c r="J38" i="8"/>
  <c r="D37" i="10"/>
  <c r="G37" i="8"/>
  <c r="C44" i="3"/>
  <c r="B44" i="3"/>
  <c r="F24" i="4"/>
  <c r="E23" i="4"/>
  <c r="F16" i="4"/>
  <c r="F15" i="4"/>
  <c r="F8" i="4"/>
  <c r="F7" i="4"/>
  <c r="F6" i="4"/>
  <c r="K71" i="2"/>
  <c r="K70" i="2"/>
  <c r="K69" i="2"/>
  <c r="K68" i="2"/>
  <c r="K67" i="2"/>
  <c r="K66" i="2"/>
  <c r="K65" i="2"/>
  <c r="K64" i="2"/>
  <c r="H71" i="2"/>
  <c r="H70" i="2"/>
  <c r="H69" i="2"/>
  <c r="H68" i="2"/>
  <c r="H67" i="2"/>
  <c r="H66" i="2"/>
  <c r="H65" i="2"/>
  <c r="H64" i="2"/>
  <c r="K62" i="2"/>
  <c r="K61" i="2"/>
  <c r="K60" i="2"/>
  <c r="K59" i="2"/>
  <c r="K58" i="2"/>
  <c r="K57" i="2"/>
  <c r="K56" i="2"/>
  <c r="K55"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E73" i="2"/>
  <c r="H73" i="2"/>
  <c r="H62" i="2"/>
  <c r="H61" i="2"/>
  <c r="H60" i="2"/>
  <c r="H59" i="2"/>
  <c r="H58" i="2"/>
  <c r="H57" i="2"/>
  <c r="H56" i="2"/>
  <c r="H55"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E71" i="2"/>
  <c r="E70" i="2"/>
  <c r="E69" i="2"/>
  <c r="E68" i="2"/>
  <c r="E67" i="2"/>
  <c r="E66" i="2"/>
  <c r="E65" i="2"/>
  <c r="E64" i="2"/>
  <c r="E62" i="2"/>
  <c r="E61" i="2"/>
  <c r="E60" i="2"/>
  <c r="E59" i="2"/>
  <c r="E58" i="2"/>
  <c r="E57" i="2"/>
  <c r="E56" i="2"/>
  <c r="E55" i="2"/>
  <c r="E53" i="2"/>
  <c r="B28" i="8" s="1"/>
  <c r="E52" i="2"/>
  <c r="E51" i="2"/>
  <c r="E50" i="2"/>
  <c r="E49" i="2"/>
  <c r="E48" i="2"/>
  <c r="E47" i="2"/>
  <c r="E46" i="2"/>
  <c r="E45" i="2"/>
  <c r="E44" i="2"/>
  <c r="K34" i="8"/>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G78" i="2"/>
  <c r="D78" i="2"/>
  <c r="F29" i="8"/>
  <c r="E32" i="8"/>
  <c r="F78" i="2"/>
  <c r="C78" i="2"/>
  <c r="B29" i="13"/>
  <c r="G10" i="12" l="1"/>
  <c r="G17" i="12"/>
  <c r="C34" i="10"/>
  <c r="C32" i="10"/>
  <c r="C31" i="10"/>
  <c r="C26" i="10"/>
  <c r="C38" i="10"/>
  <c r="C28" i="10"/>
  <c r="C30" i="10"/>
  <c r="C29" i="10"/>
  <c r="B24" i="10"/>
  <c r="N39" i="12"/>
  <c r="P5" i="8"/>
  <c r="O10" i="12"/>
  <c r="O17" i="12"/>
  <c r="C37" i="10"/>
  <c r="A14" i="18"/>
  <c r="H5" i="8"/>
  <c r="A27" i="18"/>
  <c r="K47" i="28"/>
  <c r="K5" i="8"/>
  <c r="O74" i="8"/>
  <c r="F93" i="8"/>
  <c r="Q93" i="8"/>
  <c r="O105" i="15"/>
  <c r="O39" i="12"/>
  <c r="N95" i="9"/>
  <c r="A9" i="18"/>
  <c r="G5" i="8"/>
  <c r="N105" i="15"/>
  <c r="M5" i="8"/>
  <c r="F18" i="10"/>
  <c r="A38" i="18"/>
  <c r="F5" i="8"/>
  <c r="E18" i="4"/>
  <c r="M77" i="2" s="1"/>
  <c r="Q9" i="8"/>
  <c r="K8" i="6"/>
  <c r="K41" i="12" s="1"/>
  <c r="A36" i="18"/>
  <c r="I43" i="8"/>
  <c r="N72" i="16"/>
  <c r="A22" i="20"/>
  <c r="L43" i="8"/>
  <c r="L45" i="8"/>
  <c r="Q11" i="8"/>
  <c r="D8" i="6"/>
  <c r="D108" i="15" s="1"/>
  <c r="H43" i="8"/>
  <c r="O8" i="6"/>
  <c r="O41" i="12" s="1"/>
  <c r="O45" i="8"/>
  <c r="N68" i="29"/>
  <c r="Q12" i="8"/>
  <c r="A43" i="20"/>
  <c r="G43" i="8"/>
  <c r="A57" i="34"/>
  <c r="I105" i="15"/>
  <c r="Q7" i="8"/>
  <c r="B56" i="18"/>
  <c r="A50" i="20"/>
  <c r="C43" i="8"/>
  <c r="Q19" i="8"/>
  <c r="B38" i="8"/>
  <c r="A70" i="20"/>
  <c r="I35" i="28"/>
  <c r="B13" i="7"/>
  <c r="B15" i="7" s="1"/>
  <c r="A46" i="34"/>
  <c r="E51" i="16"/>
  <c r="E59" i="16"/>
  <c r="Q33" i="16"/>
  <c r="Q26" i="16"/>
  <c r="P71" i="16"/>
  <c r="Q34" i="16"/>
  <c r="Q8" i="16"/>
  <c r="Q18" i="16"/>
  <c r="Q7" i="16"/>
  <c r="Q27" i="16"/>
  <c r="Q13" i="16"/>
  <c r="Q31" i="16"/>
  <c r="I145" i="16"/>
  <c r="Q24" i="16"/>
  <c r="D71" i="24"/>
  <c r="O71" i="24"/>
  <c r="H71" i="24"/>
  <c r="F71" i="24"/>
  <c r="B71" i="24"/>
  <c r="D84" i="15"/>
  <c r="D92" i="15"/>
  <c r="K71" i="24"/>
  <c r="J71" i="24"/>
  <c r="B104" i="24"/>
  <c r="Q71" i="24"/>
  <c r="P104" i="24"/>
  <c r="H104" i="24"/>
  <c r="F5" i="24"/>
  <c r="F121" i="24" s="1"/>
  <c r="C104" i="24"/>
  <c r="M71" i="24"/>
  <c r="E71" i="24"/>
  <c r="L71" i="24"/>
  <c r="L83" i="20"/>
  <c r="D38" i="15"/>
  <c r="D59" i="15" s="1"/>
  <c r="B51" i="15"/>
  <c r="B59" i="15"/>
  <c r="P18" i="15"/>
  <c r="P26" i="15"/>
  <c r="E41" i="15"/>
  <c r="E51" i="15"/>
  <c r="D51" i="15"/>
  <c r="D67" i="15"/>
  <c r="K104" i="15"/>
  <c r="F38" i="15"/>
  <c r="C38" i="15"/>
  <c r="C66" i="15" s="1"/>
  <c r="G5" i="15"/>
  <c r="E46" i="15"/>
  <c r="M77" i="9"/>
  <c r="M79" i="9"/>
  <c r="Q242" i="9"/>
  <c r="J5" i="9"/>
  <c r="J32" i="9" s="1"/>
  <c r="D49" i="9"/>
  <c r="D79" i="9" s="1"/>
  <c r="L5" i="9"/>
  <c r="L35" i="9" s="1"/>
  <c r="F93" i="9"/>
  <c r="K24" i="9"/>
  <c r="K12" i="9"/>
  <c r="K13" i="9"/>
  <c r="K9" i="9"/>
  <c r="K43" i="9"/>
  <c r="K40" i="9"/>
  <c r="K30" i="9"/>
  <c r="L110" i="9"/>
  <c r="K110" i="9"/>
  <c r="J242" i="9"/>
  <c r="D67" i="9"/>
  <c r="G110" i="9"/>
  <c r="D76" i="9"/>
  <c r="K19" i="9"/>
  <c r="D57" i="9"/>
  <c r="K23" i="9"/>
  <c r="G154" i="9"/>
  <c r="F154" i="9"/>
  <c r="N154" i="9"/>
  <c r="K11" i="9"/>
  <c r="K21" i="9"/>
  <c r="K7" i="9"/>
  <c r="K42" i="9"/>
  <c r="K34" i="9"/>
  <c r="O242" i="9"/>
  <c r="K242" i="9"/>
  <c r="J22" i="9"/>
  <c r="M154" i="9"/>
  <c r="P154" i="9"/>
  <c r="K20" i="9"/>
  <c r="L154" i="9"/>
  <c r="K17" i="9"/>
  <c r="H154" i="9"/>
  <c r="M84" i="9"/>
  <c r="M86" i="9"/>
  <c r="M51" i="9"/>
  <c r="M65" i="9"/>
  <c r="M75" i="9"/>
  <c r="M82" i="9"/>
  <c r="M54" i="9"/>
  <c r="M61" i="9"/>
  <c r="M81" i="9"/>
  <c r="M66" i="9"/>
  <c r="M74" i="9"/>
  <c r="M59" i="9"/>
  <c r="M88" i="9"/>
  <c r="M57" i="9"/>
  <c r="M64" i="9"/>
  <c r="M87" i="9"/>
  <c r="M67" i="9"/>
  <c r="M56" i="9"/>
  <c r="M55" i="9"/>
  <c r="M53" i="9"/>
  <c r="K25" i="9"/>
  <c r="J9" i="9"/>
  <c r="K26" i="9"/>
  <c r="K44" i="9"/>
  <c r="K15" i="9"/>
  <c r="N242" i="9"/>
  <c r="M70" i="9"/>
  <c r="K10" i="9"/>
  <c r="K32" i="9"/>
  <c r="G242" i="9"/>
  <c r="M78" i="9"/>
  <c r="E198" i="9"/>
  <c r="K38" i="9"/>
  <c r="K29" i="9"/>
  <c r="J33" i="9"/>
  <c r="D61" i="9"/>
  <c r="M110" i="9"/>
  <c r="M242" i="9"/>
  <c r="M68" i="9"/>
  <c r="K31" i="9"/>
  <c r="I242" i="9"/>
  <c r="M76" i="9"/>
  <c r="M73" i="9"/>
  <c r="M69" i="9"/>
  <c r="K33" i="9"/>
  <c r="D82" i="9"/>
  <c r="P242" i="9"/>
  <c r="M63" i="9"/>
  <c r="K37" i="9"/>
  <c r="K27" i="9"/>
  <c r="M71" i="9"/>
  <c r="K22" i="9"/>
  <c r="Q23" i="16"/>
  <c r="C5" i="16"/>
  <c r="B145" i="16"/>
  <c r="H5" i="16"/>
  <c r="Q11" i="16"/>
  <c r="Q30" i="16"/>
  <c r="N5" i="16"/>
  <c r="C38" i="16"/>
  <c r="F145" i="16"/>
  <c r="Q22" i="16"/>
  <c r="Q25" i="16"/>
  <c r="J5" i="16"/>
  <c r="Q10" i="16"/>
  <c r="F5" i="16"/>
  <c r="Q14" i="16"/>
  <c r="E145" i="16"/>
  <c r="Q12" i="16"/>
  <c r="P145" i="16"/>
  <c r="Q19" i="16"/>
  <c r="D145" i="16"/>
  <c r="Q17" i="16"/>
  <c r="P5" i="16"/>
  <c r="P34" i="16" s="1"/>
  <c r="G145" i="16"/>
  <c r="M5" i="16"/>
  <c r="O145" i="16"/>
  <c r="L5" i="16"/>
  <c r="L26" i="16" s="1"/>
  <c r="E64" i="16"/>
  <c r="E50" i="16"/>
  <c r="E43" i="16"/>
  <c r="E40" i="16"/>
  <c r="E58" i="16"/>
  <c r="E44" i="16"/>
  <c r="E67" i="16"/>
  <c r="E57" i="16"/>
  <c r="E47" i="16"/>
  <c r="E63" i="16"/>
  <c r="E56" i="16"/>
  <c r="E45" i="16"/>
  <c r="E66" i="16"/>
  <c r="E46" i="16"/>
  <c r="E60" i="16"/>
  <c r="E41" i="16"/>
  <c r="E52" i="16"/>
  <c r="E55" i="16"/>
  <c r="B5" i="16"/>
  <c r="I5" i="16"/>
  <c r="E5" i="16"/>
  <c r="D5" i="16"/>
  <c r="O5" i="16"/>
  <c r="K5" i="16"/>
  <c r="G5" i="16"/>
  <c r="G58" i="7"/>
  <c r="F58" i="7"/>
  <c r="M13" i="7"/>
  <c r="M15" i="7" s="1"/>
  <c r="M17" i="7" s="1"/>
  <c r="E13" i="7"/>
  <c r="P39" i="12"/>
  <c r="D68" i="29"/>
  <c r="D105" i="15"/>
  <c r="D45" i="8"/>
  <c r="L68" i="29"/>
  <c r="D72" i="16"/>
  <c r="G68" i="29"/>
  <c r="G95" i="9"/>
  <c r="J39" i="12"/>
  <c r="J45" i="8"/>
  <c r="N5" i="15"/>
  <c r="N26" i="15" s="1"/>
  <c r="J5" i="15"/>
  <c r="N159" i="15"/>
  <c r="F159" i="15"/>
  <c r="I192" i="15"/>
  <c r="E192" i="15"/>
  <c r="P192" i="15"/>
  <c r="D192" i="15"/>
  <c r="J192" i="15"/>
  <c r="M95" i="15"/>
  <c r="O192" i="15"/>
  <c r="N192" i="15"/>
  <c r="C71" i="15"/>
  <c r="G38" i="15"/>
  <c r="G59" i="15" s="1"/>
  <c r="P38" i="15"/>
  <c r="P59" i="15" s="1"/>
  <c r="P19" i="15"/>
  <c r="P10" i="15"/>
  <c r="P34" i="15"/>
  <c r="P25" i="15"/>
  <c r="P31" i="15"/>
  <c r="P30" i="15"/>
  <c r="P17" i="15"/>
  <c r="P11" i="15"/>
  <c r="P14" i="15"/>
  <c r="P7" i="15"/>
  <c r="P24" i="15"/>
  <c r="P23" i="15"/>
  <c r="P8" i="15"/>
  <c r="P27" i="15"/>
  <c r="P13" i="15"/>
  <c r="P33" i="15"/>
  <c r="P12" i="15"/>
  <c r="E56" i="15"/>
  <c r="H104" i="15"/>
  <c r="E63" i="15"/>
  <c r="O104" i="15"/>
  <c r="J38" i="15"/>
  <c r="F104" i="15"/>
  <c r="G159" i="15"/>
  <c r="K38" i="15"/>
  <c r="K59" i="15" s="1"/>
  <c r="L38" i="15"/>
  <c r="L59" i="15" s="1"/>
  <c r="M38" i="15"/>
  <c r="M59" i="15" s="1"/>
  <c r="E71" i="15"/>
  <c r="B71" i="15"/>
  <c r="B92" i="15" s="1"/>
  <c r="D76" i="15"/>
  <c r="D77" i="15"/>
  <c r="D96" i="15"/>
  <c r="D85" i="15"/>
  <c r="D89" i="15"/>
  <c r="D90" i="15"/>
  <c r="D79" i="15"/>
  <c r="D99" i="15"/>
  <c r="D74" i="15"/>
  <c r="D78" i="15"/>
  <c r="D93" i="15"/>
  <c r="D73" i="15"/>
  <c r="D100" i="15"/>
  <c r="D91" i="15"/>
  <c r="D97" i="15"/>
  <c r="D83" i="15"/>
  <c r="D80" i="15"/>
  <c r="B41" i="15"/>
  <c r="B43" i="15"/>
  <c r="B63" i="15"/>
  <c r="B60" i="15"/>
  <c r="B57" i="15"/>
  <c r="B64" i="15"/>
  <c r="B46" i="15"/>
  <c r="B52" i="15"/>
  <c r="B45" i="15"/>
  <c r="B67" i="15"/>
  <c r="B40" i="15"/>
  <c r="B50" i="15"/>
  <c r="B56" i="15"/>
  <c r="B44" i="15"/>
  <c r="B47" i="15"/>
  <c r="B66" i="15"/>
  <c r="B58" i="15"/>
  <c r="P104" i="15"/>
  <c r="D159" i="15"/>
  <c r="E60" i="15"/>
  <c r="N104" i="15"/>
  <c r="D58" i="15"/>
  <c r="E47" i="15"/>
  <c r="E64" i="15"/>
  <c r="J104" i="15"/>
  <c r="Q126" i="15"/>
  <c r="E67" i="15"/>
  <c r="I126" i="15"/>
  <c r="D52" i="15"/>
  <c r="E44" i="15"/>
  <c r="H126" i="15"/>
  <c r="I38" i="15"/>
  <c r="E57" i="15"/>
  <c r="D41" i="15"/>
  <c r="D60" i="15"/>
  <c r="E50" i="15"/>
  <c r="D126" i="15"/>
  <c r="D46" i="15"/>
  <c r="E45" i="15"/>
  <c r="E58" i="15"/>
  <c r="C126" i="15"/>
  <c r="G192" i="15"/>
  <c r="D44" i="15"/>
  <c r="D45" i="15"/>
  <c r="D43" i="15"/>
  <c r="E40" i="15"/>
  <c r="E66" i="15"/>
  <c r="D40" i="15"/>
  <c r="D66" i="15"/>
  <c r="D47" i="15"/>
  <c r="E52" i="15"/>
  <c r="M104" i="15"/>
  <c r="E159" i="15"/>
  <c r="D50" i="15"/>
  <c r="E43" i="15"/>
  <c r="J5" i="24"/>
  <c r="J22" i="24" s="1"/>
  <c r="D38" i="24"/>
  <c r="F38" i="24"/>
  <c r="P71" i="24"/>
  <c r="N71" i="24"/>
  <c r="I71" i="24"/>
  <c r="E104" i="24"/>
  <c r="G104" i="24"/>
  <c r="F104" i="24"/>
  <c r="G71" i="24"/>
  <c r="B36" i="3"/>
  <c r="B38" i="3" s="1"/>
  <c r="F11" i="4"/>
  <c r="C36" i="3"/>
  <c r="F18" i="4"/>
  <c r="N39" i="8"/>
  <c r="M42" i="16"/>
  <c r="M48" i="16" s="1"/>
  <c r="O53" i="16"/>
  <c r="N42" i="16"/>
  <c r="N48" i="16" s="1"/>
  <c r="H42" i="16"/>
  <c r="H48" i="16" s="1"/>
  <c r="J42" i="16"/>
  <c r="J48" i="16" s="1"/>
  <c r="H53" i="16"/>
  <c r="L53" i="16"/>
  <c r="K53" i="16"/>
  <c r="K42" i="16"/>
  <c r="K48" i="16" s="1"/>
  <c r="N86" i="15"/>
  <c r="I95" i="15"/>
  <c r="N95" i="15"/>
  <c r="P75" i="15"/>
  <c r="P81" i="15" s="1"/>
  <c r="P86" i="15"/>
  <c r="F75" i="15"/>
  <c r="F81" i="15" s="1"/>
  <c r="F86" i="15"/>
  <c r="J75" i="15"/>
  <c r="J86" i="15"/>
  <c r="H95" i="15"/>
  <c r="J94" i="15"/>
  <c r="G42" i="16"/>
  <c r="G48" i="16" s="1"/>
  <c r="C50" i="29"/>
  <c r="L75" i="15"/>
  <c r="L81" i="15" s="1"/>
  <c r="L86" i="15"/>
  <c r="J95" i="15"/>
  <c r="M75" i="15"/>
  <c r="M81" i="15" s="1"/>
  <c r="M86" i="15"/>
  <c r="Q94" i="15"/>
  <c r="K95" i="15"/>
  <c r="N75" i="15"/>
  <c r="N81" i="15" s="1"/>
  <c r="L95" i="15"/>
  <c r="F94" i="15"/>
  <c r="Q75" i="15"/>
  <c r="Q81" i="15" s="1"/>
  <c r="O95" i="15"/>
  <c r="H94" i="15"/>
  <c r="P95" i="15"/>
  <c r="I94" i="15"/>
  <c r="Q95" i="15"/>
  <c r="H75" i="15"/>
  <c r="H81" i="15" s="1"/>
  <c r="H86" i="15"/>
  <c r="L94" i="15"/>
  <c r="F95" i="15"/>
  <c r="K94" i="15"/>
  <c r="I75" i="15"/>
  <c r="I81" i="15" s="1"/>
  <c r="I86" i="15"/>
  <c r="M94" i="15"/>
  <c r="G95" i="15"/>
  <c r="N94" i="15"/>
  <c r="K75" i="15"/>
  <c r="K81" i="15" s="1"/>
  <c r="K86" i="15"/>
  <c r="O94" i="15"/>
  <c r="P94" i="15"/>
  <c r="B18" i="28"/>
  <c r="B16" i="28"/>
  <c r="N8" i="6"/>
  <c r="N47" i="8" s="1"/>
  <c r="F45" i="8"/>
  <c r="K68" i="29"/>
  <c r="Q68" i="29"/>
  <c r="Q105" i="15"/>
  <c r="Q39" i="12"/>
  <c r="Q72" i="16"/>
  <c r="Q95" i="9"/>
  <c r="F39" i="12"/>
  <c r="G39" i="12"/>
  <c r="H105" i="15"/>
  <c r="G45" i="8"/>
  <c r="H72" i="16"/>
  <c r="I68" i="29"/>
  <c r="P8" i="6"/>
  <c r="K45" i="8"/>
  <c r="O11" i="6"/>
  <c r="O46" i="8" s="1"/>
  <c r="H39" i="12"/>
  <c r="I45" i="8"/>
  <c r="E8" i="6"/>
  <c r="L11" i="6"/>
  <c r="L40" i="12" s="1"/>
  <c r="C9" i="6"/>
  <c r="C109" i="15" s="1"/>
  <c r="K9" i="6"/>
  <c r="I72" i="16"/>
  <c r="J11" i="6"/>
  <c r="J96" i="9" s="1"/>
  <c r="K95" i="9"/>
  <c r="K72" i="16"/>
  <c r="G72" i="16"/>
  <c r="I95" i="9"/>
  <c r="H95" i="9"/>
  <c r="K105" i="15"/>
  <c r="E95" i="9"/>
  <c r="H45" i="8"/>
  <c r="C68" i="29"/>
  <c r="D44" i="10"/>
  <c r="J8" i="6"/>
  <c r="J108" i="15" s="1"/>
  <c r="O97" i="9"/>
  <c r="I11" i="6"/>
  <c r="I9" i="6"/>
  <c r="D39" i="12"/>
  <c r="J68" i="29"/>
  <c r="M45" i="8"/>
  <c r="D47" i="8"/>
  <c r="O44" i="10"/>
  <c r="C11" i="6"/>
  <c r="D9" i="6"/>
  <c r="L9" i="6"/>
  <c r="F9" i="6"/>
  <c r="C39" i="12"/>
  <c r="D97" i="9"/>
  <c r="P105" i="15"/>
  <c r="O72" i="16"/>
  <c r="J95" i="9"/>
  <c r="F72" i="16"/>
  <c r="O47" i="8"/>
  <c r="F11" i="6"/>
  <c r="B11" i="6"/>
  <c r="B9" i="6"/>
  <c r="M9" i="6"/>
  <c r="M8" i="6"/>
  <c r="R10" i="6"/>
  <c r="P72" i="16"/>
  <c r="M105" i="15"/>
  <c r="F95" i="9"/>
  <c r="H11" i="6"/>
  <c r="F68" i="29"/>
  <c r="C45" i="8"/>
  <c r="P9" i="6"/>
  <c r="Q8" i="6"/>
  <c r="Q11" i="6"/>
  <c r="J72" i="16"/>
  <c r="C105" i="15"/>
  <c r="L95" i="9"/>
  <c r="M72" i="16"/>
  <c r="D11" i="6"/>
  <c r="L8" i="6"/>
  <c r="L108" i="15" s="1"/>
  <c r="K11" i="6"/>
  <c r="O9" i="6"/>
  <c r="F8" i="6"/>
  <c r="M95" i="9"/>
  <c r="M39" i="12"/>
  <c r="L105" i="15"/>
  <c r="C72" i="16"/>
  <c r="O68" i="29"/>
  <c r="E72" i="16"/>
  <c r="L72" i="16"/>
  <c r="N11" i="6"/>
  <c r="N9" i="6"/>
  <c r="D41" i="12"/>
  <c r="E39" i="12"/>
  <c r="P95" i="9"/>
  <c r="E68" i="29"/>
  <c r="P11" i="6"/>
  <c r="Q9" i="6"/>
  <c r="E45" i="8"/>
  <c r="M11" i="6"/>
  <c r="G9" i="6"/>
  <c r="G8" i="6"/>
  <c r="G11" i="6"/>
  <c r="H9" i="6"/>
  <c r="K39" i="8"/>
  <c r="E72" i="2"/>
  <c r="N39" i="10"/>
  <c r="M39" i="10"/>
  <c r="L39" i="8"/>
  <c r="P39" i="8"/>
  <c r="H39" i="10"/>
  <c r="P39" i="10"/>
  <c r="G39" i="10"/>
  <c r="A10" i="18"/>
  <c r="A19" i="18"/>
  <c r="A28" i="18"/>
  <c r="A29" i="18"/>
  <c r="A6" i="18"/>
  <c r="A26" i="18"/>
  <c r="A12" i="18"/>
  <c r="A13" i="18"/>
  <c r="A11" i="18"/>
  <c r="A16" i="18"/>
  <c r="A25" i="18"/>
  <c r="N106" i="29"/>
  <c r="F106" i="29"/>
  <c r="I106" i="29"/>
  <c r="B106" i="29"/>
  <c r="P27" i="29"/>
  <c r="P19" i="29"/>
  <c r="F31" i="29"/>
  <c r="F10" i="29"/>
  <c r="F12" i="29"/>
  <c r="F13" i="29"/>
  <c r="F17" i="29"/>
  <c r="F21" i="29"/>
  <c r="F8" i="29"/>
  <c r="F11" i="29"/>
  <c r="F14" i="29"/>
  <c r="F18" i="29"/>
  <c r="P8" i="29"/>
  <c r="P9" i="29" s="1"/>
  <c r="P10" i="29"/>
  <c r="P11" i="29"/>
  <c r="P12" i="29"/>
  <c r="O10" i="29"/>
  <c r="O11" i="29"/>
  <c r="O12" i="29"/>
  <c r="O8" i="29"/>
  <c r="O9" i="29" s="1"/>
  <c r="E38" i="29"/>
  <c r="E63" i="29"/>
  <c r="E59" i="29"/>
  <c r="E60" i="29"/>
  <c r="P31" i="29"/>
  <c r="D5" i="29"/>
  <c r="G5" i="29"/>
  <c r="B36" i="29"/>
  <c r="E42" i="29"/>
  <c r="E43" i="29"/>
  <c r="E39" i="29"/>
  <c r="E41" i="29"/>
  <c r="P21" i="29"/>
  <c r="E62" i="29"/>
  <c r="I5" i="29"/>
  <c r="N5" i="29"/>
  <c r="C5" i="29"/>
  <c r="E52" i="29"/>
  <c r="E57" i="29" s="1"/>
  <c r="O21" i="29"/>
  <c r="P22" i="29"/>
  <c r="P23" i="29"/>
  <c r="P24" i="29"/>
  <c r="O23" i="29"/>
  <c r="O24" i="29"/>
  <c r="O25" i="29"/>
  <c r="O22" i="29"/>
  <c r="E48" i="29"/>
  <c r="E49" i="29"/>
  <c r="E44" i="29"/>
  <c r="E5" i="29"/>
  <c r="E17" i="29" s="1"/>
  <c r="L9" i="2"/>
  <c r="L17" i="2"/>
  <c r="L25" i="2"/>
  <c r="L33" i="2"/>
  <c r="L33" i="8"/>
  <c r="L35" i="8" s="1"/>
  <c r="L13" i="2"/>
  <c r="L21" i="2"/>
  <c r="L29" i="2"/>
  <c r="L37" i="2"/>
  <c r="L64" i="2"/>
  <c r="L58" i="2"/>
  <c r="L62" i="2"/>
  <c r="L10" i="2"/>
  <c r="L14" i="2"/>
  <c r="L18" i="2"/>
  <c r="L30" i="2"/>
  <c r="L65" i="2"/>
  <c r="N33" i="8"/>
  <c r="N35" i="8" s="1"/>
  <c r="P33" i="8"/>
  <c r="P35" i="8" s="1"/>
  <c r="L6" i="2"/>
  <c r="L7" i="2"/>
  <c r="L11" i="2"/>
  <c r="L15" i="2"/>
  <c r="L19" i="2"/>
  <c r="L39" i="2"/>
  <c r="L43" i="2"/>
  <c r="L47" i="2"/>
  <c r="L56" i="2"/>
  <c r="L60" i="2"/>
  <c r="L50" i="2"/>
  <c r="Q86" i="15"/>
  <c r="L42" i="2"/>
  <c r="L40" i="2"/>
  <c r="L55" i="2"/>
  <c r="G53" i="16"/>
  <c r="I53" i="16"/>
  <c r="O42" i="16"/>
  <c r="O48" i="16" s="1"/>
  <c r="P30" i="12"/>
  <c r="P32" i="12" s="1"/>
  <c r="M39" i="8"/>
  <c r="F45" i="4"/>
  <c r="F40" i="4"/>
  <c r="Q20" i="8"/>
  <c r="E33" i="4"/>
  <c r="D39" i="10"/>
  <c r="Q83" i="9"/>
  <c r="E44" i="4"/>
  <c r="M78" i="2"/>
  <c r="E24" i="4"/>
  <c r="E26" i="4" s="1"/>
  <c r="O30" i="12"/>
  <c r="O32" i="12" s="1"/>
  <c r="O34" i="12" s="1"/>
  <c r="L53" i="2"/>
  <c r="L41" i="2"/>
  <c r="K72" i="2"/>
  <c r="L67" i="2"/>
  <c r="L71" i="2"/>
  <c r="L28" i="2"/>
  <c r="L45" i="2"/>
  <c r="L49" i="2"/>
  <c r="L69" i="2"/>
  <c r="H72" i="2"/>
  <c r="J33" i="8"/>
  <c r="K33" i="8"/>
  <c r="K35" i="8" s="1"/>
  <c r="K40" i="8" s="1"/>
  <c r="L68" i="2"/>
  <c r="M33" i="10"/>
  <c r="M35" i="10" s="1"/>
  <c r="O62" i="16"/>
  <c r="G62" i="16"/>
  <c r="K62" i="16"/>
  <c r="P62" i="16"/>
  <c r="D57" i="29"/>
  <c r="B70" i="28"/>
  <c r="E46" i="8"/>
  <c r="E40" i="12"/>
  <c r="E96" i="9"/>
  <c r="E106" i="15"/>
  <c r="E73" i="16"/>
  <c r="E69" i="29"/>
  <c r="J73" i="28"/>
  <c r="J48" i="28"/>
  <c r="J51" i="28" s="1"/>
  <c r="J37" i="6" s="1"/>
  <c r="J111" i="15" s="1"/>
  <c r="J109" i="15"/>
  <c r="I108" i="15"/>
  <c r="I47" i="8"/>
  <c r="I44" i="10"/>
  <c r="I97" i="9"/>
  <c r="I41" i="12"/>
  <c r="F33" i="8"/>
  <c r="F35" i="8" s="1"/>
  <c r="L70" i="2"/>
  <c r="L22" i="2"/>
  <c r="L26" i="2"/>
  <c r="L32" i="2"/>
  <c r="L12" i="2"/>
  <c r="L16" i="2"/>
  <c r="L20" i="2"/>
  <c r="L52" i="2"/>
  <c r="F23" i="4"/>
  <c r="F26" i="4" s="1"/>
  <c r="C47" i="4"/>
  <c r="O108" i="15"/>
  <c r="E9" i="6"/>
  <c r="B8" i="6"/>
  <c r="C8" i="6"/>
  <c r="H8" i="6"/>
  <c r="L23" i="2"/>
  <c r="L27" i="2"/>
  <c r="D30" i="8"/>
  <c r="D33" i="8" s="1"/>
  <c r="D35" i="8" s="1"/>
  <c r="L51" i="2"/>
  <c r="F44" i="4"/>
  <c r="D47" i="4"/>
  <c r="E39" i="8"/>
  <c r="C39" i="8"/>
  <c r="L38" i="2"/>
  <c r="C33" i="10"/>
  <c r="C35" i="10" s="1"/>
  <c r="F20" i="10"/>
  <c r="E39" i="10"/>
  <c r="I39" i="10"/>
  <c r="Q39" i="10"/>
  <c r="Q29" i="7"/>
  <c r="L29" i="7"/>
  <c r="N29" i="7"/>
  <c r="M29" i="7"/>
  <c r="O33" i="8"/>
  <c r="O35" i="8" s="1"/>
  <c r="M33" i="8"/>
  <c r="M35" i="8" s="1"/>
  <c r="Q33" i="8"/>
  <c r="Q35" i="8" s="1"/>
  <c r="K39" i="10"/>
  <c r="O39" i="10"/>
  <c r="P83" i="9"/>
  <c r="A27" i="34"/>
  <c r="A34" i="34"/>
  <c r="A36" i="34"/>
  <c r="A37" i="34"/>
  <c r="A41" i="34"/>
  <c r="A30" i="34"/>
  <c r="A31" i="34"/>
  <c r="A28" i="34"/>
  <c r="A33" i="34"/>
  <c r="A35" i="34"/>
  <c r="A32" i="34"/>
  <c r="A26" i="34"/>
  <c r="A39" i="34"/>
  <c r="A40" i="34"/>
  <c r="K23" i="12"/>
  <c r="K26" i="12"/>
  <c r="K28" i="12"/>
  <c r="K31" i="12"/>
  <c r="K25" i="12"/>
  <c r="K27" i="12"/>
  <c r="K29" i="12"/>
  <c r="M62" i="16"/>
  <c r="Q62" i="15"/>
  <c r="Q62" i="16"/>
  <c r="E40" i="4"/>
  <c r="E27" i="18"/>
  <c r="J78" i="20"/>
  <c r="A29" i="20"/>
  <c r="A8" i="20"/>
  <c r="A15" i="20"/>
  <c r="A17" i="20"/>
  <c r="A9" i="20"/>
  <c r="A29" i="34"/>
  <c r="A68" i="21"/>
  <c r="A76" i="21"/>
  <c r="A74" i="21"/>
  <c r="A78" i="21"/>
  <c r="A77" i="21"/>
  <c r="A66" i="21"/>
  <c r="B49" i="9"/>
  <c r="L49" i="9"/>
  <c r="O49" i="9"/>
  <c r="J49" i="9"/>
  <c r="C49" i="9"/>
  <c r="K49" i="9"/>
  <c r="G49" i="9"/>
  <c r="E49" i="9"/>
  <c r="N49" i="9"/>
  <c r="H49" i="9"/>
  <c r="I49" i="9"/>
  <c r="F49" i="9"/>
  <c r="B21" i="12"/>
  <c r="B33" i="12" s="1"/>
  <c r="G21" i="12"/>
  <c r="G33" i="12" s="1"/>
  <c r="C21" i="12"/>
  <c r="C33" i="12" s="1"/>
  <c r="E21" i="12"/>
  <c r="E33" i="12" s="1"/>
  <c r="I21" i="12"/>
  <c r="I33" i="12" s="1"/>
  <c r="L39" i="10"/>
  <c r="F39" i="10"/>
  <c r="J39" i="10"/>
  <c r="E28" i="18"/>
  <c r="F24" i="29"/>
  <c r="F25" i="29"/>
  <c r="F22" i="29"/>
  <c r="F23" i="29"/>
  <c r="A38" i="34"/>
  <c r="Q47" i="28"/>
  <c r="N47" i="28"/>
  <c r="O47" i="28"/>
  <c r="P47" i="28"/>
  <c r="B47" i="28"/>
  <c r="C47" i="28"/>
  <c r="D47" i="28"/>
  <c r="E47" i="28"/>
  <c r="F47" i="28"/>
  <c r="G47" i="28"/>
  <c r="H47" i="28"/>
  <c r="I47" i="28"/>
  <c r="O5" i="7"/>
  <c r="C5" i="7"/>
  <c r="P5" i="7"/>
  <c r="B5" i="7"/>
  <c r="K5" i="7"/>
  <c r="E5" i="7"/>
  <c r="J5" i="7"/>
  <c r="D5" i="7"/>
  <c r="I5" i="7"/>
  <c r="N55" i="8"/>
  <c r="H55" i="8"/>
  <c r="M55" i="8"/>
  <c r="G55" i="8"/>
  <c r="L55" i="8"/>
  <c r="F55" i="8"/>
  <c r="K55" i="8"/>
  <c r="P55" i="8"/>
  <c r="C112" i="8"/>
  <c r="L112" i="8"/>
  <c r="B112" i="8"/>
  <c r="K112" i="8"/>
  <c r="P112" i="8"/>
  <c r="J112" i="8"/>
  <c r="O112" i="8"/>
  <c r="E112" i="8"/>
  <c r="K5" i="10"/>
  <c r="L5" i="10"/>
  <c r="B5" i="10"/>
  <c r="E5" i="10"/>
  <c r="Q5" i="9"/>
  <c r="N5" i="9"/>
  <c r="O5" i="9"/>
  <c r="P5" i="9"/>
  <c r="B5" i="9"/>
  <c r="C5" i="9"/>
  <c r="D5" i="9"/>
  <c r="D35" i="9" s="1"/>
  <c r="E5" i="9"/>
  <c r="F5" i="9"/>
  <c r="G5" i="9"/>
  <c r="H5" i="9"/>
  <c r="I5" i="9"/>
  <c r="C198" i="9"/>
  <c r="F198" i="9"/>
  <c r="N198" i="9"/>
  <c r="D198" i="9"/>
  <c r="I198" i="9"/>
  <c r="G198" i="9"/>
  <c r="H198" i="9"/>
  <c r="M198" i="9"/>
  <c r="O198" i="9"/>
  <c r="L198" i="9"/>
  <c r="N67" i="29"/>
  <c r="L67" i="29"/>
  <c r="K67" i="29"/>
  <c r="H67" i="29"/>
  <c r="F67" i="29"/>
  <c r="P67" i="29"/>
  <c r="L71" i="16"/>
  <c r="N71" i="16"/>
  <c r="E71" i="16"/>
  <c r="B71" i="16"/>
  <c r="O71" i="16"/>
  <c r="J71" i="16"/>
  <c r="M71" i="16"/>
  <c r="D71" i="16"/>
  <c r="C71" i="16"/>
  <c r="J38" i="24"/>
  <c r="O38" i="24"/>
  <c r="P38" i="24"/>
  <c r="N38" i="24"/>
  <c r="H38" i="24"/>
  <c r="M38" i="24"/>
  <c r="G38" i="24"/>
  <c r="L38" i="24"/>
  <c r="K38" i="24"/>
  <c r="E38" i="24"/>
  <c r="I137" i="24"/>
  <c r="J137" i="24"/>
  <c r="O137" i="24"/>
  <c r="F7" i="29"/>
  <c r="F32" i="29"/>
  <c r="F28" i="29"/>
  <c r="F29" i="29"/>
  <c r="J47" i="28"/>
  <c r="I55" i="8"/>
  <c r="M5" i="9"/>
  <c r="A65" i="21"/>
  <c r="A67" i="21"/>
  <c r="D62" i="29"/>
  <c r="D42" i="29"/>
  <c r="D41" i="29"/>
  <c r="D39" i="29"/>
  <c r="D43" i="29"/>
  <c r="D60" i="29"/>
  <c r="D59" i="29"/>
  <c r="D63" i="29"/>
  <c r="D38" i="29"/>
  <c r="Q75" i="29"/>
  <c r="C75" i="29"/>
  <c r="B75" i="29"/>
  <c r="D75" i="29"/>
  <c r="E75" i="29"/>
  <c r="J126" i="15"/>
  <c r="K126" i="15"/>
  <c r="L126" i="15"/>
  <c r="M126" i="15"/>
  <c r="B32" i="8"/>
  <c r="B33" i="8" s="1"/>
  <c r="B37" i="8"/>
  <c r="B39" i="8" s="1"/>
  <c r="A52" i="20"/>
  <c r="A34" i="20"/>
  <c r="M74" i="8"/>
  <c r="L74" i="8"/>
  <c r="K74" i="8"/>
  <c r="J74" i="8"/>
  <c r="C37" i="12"/>
  <c r="E43" i="10"/>
  <c r="M75" i="29"/>
  <c r="H75" i="29"/>
  <c r="O75" i="29"/>
  <c r="L80" i="16"/>
  <c r="E126" i="15"/>
  <c r="O126" i="15"/>
  <c r="F126" i="15"/>
  <c r="C242" i="9"/>
  <c r="B242" i="9"/>
  <c r="D242" i="9"/>
  <c r="E242" i="9"/>
  <c r="Q145" i="16"/>
  <c r="J145" i="16"/>
  <c r="K145" i="16"/>
  <c r="L145" i="16"/>
  <c r="M145" i="16"/>
  <c r="A6" i="22"/>
  <c r="A9" i="22"/>
  <c r="A11" i="22"/>
  <c r="A20" i="22"/>
  <c r="A14" i="22"/>
  <c r="A35" i="21"/>
  <c r="A28" i="21"/>
  <c r="A67" i="36"/>
  <c r="A69" i="36"/>
  <c r="K5" i="15"/>
  <c r="K26" i="15" s="1"/>
  <c r="Q5" i="15"/>
  <c r="Q26" i="15" s="1"/>
  <c r="L5" i="15"/>
  <c r="L26" i="15" s="1"/>
  <c r="H5" i="15"/>
  <c r="H26" i="15" s="1"/>
  <c r="F5" i="15"/>
  <c r="F26" i="15" s="1"/>
  <c r="E5" i="15"/>
  <c r="E26" i="15" s="1"/>
  <c r="B26" i="8"/>
  <c r="A22" i="18"/>
  <c r="A23" i="18"/>
  <c r="A20" i="18"/>
  <c r="A21" i="18"/>
  <c r="A36" i="20"/>
  <c r="A41" i="20"/>
  <c r="N22" i="28"/>
  <c r="P72" i="28"/>
  <c r="L58" i="7"/>
  <c r="L5" i="8"/>
  <c r="N5" i="8"/>
  <c r="I74" i="8"/>
  <c r="H74" i="8"/>
  <c r="G74" i="8"/>
  <c r="F74" i="8"/>
  <c r="I37" i="12"/>
  <c r="N37" i="12"/>
  <c r="E48" i="10"/>
  <c r="D48" i="10"/>
  <c r="C48" i="10"/>
  <c r="B48" i="10"/>
  <c r="D110" i="9"/>
  <c r="L242" i="9"/>
  <c r="F242" i="9"/>
  <c r="I75" i="29"/>
  <c r="N75" i="29"/>
  <c r="K75" i="29"/>
  <c r="D106" i="29"/>
  <c r="H145" i="16"/>
  <c r="C145" i="16"/>
  <c r="I5" i="15"/>
  <c r="I26" i="15" s="1"/>
  <c r="P126" i="15"/>
  <c r="G126" i="15"/>
  <c r="B126" i="15"/>
  <c r="A16" i="22"/>
  <c r="A15" i="22"/>
  <c r="A32" i="21"/>
  <c r="A80" i="36"/>
  <c r="F36" i="29"/>
  <c r="O5" i="15"/>
  <c r="O26" i="15" s="1"/>
  <c r="A25" i="21"/>
  <c r="A39" i="21"/>
  <c r="Q104" i="15"/>
  <c r="G104" i="15"/>
  <c r="L104" i="15"/>
  <c r="K192" i="15"/>
  <c r="H192" i="15"/>
  <c r="A38" i="36"/>
  <c r="A27" i="36"/>
  <c r="A32" i="36"/>
  <c r="A33" i="36"/>
  <c r="H24" i="8"/>
  <c r="I24" i="8"/>
  <c r="B38" i="16"/>
  <c r="D38" i="16"/>
  <c r="F38" i="16"/>
  <c r="B5" i="12"/>
  <c r="B17" i="12" s="1"/>
  <c r="Q5" i="12"/>
  <c r="Q17" i="12" s="1"/>
  <c r="H38" i="15"/>
  <c r="O38" i="15"/>
  <c r="N38" i="15"/>
  <c r="D6" i="26"/>
  <c r="G5" i="6"/>
  <c r="F5" i="6"/>
  <c r="G43" i="10"/>
  <c r="F43" i="10"/>
  <c r="H43" i="10"/>
  <c r="I43" i="10"/>
  <c r="Q43" i="10"/>
  <c r="B93" i="9"/>
  <c r="G93" i="9"/>
  <c r="P93" i="9"/>
  <c r="Q80" i="16"/>
  <c r="B80" i="16"/>
  <c r="C80" i="16"/>
  <c r="D80" i="16"/>
  <c r="E80" i="16"/>
  <c r="B137" i="24"/>
  <c r="C137" i="24"/>
  <c r="D137" i="24"/>
  <c r="E137" i="24"/>
  <c r="Q137" i="24"/>
  <c r="A21" i="21"/>
  <c r="A11" i="21"/>
  <c r="A13" i="21"/>
  <c r="A6" i="21"/>
  <c r="J55" i="24"/>
  <c r="D21" i="29"/>
  <c r="A37" i="18"/>
  <c r="A35" i="18"/>
  <c r="A42" i="18"/>
  <c r="A26" i="20"/>
  <c r="A23" i="20"/>
  <c r="A13" i="20"/>
  <c r="A64" i="20"/>
  <c r="A6" i="20"/>
  <c r="C22" i="28"/>
  <c r="D22" i="28"/>
  <c r="E22" i="28"/>
  <c r="L72" i="28"/>
  <c r="C72" i="28"/>
  <c r="P13" i="7"/>
  <c r="P15" i="7" s="1"/>
  <c r="P17" i="7" s="1"/>
  <c r="O13" i="7"/>
  <c r="O15" i="7" s="1"/>
  <c r="O17" i="7" s="1"/>
  <c r="C5" i="6"/>
  <c r="P43" i="10"/>
  <c r="J43" i="10"/>
  <c r="C43" i="10"/>
  <c r="I93" i="9"/>
  <c r="O93" i="9"/>
  <c r="M80" i="16"/>
  <c r="H80" i="16"/>
  <c r="N80" i="16"/>
  <c r="P137" i="24"/>
  <c r="K137" i="24"/>
  <c r="F137" i="24"/>
  <c r="A12" i="21"/>
  <c r="K51" i="12"/>
  <c r="D51" i="12"/>
  <c r="Q106" i="29"/>
  <c r="C106" i="29"/>
  <c r="H106" i="29"/>
  <c r="A71" i="21"/>
  <c r="A72" i="21"/>
  <c r="A73" i="21"/>
  <c r="A41" i="18"/>
  <c r="A39" i="18"/>
  <c r="A48" i="18"/>
  <c r="A75" i="20"/>
  <c r="F22" i="28"/>
  <c r="G22" i="28"/>
  <c r="H22" i="28"/>
  <c r="I22" i="28"/>
  <c r="M72" i="28"/>
  <c r="D72" i="28"/>
  <c r="N72" i="28"/>
  <c r="E5" i="6"/>
  <c r="B5" i="6"/>
  <c r="L43" i="10"/>
  <c r="B43" i="10"/>
  <c r="E93" i="9"/>
  <c r="C93" i="9"/>
  <c r="I80" i="16"/>
  <c r="O80" i="16"/>
  <c r="J80" i="16"/>
  <c r="L137" i="24"/>
  <c r="G137" i="24"/>
  <c r="A8" i="21"/>
  <c r="Q13" i="7"/>
  <c r="Q15" i="7" s="1"/>
  <c r="Q17" i="7" s="1"/>
  <c r="F13" i="7"/>
  <c r="F15" i="7" s="1"/>
  <c r="F17" i="7" s="1"/>
  <c r="G13" i="7"/>
  <c r="G15" i="7" s="1"/>
  <c r="G17" i="7" s="1"/>
  <c r="F43" i="8"/>
  <c r="K43" i="8"/>
  <c r="E43" i="8"/>
  <c r="Q67" i="10"/>
  <c r="O67" i="10"/>
  <c r="Q154" i="9"/>
  <c r="B154" i="9"/>
  <c r="C154" i="9"/>
  <c r="D154" i="9"/>
  <c r="E154" i="9"/>
  <c r="Q5" i="29"/>
  <c r="K5" i="29"/>
  <c r="J5" i="29"/>
  <c r="L5" i="29"/>
  <c r="M5" i="29"/>
  <c r="Q159" i="15"/>
  <c r="C159" i="15"/>
  <c r="H159" i="15"/>
  <c r="A45" i="21"/>
  <c r="A53" i="21"/>
  <c r="A48" i="21"/>
  <c r="A58" i="21"/>
  <c r="A57" i="21"/>
  <c r="A61" i="36"/>
  <c r="A59" i="36"/>
  <c r="A60" i="36"/>
  <c r="C5" i="24"/>
  <c r="C22" i="24" s="1"/>
  <c r="H5" i="24"/>
  <c r="H55" i="24" s="1"/>
  <c r="P5" i="24"/>
  <c r="P55" i="24" s="1"/>
  <c r="D5" i="24"/>
  <c r="D55" i="24" s="1"/>
  <c r="L5" i="24"/>
  <c r="L55" i="24" s="1"/>
  <c r="A34" i="18"/>
  <c r="A51" i="18"/>
  <c r="A10" i="20"/>
  <c r="A11" i="20"/>
  <c r="A16" i="20"/>
  <c r="A21" i="20"/>
  <c r="A72" i="20"/>
  <c r="J22" i="28"/>
  <c r="K22" i="28"/>
  <c r="L22" i="28"/>
  <c r="M22" i="28"/>
  <c r="H35" i="28"/>
  <c r="E72" i="28"/>
  <c r="O72" i="28"/>
  <c r="J72" i="28"/>
  <c r="K58" i="7"/>
  <c r="I13" i="7"/>
  <c r="I15" i="7" s="1"/>
  <c r="I17" i="7" s="1"/>
  <c r="H13" i="7"/>
  <c r="H15" i="7" s="1"/>
  <c r="H17" i="7" s="1"/>
  <c r="C13" i="7"/>
  <c r="C15" i="7" s="1"/>
  <c r="C17" i="7" s="1"/>
  <c r="P5" i="6"/>
  <c r="M43" i="8"/>
  <c r="D43" i="8"/>
  <c r="B43" i="8"/>
  <c r="M43" i="10"/>
  <c r="D43" i="10"/>
  <c r="O43" i="10"/>
  <c r="H67" i="10"/>
  <c r="H93" i="9"/>
  <c r="N93" i="9"/>
  <c r="I154" i="9"/>
  <c r="O154" i="9"/>
  <c r="J154" i="9"/>
  <c r="H5" i="29"/>
  <c r="B5" i="29"/>
  <c r="E106" i="29"/>
  <c r="G106" i="29"/>
  <c r="P80" i="16"/>
  <c r="K80" i="16"/>
  <c r="F80" i="16"/>
  <c r="I159" i="15"/>
  <c r="O159" i="15"/>
  <c r="B159" i="15"/>
  <c r="M137" i="24"/>
  <c r="H137" i="24"/>
  <c r="N137" i="24"/>
  <c r="A7" i="21"/>
  <c r="Q55" i="8"/>
  <c r="B55" i="8"/>
  <c r="C55" i="8"/>
  <c r="D55" i="8"/>
  <c r="E55" i="8"/>
  <c r="Q112" i="8"/>
  <c r="F112" i="8"/>
  <c r="G112" i="8"/>
  <c r="H112" i="8"/>
  <c r="I112" i="8"/>
  <c r="J5" i="10"/>
  <c r="G5" i="10"/>
  <c r="J67" i="29"/>
  <c r="O67" i="29"/>
  <c r="I67" i="29"/>
  <c r="Q67" i="29"/>
  <c r="Q71" i="16"/>
  <c r="H71" i="16"/>
  <c r="F71" i="16"/>
  <c r="G71" i="16"/>
  <c r="I71" i="16"/>
  <c r="Q192" i="15"/>
  <c r="C192" i="15"/>
  <c r="F192" i="15"/>
  <c r="L192" i="15"/>
  <c r="M192" i="15"/>
  <c r="Q104" i="24"/>
  <c r="N104" i="24"/>
  <c r="D104" i="24"/>
  <c r="I104" i="24"/>
  <c r="A38" i="21"/>
  <c r="A40" i="21"/>
  <c r="A29" i="21"/>
  <c r="A75" i="36"/>
  <c r="A79" i="36"/>
  <c r="A70" i="36"/>
  <c r="A76" i="36"/>
  <c r="A81" i="36"/>
  <c r="N5" i="24"/>
  <c r="N88" i="24" s="1"/>
  <c r="I5" i="12"/>
  <c r="I17" i="12" s="1"/>
  <c r="I5" i="8"/>
  <c r="O5" i="8"/>
  <c r="J5" i="8"/>
  <c r="M5" i="15"/>
  <c r="M26" i="15" s="1"/>
  <c r="D5" i="15"/>
  <c r="D26" i="15" s="1"/>
  <c r="C5" i="15"/>
  <c r="C26" i="15" s="1"/>
  <c r="B5" i="15"/>
  <c r="F24" i="20"/>
  <c r="F78" i="20" s="1"/>
  <c r="I24" i="20"/>
  <c r="I78" i="20" s="1"/>
  <c r="H24" i="20"/>
  <c r="H78" i="20" s="1"/>
  <c r="B23" i="12"/>
  <c r="B25" i="12"/>
  <c r="B26" i="12"/>
  <c r="B27" i="12"/>
  <c r="B28" i="12"/>
  <c r="B29" i="12"/>
  <c r="B31" i="12"/>
  <c r="E51" i="12"/>
  <c r="J51" i="12"/>
  <c r="C51" i="12"/>
  <c r="N30" i="12"/>
  <c r="N32" i="12" s="1"/>
  <c r="N34" i="12" s="1"/>
  <c r="L21" i="12"/>
  <c r="L33" i="12" s="1"/>
  <c r="J21" i="12"/>
  <c r="J33" i="12" s="1"/>
  <c r="H21" i="12"/>
  <c r="H33" i="12" s="1"/>
  <c r="F21" i="12"/>
  <c r="F33" i="12" s="1"/>
  <c r="D21" i="12"/>
  <c r="D33" i="12" s="1"/>
  <c r="M5" i="12"/>
  <c r="M17" i="12" s="1"/>
  <c r="E5" i="12"/>
  <c r="P51" i="12"/>
  <c r="F51" i="12"/>
  <c r="B51" i="12"/>
  <c r="Q30" i="12"/>
  <c r="Q32" i="12" s="1"/>
  <c r="M30" i="12"/>
  <c r="M32" i="12" s="1"/>
  <c r="M34" i="12" s="1"/>
  <c r="K5" i="12"/>
  <c r="C5" i="12"/>
  <c r="L51" i="12"/>
  <c r="G33" i="10"/>
  <c r="G35" i="10" s="1"/>
  <c r="N33" i="10"/>
  <c r="N35" i="10" s="1"/>
  <c r="L33" i="10"/>
  <c r="L35" i="10" s="1"/>
  <c r="Q58" i="9"/>
  <c r="Q60" i="9" s="1"/>
  <c r="P89" i="9"/>
  <c r="K33" i="10"/>
  <c r="K35" i="10" s="1"/>
  <c r="O33" i="10"/>
  <c r="O35" i="10" s="1"/>
  <c r="P33" i="10"/>
  <c r="P35" i="10" s="1"/>
  <c r="D44" i="3"/>
  <c r="D37" i="3"/>
  <c r="D27" i="3"/>
  <c r="C38" i="3"/>
  <c r="E63" i="2"/>
  <c r="E74" i="2" s="1"/>
  <c r="L8" i="2"/>
  <c r="H63" i="2"/>
  <c r="H74" i="2" s="1"/>
  <c r="R6" i="7"/>
  <c r="D7" i="6" s="1"/>
  <c r="E15" i="7"/>
  <c r="E17" i="7" s="1"/>
  <c r="C34" i="8"/>
  <c r="G10" i="8"/>
  <c r="L31" i="2"/>
  <c r="L35" i="2"/>
  <c r="E29" i="8"/>
  <c r="B29" i="10"/>
  <c r="G34" i="8"/>
  <c r="L46" i="2"/>
  <c r="J34" i="8"/>
  <c r="L44" i="2"/>
  <c r="L48" i="2"/>
  <c r="H34" i="8"/>
  <c r="L66" i="2"/>
  <c r="J12" i="9"/>
  <c r="C9" i="3"/>
  <c r="J78" i="2"/>
  <c r="K63" i="2"/>
  <c r="L24" i="2"/>
  <c r="Q13" i="8"/>
  <c r="Q14" i="8" s="1"/>
  <c r="Q16" i="8" s="1"/>
  <c r="L34" i="2"/>
  <c r="L59" i="2"/>
  <c r="C33" i="8"/>
  <c r="E33" i="10"/>
  <c r="E35" i="10" s="1"/>
  <c r="F33" i="10"/>
  <c r="F35" i="10" s="1"/>
  <c r="I78" i="2"/>
  <c r="L36" i="2"/>
  <c r="L57" i="2"/>
  <c r="L61" i="2"/>
  <c r="G29" i="8"/>
  <c r="J33" i="10"/>
  <c r="J35" i="10" s="1"/>
  <c r="I33" i="10"/>
  <c r="I35" i="10" s="1"/>
  <c r="D33" i="10"/>
  <c r="H33" i="10"/>
  <c r="H35" i="10" s="1"/>
  <c r="Q33" i="10"/>
  <c r="Q35" i="10" s="1"/>
  <c r="Q72" i="9"/>
  <c r="Q89" i="9"/>
  <c r="P58" i="9"/>
  <c r="P60" i="9" s="1"/>
  <c r="P72" i="9"/>
  <c r="I61" i="16"/>
  <c r="B16" i="3"/>
  <c r="C39" i="10"/>
  <c r="D39" i="8"/>
  <c r="Q39" i="8"/>
  <c r="I29" i="7"/>
  <c r="J29" i="7"/>
  <c r="E29" i="7"/>
  <c r="D29" i="7"/>
  <c r="C16" i="3"/>
  <c r="F33" i="4"/>
  <c r="F37" i="8"/>
  <c r="E46" i="4"/>
  <c r="E45" i="4"/>
  <c r="J39" i="8"/>
  <c r="O39" i="8"/>
  <c r="P29" i="7"/>
  <c r="C29" i="7"/>
  <c r="B29" i="7"/>
  <c r="B89" i="10"/>
  <c r="G39" i="8"/>
  <c r="F46" i="4"/>
  <c r="O29" i="7"/>
  <c r="K29" i="7"/>
  <c r="F14" i="10"/>
  <c r="F16" i="10" s="1"/>
  <c r="J19" i="10"/>
  <c r="J10" i="10"/>
  <c r="J15" i="10"/>
  <c r="J9" i="10"/>
  <c r="J12" i="10"/>
  <c r="A45" i="18"/>
  <c r="A46" i="18"/>
  <c r="A43" i="18"/>
  <c r="A40" i="18"/>
  <c r="A71" i="20"/>
  <c r="A66" i="20"/>
  <c r="A60" i="20"/>
  <c r="A78" i="20"/>
  <c r="P35" i="28"/>
  <c r="K35" i="28"/>
  <c r="F35" i="28"/>
  <c r="M58" i="7"/>
  <c r="H58" i="7"/>
  <c r="N58" i="7"/>
  <c r="L5" i="6"/>
  <c r="K5" i="6"/>
  <c r="E37" i="12"/>
  <c r="O37" i="12"/>
  <c r="F37" i="12"/>
  <c r="M5" i="10"/>
  <c r="H5" i="10"/>
  <c r="C5" i="10"/>
  <c r="P67" i="10"/>
  <c r="K67" i="10"/>
  <c r="F67" i="10"/>
  <c r="E110" i="9"/>
  <c r="J110" i="9"/>
  <c r="C110" i="9"/>
  <c r="Q43" i="8"/>
  <c r="N43" i="8"/>
  <c r="O43" i="8"/>
  <c r="P43" i="8"/>
  <c r="Q51" i="12"/>
  <c r="N51" i="12"/>
  <c r="O51" i="12"/>
  <c r="H51" i="12"/>
  <c r="I51" i="12"/>
  <c r="Q198" i="9"/>
  <c r="K198" i="9"/>
  <c r="J198" i="9"/>
  <c r="P198" i="9"/>
  <c r="A18" i="18"/>
  <c r="A15" i="18"/>
  <c r="A8" i="18"/>
  <c r="A24" i="18"/>
  <c r="A17" i="18"/>
  <c r="A49" i="18"/>
  <c r="A50" i="18"/>
  <c r="A47" i="18"/>
  <c r="A44" i="18"/>
  <c r="A14" i="20"/>
  <c r="A7" i="20"/>
  <c r="A27" i="20"/>
  <c r="A24" i="20"/>
  <c r="A67" i="20"/>
  <c r="A81" i="20"/>
  <c r="A80" i="20"/>
  <c r="A73" i="20"/>
  <c r="M35" i="28"/>
  <c r="L35" i="28"/>
  <c r="G35" i="28"/>
  <c r="I58" i="7"/>
  <c r="O58" i="7"/>
  <c r="J58" i="7"/>
  <c r="M5" i="6"/>
  <c r="D5" i="6"/>
  <c r="P37" i="12"/>
  <c r="G37" i="12"/>
  <c r="I5" i="10"/>
  <c r="D5" i="10"/>
  <c r="L67" i="10"/>
  <c r="G67" i="10"/>
  <c r="P110" i="9"/>
  <c r="B110" i="9"/>
  <c r="Q5" i="7"/>
  <c r="F5" i="7"/>
  <c r="G5" i="7"/>
  <c r="L5" i="7"/>
  <c r="M5" i="7"/>
  <c r="B93" i="8"/>
  <c r="C93" i="8"/>
  <c r="D93" i="8"/>
  <c r="E93" i="8"/>
  <c r="Q93" i="9"/>
  <c r="J93" i="9"/>
  <c r="K93" i="9"/>
  <c r="L93" i="9"/>
  <c r="M93" i="9"/>
  <c r="B67" i="29"/>
  <c r="C67" i="29"/>
  <c r="D67" i="29"/>
  <c r="E67" i="29"/>
  <c r="A77" i="20"/>
  <c r="A76" i="20"/>
  <c r="A74" i="20"/>
  <c r="A62" i="20"/>
  <c r="A83" i="20"/>
  <c r="Q35" i="28"/>
  <c r="N35" i="28"/>
  <c r="O35" i="28"/>
  <c r="Q5" i="6"/>
  <c r="J5" i="6"/>
  <c r="O5" i="6"/>
  <c r="H5" i="6"/>
  <c r="I5" i="6"/>
  <c r="Q5" i="10"/>
  <c r="N5" i="10"/>
  <c r="O5" i="10"/>
  <c r="P5" i="10"/>
  <c r="Q110" i="9"/>
  <c r="N110" i="9"/>
  <c r="O110" i="9"/>
  <c r="H110" i="9"/>
  <c r="I110" i="9"/>
  <c r="B58" i="7"/>
  <c r="C58" i="7"/>
  <c r="D58" i="7"/>
  <c r="E58" i="7"/>
  <c r="Q37" i="12"/>
  <c r="J37" i="12"/>
  <c r="K37" i="12"/>
  <c r="L37" i="12"/>
  <c r="M37" i="12"/>
  <c r="B67" i="10"/>
  <c r="C67" i="10"/>
  <c r="D67" i="10"/>
  <c r="E67" i="10"/>
  <c r="I72" i="28"/>
  <c r="H72" i="28"/>
  <c r="G72" i="28"/>
  <c r="F72" i="28"/>
  <c r="E5" i="8"/>
  <c r="D5" i="8"/>
  <c r="C5" i="8"/>
  <c r="B5" i="8"/>
  <c r="M106" i="29"/>
  <c r="L106" i="29"/>
  <c r="K106" i="29"/>
  <c r="J106" i="29"/>
  <c r="E104" i="15"/>
  <c r="D104" i="15"/>
  <c r="C104" i="15"/>
  <c r="B104" i="15"/>
  <c r="M159" i="15"/>
  <c r="L159" i="15"/>
  <c r="K159" i="15"/>
  <c r="J159" i="15"/>
  <c r="K11" i="12"/>
  <c r="K15" i="12"/>
  <c r="K7" i="12"/>
  <c r="K12" i="12"/>
  <c r="K9" i="12"/>
  <c r="K13" i="12"/>
  <c r="C11" i="12"/>
  <c r="C15" i="12"/>
  <c r="C7" i="12"/>
  <c r="C12" i="12"/>
  <c r="C9" i="12"/>
  <c r="C13" i="12"/>
  <c r="Q38" i="24"/>
  <c r="B38" i="24"/>
  <c r="C38" i="24"/>
  <c r="A50" i="34"/>
  <c r="A56" i="34"/>
  <c r="E12" i="12"/>
  <c r="Q9" i="12"/>
  <c r="Q13" i="12"/>
  <c r="Q10" i="12"/>
  <c r="Q11" i="12"/>
  <c r="Q15" i="12"/>
  <c r="I9" i="12"/>
  <c r="I13" i="12"/>
  <c r="I10" i="12"/>
  <c r="I11" i="12"/>
  <c r="I15" i="12"/>
  <c r="B7" i="12"/>
  <c r="B12" i="12"/>
  <c r="B9" i="12"/>
  <c r="B13" i="12"/>
  <c r="B10" i="12"/>
  <c r="O11" i="12"/>
  <c r="O15" i="12"/>
  <c r="O7" i="12"/>
  <c r="O12" i="12"/>
  <c r="O9" i="12"/>
  <c r="O13" i="12"/>
  <c r="G11" i="12"/>
  <c r="G15" i="12"/>
  <c r="G7" i="12"/>
  <c r="G12" i="12"/>
  <c r="G9" i="12"/>
  <c r="G13" i="12"/>
  <c r="M9" i="12"/>
  <c r="M13" i="12"/>
  <c r="M10" i="12"/>
  <c r="M11" i="12"/>
  <c r="M15" i="12"/>
  <c r="E9" i="12"/>
  <c r="E13" i="12"/>
  <c r="E10" i="12"/>
  <c r="E11" i="12"/>
  <c r="E15" i="12"/>
  <c r="M104" i="24"/>
  <c r="L104" i="24"/>
  <c r="K104" i="24"/>
  <c r="J104" i="24"/>
  <c r="A64" i="21"/>
  <c r="A52" i="21"/>
  <c r="A33" i="21"/>
  <c r="A63" i="21"/>
  <c r="A44" i="21"/>
  <c r="A27" i="21"/>
  <c r="A30" i="36"/>
  <c r="P5" i="12"/>
  <c r="P17" i="12" s="1"/>
  <c r="N5" i="12"/>
  <c r="N17" i="12" s="1"/>
  <c r="L5" i="12"/>
  <c r="L17" i="12" s="1"/>
  <c r="J5" i="12"/>
  <c r="J17" i="12" s="1"/>
  <c r="H5" i="12"/>
  <c r="H17" i="12" s="1"/>
  <c r="F5" i="12"/>
  <c r="F17" i="12" s="1"/>
  <c r="D5" i="12"/>
  <c r="D17" i="12" s="1"/>
  <c r="Q5" i="24"/>
  <c r="O5" i="24"/>
  <c r="M5" i="24"/>
  <c r="K5" i="24"/>
  <c r="I5" i="24"/>
  <c r="G5" i="24"/>
  <c r="E5" i="24"/>
  <c r="D24" i="20"/>
  <c r="D51" i="20" s="1"/>
  <c r="E24" i="20"/>
  <c r="H105" i="20"/>
  <c r="G24" i="20"/>
  <c r="G78" i="20" s="1"/>
  <c r="C24" i="20"/>
  <c r="B24" i="20"/>
  <c r="B105" i="20" s="1"/>
  <c r="J105" i="20"/>
  <c r="A106" i="20"/>
  <c r="A90" i="20"/>
  <c r="A97" i="20"/>
  <c r="A104" i="20"/>
  <c r="A88" i="20"/>
  <c r="A95" i="20"/>
  <c r="A46" i="20"/>
  <c r="A44" i="20"/>
  <c r="A51" i="20"/>
  <c r="A35" i="20"/>
  <c r="A42" i="20"/>
  <c r="A49" i="20"/>
  <c r="A33" i="20"/>
  <c r="A98" i="20"/>
  <c r="A105" i="20"/>
  <c r="A89" i="20"/>
  <c r="A96" i="20"/>
  <c r="A103" i="20"/>
  <c r="A87" i="20"/>
  <c r="J51" i="20"/>
  <c r="A48" i="20"/>
  <c r="A55" i="20"/>
  <c r="A39" i="20"/>
  <c r="A53" i="20"/>
  <c r="A37" i="20"/>
  <c r="A102" i="20"/>
  <c r="A109" i="20"/>
  <c r="A93" i="20"/>
  <c r="A100" i="20"/>
  <c r="A107" i="20"/>
  <c r="A91" i="20"/>
  <c r="A18" i="20"/>
  <c r="A25" i="20"/>
  <c r="A19" i="20"/>
  <c r="A12" i="20"/>
  <c r="A28" i="20"/>
  <c r="A40" i="20"/>
  <c r="A47" i="20"/>
  <c r="A54" i="20"/>
  <c r="A38" i="20"/>
  <c r="A45" i="20"/>
  <c r="A79" i="20"/>
  <c r="A63" i="20"/>
  <c r="A94" i="20"/>
  <c r="A101" i="20"/>
  <c r="A108" i="20"/>
  <c r="A92" i="20"/>
  <c r="A99" i="20"/>
  <c r="A82" i="20"/>
  <c r="A61" i="20"/>
  <c r="A65" i="20"/>
  <c r="A69" i="20"/>
  <c r="A55" i="21"/>
  <c r="A54" i="21"/>
  <c r="A20" i="21"/>
  <c r="A19" i="21"/>
  <c r="A18" i="21"/>
  <c r="A46" i="21"/>
  <c r="A49" i="21"/>
  <c r="A70" i="21"/>
  <c r="A69" i="21"/>
  <c r="A51" i="21"/>
  <c r="A50" i="21"/>
  <c r="A17" i="21"/>
  <c r="A16" i="21"/>
  <c r="A15" i="21"/>
  <c r="A14" i="21"/>
  <c r="A56" i="21"/>
  <c r="A30" i="21"/>
  <c r="A75" i="21"/>
  <c r="A34" i="21"/>
  <c r="A59" i="21"/>
  <c r="A97" i="34"/>
  <c r="A73" i="34"/>
  <c r="A72" i="34"/>
  <c r="A53" i="34"/>
  <c r="A52" i="34"/>
  <c r="A47" i="34"/>
  <c r="A94" i="34"/>
  <c r="A95" i="34"/>
  <c r="A74" i="34"/>
  <c r="A87" i="34"/>
  <c r="A91" i="34"/>
  <c r="A81" i="34"/>
  <c r="A61" i="34"/>
  <c r="A21" i="34"/>
  <c r="A19" i="34"/>
  <c r="A17" i="34"/>
  <c r="A15" i="34"/>
  <c r="A13" i="34"/>
  <c r="A11" i="34"/>
  <c r="A9" i="34"/>
  <c r="A7" i="34"/>
  <c r="A93" i="34"/>
  <c r="A69" i="34"/>
  <c r="A68" i="34"/>
  <c r="A49" i="34"/>
  <c r="A48" i="34"/>
  <c r="A75" i="34"/>
  <c r="A88" i="34"/>
  <c r="A90" i="34"/>
  <c r="A66" i="34"/>
  <c r="A51" i="34"/>
  <c r="A86" i="34"/>
  <c r="A78" i="34"/>
  <c r="A58" i="34"/>
  <c r="A77" i="34"/>
  <c r="A76" i="34"/>
  <c r="A99" i="34"/>
  <c r="A100" i="34"/>
  <c r="A92" i="34"/>
  <c r="A96" i="34"/>
  <c r="A89" i="34"/>
  <c r="A80" i="34"/>
  <c r="A79" i="34"/>
  <c r="A60" i="34"/>
  <c r="A59" i="34"/>
  <c r="A67" i="34"/>
  <c r="A54" i="34"/>
  <c r="A98" i="34"/>
  <c r="A71" i="34"/>
  <c r="A20" i="34"/>
  <c r="A18" i="34"/>
  <c r="A16" i="34"/>
  <c r="A14" i="34"/>
  <c r="A12" i="34"/>
  <c r="A10" i="34"/>
  <c r="A8" i="34"/>
  <c r="A73" i="36"/>
  <c r="A72" i="36"/>
  <c r="A78" i="36"/>
  <c r="A47" i="36"/>
  <c r="A66" i="36"/>
  <c r="A71" i="36"/>
  <c r="A41" i="36"/>
  <c r="A21" i="36"/>
  <c r="O86" i="15"/>
  <c r="K61" i="16"/>
  <c r="I42" i="16"/>
  <c r="I48" i="16" s="1"/>
  <c r="N40" i="29"/>
  <c r="N46" i="29" s="1"/>
  <c r="I50" i="29"/>
  <c r="M50" i="29"/>
  <c r="Q50" i="29"/>
  <c r="O40" i="29"/>
  <c r="O46" i="29" s="1"/>
  <c r="J62" i="16"/>
  <c r="P53" i="16"/>
  <c r="P61" i="16"/>
  <c r="O19" i="29"/>
  <c r="G40" i="29"/>
  <c r="G46" i="29" s="1"/>
  <c r="K40" i="29"/>
  <c r="H61" i="16"/>
  <c r="J50" i="29"/>
  <c r="N50" i="29"/>
  <c r="H58" i="29"/>
  <c r="L58" i="29"/>
  <c r="P58" i="29"/>
  <c r="O61" i="16"/>
  <c r="L61" i="16"/>
  <c r="C57" i="29"/>
  <c r="B26" i="13"/>
  <c r="J53" i="16"/>
  <c r="H40" i="29"/>
  <c r="H46" i="29" s="1"/>
  <c r="P40" i="29"/>
  <c r="P46" i="29" s="1"/>
  <c r="Q40" i="29"/>
  <c r="Q46" i="29" s="1"/>
  <c r="G50" i="29"/>
  <c r="K50" i="29"/>
  <c r="O50" i="29"/>
  <c r="H50" i="29"/>
  <c r="L50" i="29"/>
  <c r="P50" i="29"/>
  <c r="I57" i="29"/>
  <c r="M57" i="29"/>
  <c r="Q57" i="29"/>
  <c r="J57" i="29"/>
  <c r="N57" i="29"/>
  <c r="G57" i="29"/>
  <c r="K57" i="29"/>
  <c r="O57" i="29"/>
  <c r="H57" i="29"/>
  <c r="L57" i="29"/>
  <c r="P57" i="29"/>
  <c r="I58" i="29"/>
  <c r="M58" i="29"/>
  <c r="Q58" i="29"/>
  <c r="G61" i="16"/>
  <c r="B18" i="13"/>
  <c r="N61" i="16"/>
  <c r="C56" i="18"/>
  <c r="Q53" i="15"/>
  <c r="Q61" i="15"/>
  <c r="Q53" i="16"/>
  <c r="Q61" i="16"/>
  <c r="J40" i="29"/>
  <c r="J46" i="29" s="1"/>
  <c r="L62" i="16"/>
  <c r="P42" i="16"/>
  <c r="P48" i="16" s="1"/>
  <c r="H62" i="16"/>
  <c r="N53" i="16"/>
  <c r="J61" i="16"/>
  <c r="M61" i="16"/>
  <c r="C40" i="29"/>
  <c r="C46" i="29" s="1"/>
  <c r="C58" i="29"/>
  <c r="D50" i="29"/>
  <c r="L40" i="29"/>
  <c r="L46" i="29" s="1"/>
  <c r="I40" i="29"/>
  <c r="I46" i="29" s="1"/>
  <c r="N62" i="16"/>
  <c r="M53" i="16"/>
  <c r="B27" i="13"/>
  <c r="O27" i="29"/>
  <c r="J58" i="29"/>
  <c r="N58" i="29"/>
  <c r="I62" i="16"/>
  <c r="G58" i="29"/>
  <c r="K58" i="29"/>
  <c r="O58" i="29"/>
  <c r="B7" i="13"/>
  <c r="B19" i="28"/>
  <c r="B17" i="28"/>
  <c r="L42" i="16"/>
  <c r="Q42" i="15"/>
  <c r="Q42" i="16"/>
  <c r="Q48" i="16" s="1"/>
  <c r="M40" i="29"/>
  <c r="M46" i="29" s="1"/>
  <c r="O75" i="15"/>
  <c r="O81" i="15" s="1"/>
  <c r="G94" i="15"/>
  <c r="G75" i="15"/>
  <c r="G81" i="15" s="1"/>
  <c r="G86" i="15"/>
  <c r="B6" i="26"/>
  <c r="P19" i="8" l="1"/>
  <c r="P15" i="8"/>
  <c r="P18" i="8"/>
  <c r="P20" i="8" s="1"/>
  <c r="P7" i="8"/>
  <c r="P13" i="8"/>
  <c r="P12" i="8"/>
  <c r="P9" i="8"/>
  <c r="P14" i="8" s="1"/>
  <c r="P16" i="8" s="1"/>
  <c r="P21" i="8" s="1"/>
  <c r="P11" i="8"/>
  <c r="P10" i="8"/>
  <c r="K47" i="8"/>
  <c r="B30" i="10"/>
  <c r="R30" i="10" s="1"/>
  <c r="B28" i="10"/>
  <c r="R28" i="10" s="1"/>
  <c r="B32" i="10"/>
  <c r="R32" i="10" s="1"/>
  <c r="B31" i="10"/>
  <c r="R31" i="10" s="1"/>
  <c r="B38" i="10"/>
  <c r="R38" i="10" s="1"/>
  <c r="B34" i="10"/>
  <c r="R34" i="10" s="1"/>
  <c r="B26" i="10"/>
  <c r="R26" i="10" s="1"/>
  <c r="B37" i="10"/>
  <c r="E7" i="12"/>
  <c r="E17" i="12"/>
  <c r="E23" i="29"/>
  <c r="E18" i="29"/>
  <c r="K44" i="10"/>
  <c r="F12" i="8"/>
  <c r="F13" i="8"/>
  <c r="F9" i="8"/>
  <c r="F11" i="8"/>
  <c r="F15" i="8"/>
  <c r="F18" i="8"/>
  <c r="F19" i="8"/>
  <c r="F10" i="8"/>
  <c r="F7" i="8"/>
  <c r="K97" i="9"/>
  <c r="K10" i="8"/>
  <c r="K19" i="8"/>
  <c r="K9" i="8"/>
  <c r="K13" i="8"/>
  <c r="K7" i="8"/>
  <c r="K15" i="8"/>
  <c r="K12" i="8"/>
  <c r="K11" i="8"/>
  <c r="K18" i="8"/>
  <c r="K20" i="8" s="1"/>
  <c r="M12" i="8"/>
  <c r="M13" i="8"/>
  <c r="M11" i="8"/>
  <c r="M10" i="8"/>
  <c r="M9" i="8"/>
  <c r="M14" i="8" s="1"/>
  <c r="M15" i="8"/>
  <c r="M18" i="8"/>
  <c r="M20" i="8" s="1"/>
  <c r="M7" i="8"/>
  <c r="M19" i="8"/>
  <c r="H13" i="8"/>
  <c r="H9" i="8"/>
  <c r="H10" i="8"/>
  <c r="H12" i="8"/>
  <c r="H15" i="8"/>
  <c r="H18" i="8"/>
  <c r="H19" i="8"/>
  <c r="H11" i="8"/>
  <c r="H7" i="8"/>
  <c r="D88" i="9"/>
  <c r="C10" i="12"/>
  <c r="C17" i="12"/>
  <c r="K108" i="15"/>
  <c r="J25" i="9"/>
  <c r="G18" i="8"/>
  <c r="G13" i="8"/>
  <c r="G19" i="8"/>
  <c r="G9" i="8"/>
  <c r="G14" i="8" s="1"/>
  <c r="G16" i="8" s="1"/>
  <c r="G7" i="8"/>
  <c r="G12" i="8"/>
  <c r="G11" i="8"/>
  <c r="G15" i="8"/>
  <c r="K10" i="12"/>
  <c r="K17" i="12"/>
  <c r="D63" i="15"/>
  <c r="C46" i="16"/>
  <c r="C59" i="16"/>
  <c r="F51" i="16"/>
  <c r="F59" i="16"/>
  <c r="D51" i="16"/>
  <c r="D59" i="16"/>
  <c r="B51" i="16"/>
  <c r="B59" i="16"/>
  <c r="F18" i="16"/>
  <c r="F26" i="16"/>
  <c r="J10" i="16"/>
  <c r="J26" i="16"/>
  <c r="G18" i="16"/>
  <c r="G26" i="16"/>
  <c r="M18" i="16"/>
  <c r="M26" i="16"/>
  <c r="O18" i="16"/>
  <c r="O26" i="16"/>
  <c r="N34" i="16"/>
  <c r="N26" i="16"/>
  <c r="E18" i="16"/>
  <c r="E26" i="16"/>
  <c r="I18" i="16"/>
  <c r="I26" i="16"/>
  <c r="H18" i="16"/>
  <c r="H26" i="16"/>
  <c r="D18" i="16"/>
  <c r="D26" i="16"/>
  <c r="B18" i="16"/>
  <c r="B26" i="16"/>
  <c r="K18" i="16"/>
  <c r="K26" i="16"/>
  <c r="C31" i="16"/>
  <c r="C26" i="16"/>
  <c r="P10" i="16"/>
  <c r="P26" i="16"/>
  <c r="C47" i="16"/>
  <c r="P17" i="16"/>
  <c r="P19" i="16"/>
  <c r="N14" i="16"/>
  <c r="N10" i="16"/>
  <c r="P14" i="16"/>
  <c r="Q9" i="16"/>
  <c r="N33" i="16"/>
  <c r="C24" i="16"/>
  <c r="C58" i="16"/>
  <c r="C51" i="16"/>
  <c r="Q29" i="16"/>
  <c r="L24" i="16"/>
  <c r="L18" i="16"/>
  <c r="J24" i="16"/>
  <c r="J18" i="16"/>
  <c r="C22" i="16"/>
  <c r="C18" i="16"/>
  <c r="P7" i="16"/>
  <c r="P18" i="16"/>
  <c r="N25" i="16"/>
  <c r="N18" i="16"/>
  <c r="N19" i="16"/>
  <c r="C23" i="16"/>
  <c r="C34" i="16"/>
  <c r="C7" i="16"/>
  <c r="C8" i="16"/>
  <c r="L17" i="16"/>
  <c r="J17" i="16"/>
  <c r="C11" i="16"/>
  <c r="C33" i="16"/>
  <c r="C13" i="16"/>
  <c r="C12" i="16"/>
  <c r="E53" i="16"/>
  <c r="Q20" i="16"/>
  <c r="E42" i="16"/>
  <c r="E48" i="16" s="1"/>
  <c r="E62" i="16"/>
  <c r="J88" i="24"/>
  <c r="J121" i="24"/>
  <c r="F55" i="24"/>
  <c r="F88" i="24"/>
  <c r="P60" i="15"/>
  <c r="C50" i="15"/>
  <c r="P45" i="15"/>
  <c r="N23" i="15"/>
  <c r="D56" i="15"/>
  <c r="D57" i="15"/>
  <c r="P63" i="15"/>
  <c r="D64" i="15"/>
  <c r="D62" i="15" s="1"/>
  <c r="N27" i="15"/>
  <c r="E42" i="15"/>
  <c r="E48" i="15" s="1"/>
  <c r="C83" i="15"/>
  <c r="C92" i="15"/>
  <c r="E84" i="15"/>
  <c r="E92" i="15"/>
  <c r="C121" i="24"/>
  <c r="C88" i="24"/>
  <c r="F22" i="24"/>
  <c r="F51" i="15"/>
  <c r="F59" i="15"/>
  <c r="O51" i="15"/>
  <c r="O59" i="15"/>
  <c r="H51" i="15"/>
  <c r="H59" i="15"/>
  <c r="I51" i="15"/>
  <c r="I59" i="15"/>
  <c r="N51" i="15"/>
  <c r="N59" i="15"/>
  <c r="J51" i="15"/>
  <c r="J59" i="15"/>
  <c r="F57" i="15"/>
  <c r="C40" i="15"/>
  <c r="C59" i="15"/>
  <c r="C67" i="15"/>
  <c r="F50" i="15"/>
  <c r="F63" i="15"/>
  <c r="F45" i="15"/>
  <c r="F46" i="15"/>
  <c r="C64" i="15"/>
  <c r="F41" i="15"/>
  <c r="C47" i="15"/>
  <c r="F52" i="15"/>
  <c r="F66" i="15"/>
  <c r="C44" i="15"/>
  <c r="B18" i="15"/>
  <c r="B26" i="15"/>
  <c r="C45" i="15"/>
  <c r="J18" i="15"/>
  <c r="J26" i="15"/>
  <c r="G18" i="15"/>
  <c r="G26" i="15"/>
  <c r="F44" i="15"/>
  <c r="B77" i="15"/>
  <c r="B84" i="15"/>
  <c r="G23" i="15"/>
  <c r="G24" i="15"/>
  <c r="G25" i="15"/>
  <c r="G17" i="15"/>
  <c r="F60" i="15"/>
  <c r="E53" i="15"/>
  <c r="G11" i="15"/>
  <c r="F64" i="15"/>
  <c r="C79" i="15"/>
  <c r="C84" i="15"/>
  <c r="M67" i="15"/>
  <c r="M51" i="15"/>
  <c r="L58" i="15"/>
  <c r="L51" i="15"/>
  <c r="C63" i="15"/>
  <c r="C51" i="15"/>
  <c r="C46" i="15"/>
  <c r="K58" i="15"/>
  <c r="K51" i="15"/>
  <c r="P56" i="15"/>
  <c r="P51" i="15"/>
  <c r="G66" i="15"/>
  <c r="G51" i="15"/>
  <c r="C56" i="15"/>
  <c r="C58" i="15"/>
  <c r="C41" i="15"/>
  <c r="F58" i="15"/>
  <c r="F67" i="15"/>
  <c r="G40" i="15"/>
  <c r="C52" i="15"/>
  <c r="C43" i="15"/>
  <c r="C60" i="15"/>
  <c r="C57" i="15"/>
  <c r="I19" i="15"/>
  <c r="I18" i="15"/>
  <c r="E19" i="15"/>
  <c r="E18" i="15"/>
  <c r="G30" i="15"/>
  <c r="N14" i="15"/>
  <c r="N18" i="15"/>
  <c r="F19" i="15"/>
  <c r="F18" i="15"/>
  <c r="L19" i="15"/>
  <c r="L18" i="15"/>
  <c r="Q19" i="15"/>
  <c r="Q18" i="15"/>
  <c r="G8" i="15"/>
  <c r="M57" i="15"/>
  <c r="C19" i="15"/>
  <c r="C18" i="15"/>
  <c r="K19" i="15"/>
  <c r="K18" i="15"/>
  <c r="G14" i="15"/>
  <c r="G13" i="15"/>
  <c r="D19" i="15"/>
  <c r="D18" i="15"/>
  <c r="G33" i="15"/>
  <c r="C76" i="15"/>
  <c r="G31" i="15"/>
  <c r="O19" i="15"/>
  <c r="O18" i="15"/>
  <c r="H19" i="15"/>
  <c r="H18" i="15"/>
  <c r="M19" i="15"/>
  <c r="M18" i="15"/>
  <c r="G34" i="15"/>
  <c r="G10" i="15"/>
  <c r="F43" i="15"/>
  <c r="F47" i="15"/>
  <c r="F40" i="15"/>
  <c r="F42" i="15" s="1"/>
  <c r="F56" i="15"/>
  <c r="G27" i="15"/>
  <c r="P29" i="15"/>
  <c r="Q28" i="16"/>
  <c r="N24" i="15"/>
  <c r="M50" i="15"/>
  <c r="L60" i="15"/>
  <c r="N12" i="15"/>
  <c r="M56" i="15"/>
  <c r="M60" i="15"/>
  <c r="L52" i="15"/>
  <c r="N13" i="15"/>
  <c r="G19" i="15"/>
  <c r="G7" i="15"/>
  <c r="G12" i="15"/>
  <c r="M44" i="15"/>
  <c r="P46" i="15"/>
  <c r="L41" i="15"/>
  <c r="M47" i="15"/>
  <c r="N34" i="15"/>
  <c r="P58" i="15"/>
  <c r="N30" i="15"/>
  <c r="B62" i="15"/>
  <c r="D73" i="9"/>
  <c r="D87" i="9"/>
  <c r="D86" i="9"/>
  <c r="D65" i="9"/>
  <c r="L13" i="9"/>
  <c r="L42" i="9"/>
  <c r="L7" i="9"/>
  <c r="J31" i="9"/>
  <c r="J34" i="9"/>
  <c r="J21" i="9"/>
  <c r="J37" i="9"/>
  <c r="J10" i="9"/>
  <c r="J17" i="9"/>
  <c r="J38" i="9"/>
  <c r="D75" i="9"/>
  <c r="L9" i="9"/>
  <c r="L43" i="9"/>
  <c r="L24" i="9"/>
  <c r="L33" i="9"/>
  <c r="D68" i="9"/>
  <c r="D59" i="9"/>
  <c r="D70" i="9"/>
  <c r="J43" i="9"/>
  <c r="D56" i="9"/>
  <c r="J23" i="9"/>
  <c r="J26" i="9"/>
  <c r="J40" i="9"/>
  <c r="D53" i="9"/>
  <c r="J42" i="9"/>
  <c r="D84" i="9"/>
  <c r="J7" i="9"/>
  <c r="J24" i="9"/>
  <c r="F77" i="9"/>
  <c r="F61" i="9"/>
  <c r="F79" i="9"/>
  <c r="L34" i="9"/>
  <c r="I77" i="9"/>
  <c r="I79" i="9"/>
  <c r="D63" i="9"/>
  <c r="L26" i="9"/>
  <c r="M83" i="9"/>
  <c r="L15" i="9"/>
  <c r="D78" i="9"/>
  <c r="H77" i="9"/>
  <c r="H79" i="9"/>
  <c r="N77" i="9"/>
  <c r="N79" i="9"/>
  <c r="E77" i="9"/>
  <c r="E79" i="9"/>
  <c r="G77" i="9"/>
  <c r="G79" i="9"/>
  <c r="K77" i="9"/>
  <c r="K79" i="9"/>
  <c r="D64" i="9"/>
  <c r="D66" i="9"/>
  <c r="L23" i="9"/>
  <c r="L77" i="9"/>
  <c r="L79" i="9"/>
  <c r="L32" i="9"/>
  <c r="C77" i="9"/>
  <c r="C79" i="9"/>
  <c r="L44" i="9"/>
  <c r="D54" i="9"/>
  <c r="L37" i="9"/>
  <c r="B77" i="9"/>
  <c r="B79" i="9"/>
  <c r="J77" i="9"/>
  <c r="J79" i="9"/>
  <c r="L20" i="9"/>
  <c r="L31" i="9"/>
  <c r="O77" i="9"/>
  <c r="O79" i="9"/>
  <c r="D51" i="9"/>
  <c r="D74" i="9"/>
  <c r="D71" i="9"/>
  <c r="D81" i="9"/>
  <c r="D83" i="9" s="1"/>
  <c r="L19" i="9"/>
  <c r="L11" i="9"/>
  <c r="M34" i="9"/>
  <c r="M35" i="9"/>
  <c r="O34" i="9"/>
  <c r="O35" i="9"/>
  <c r="Q34" i="9"/>
  <c r="Q35" i="9"/>
  <c r="G34" i="9"/>
  <c r="G35" i="9"/>
  <c r="L17" i="9"/>
  <c r="L38" i="9"/>
  <c r="F34" i="9"/>
  <c r="F35" i="9"/>
  <c r="L40" i="9"/>
  <c r="N34" i="9"/>
  <c r="N35" i="9"/>
  <c r="I34" i="9"/>
  <c r="I35" i="9"/>
  <c r="H34" i="9"/>
  <c r="H35" i="9"/>
  <c r="E34" i="9"/>
  <c r="E35" i="9"/>
  <c r="J15" i="9"/>
  <c r="J29" i="9"/>
  <c r="C34" i="9"/>
  <c r="C35" i="9"/>
  <c r="B34" i="9"/>
  <c r="B35" i="9"/>
  <c r="J11" i="9"/>
  <c r="J13" i="9"/>
  <c r="J19" i="9"/>
  <c r="J30" i="9"/>
  <c r="J20" i="9"/>
  <c r="P34" i="9"/>
  <c r="P35" i="9"/>
  <c r="L10" i="9"/>
  <c r="J44" i="9"/>
  <c r="J35" i="9"/>
  <c r="L30" i="9"/>
  <c r="L25" i="9"/>
  <c r="L22" i="9"/>
  <c r="J27" i="9"/>
  <c r="D69" i="9"/>
  <c r="D77" i="9"/>
  <c r="E61" i="16"/>
  <c r="K39" i="9"/>
  <c r="L12" i="9"/>
  <c r="L21" i="9"/>
  <c r="L29" i="9"/>
  <c r="L27" i="9"/>
  <c r="D89" i="9"/>
  <c r="J66" i="9"/>
  <c r="O87" i="9"/>
  <c r="K45" i="9"/>
  <c r="M58" i="9"/>
  <c r="M60" i="9" s="1"/>
  <c r="G86" i="9"/>
  <c r="K14" i="9"/>
  <c r="K16" i="9" s="1"/>
  <c r="D17" i="9"/>
  <c r="D34" i="9"/>
  <c r="M89" i="9"/>
  <c r="K28" i="9"/>
  <c r="M72" i="9"/>
  <c r="I59" i="9"/>
  <c r="C63" i="16"/>
  <c r="N27" i="16"/>
  <c r="J27" i="16"/>
  <c r="F11" i="16"/>
  <c r="F23" i="16"/>
  <c r="F12" i="16"/>
  <c r="F33" i="16"/>
  <c r="F30" i="16"/>
  <c r="F13" i="16"/>
  <c r="F8" i="16"/>
  <c r="F27" i="16"/>
  <c r="F10" i="16"/>
  <c r="F7" i="16"/>
  <c r="F34" i="16"/>
  <c r="F22" i="16"/>
  <c r="F24" i="16"/>
  <c r="F14" i="16"/>
  <c r="F17" i="16"/>
  <c r="F19" i="16"/>
  <c r="F31" i="16"/>
  <c r="F25" i="16"/>
  <c r="L31" i="16"/>
  <c r="L23" i="16"/>
  <c r="L13" i="16"/>
  <c r="L33" i="16"/>
  <c r="L27" i="16"/>
  <c r="L19" i="16"/>
  <c r="L12" i="16"/>
  <c r="N13" i="16"/>
  <c r="N12" i="16"/>
  <c r="L34" i="16"/>
  <c r="C43" i="16"/>
  <c r="C40" i="16"/>
  <c r="M31" i="16"/>
  <c r="M17" i="16"/>
  <c r="M23" i="16"/>
  <c r="M19" i="16"/>
  <c r="M30" i="16"/>
  <c r="M11" i="16"/>
  <c r="M13" i="16"/>
  <c r="M22" i="16"/>
  <c r="M25" i="16"/>
  <c r="M27" i="16"/>
  <c r="M8" i="16"/>
  <c r="M12" i="16"/>
  <c r="M7" i="16"/>
  <c r="M34" i="16"/>
  <c r="M10" i="16"/>
  <c r="M24" i="16"/>
  <c r="M33" i="16"/>
  <c r="M14" i="16"/>
  <c r="J25" i="16"/>
  <c r="J12" i="16"/>
  <c r="J7" i="16"/>
  <c r="J34" i="16"/>
  <c r="J13" i="16"/>
  <c r="J22" i="16"/>
  <c r="N24" i="16"/>
  <c r="L7" i="16"/>
  <c r="C55" i="16"/>
  <c r="J14" i="16"/>
  <c r="P12" i="16"/>
  <c r="L25" i="16"/>
  <c r="P33" i="16"/>
  <c r="J19" i="16"/>
  <c r="L11" i="16"/>
  <c r="N31" i="16"/>
  <c r="P8" i="16"/>
  <c r="J8" i="16"/>
  <c r="Q15" i="16"/>
  <c r="P11" i="16"/>
  <c r="P30" i="16"/>
  <c r="P27" i="16"/>
  <c r="J33" i="16"/>
  <c r="C45" i="16"/>
  <c r="N23" i="16"/>
  <c r="N30" i="16"/>
  <c r="N11" i="16"/>
  <c r="J23" i="16"/>
  <c r="P13" i="16"/>
  <c r="L8" i="16"/>
  <c r="C66" i="16"/>
  <c r="H14" i="16"/>
  <c r="H19" i="16"/>
  <c r="H22" i="16"/>
  <c r="H10" i="16"/>
  <c r="H25" i="16"/>
  <c r="H30" i="16"/>
  <c r="H13" i="16"/>
  <c r="H33" i="16"/>
  <c r="H23" i="16"/>
  <c r="H8" i="16"/>
  <c r="H17" i="16"/>
  <c r="H11" i="16"/>
  <c r="H27" i="16"/>
  <c r="H31" i="16"/>
  <c r="H12" i="16"/>
  <c r="H24" i="16"/>
  <c r="H34" i="16"/>
  <c r="H7" i="16"/>
  <c r="N7" i="16"/>
  <c r="L10" i="16"/>
  <c r="C64" i="16"/>
  <c r="C57" i="16"/>
  <c r="C41" i="16"/>
  <c r="C60" i="16"/>
  <c r="C50" i="16"/>
  <c r="C67" i="16"/>
  <c r="C44" i="16"/>
  <c r="P22" i="16"/>
  <c r="P31" i="16"/>
  <c r="L14" i="16"/>
  <c r="J30" i="16"/>
  <c r="C52" i="16"/>
  <c r="C17" i="16"/>
  <c r="C27" i="16"/>
  <c r="C14" i="16"/>
  <c r="C25" i="16"/>
  <c r="C19" i="16"/>
  <c r="C30" i="16"/>
  <c r="C10" i="16"/>
  <c r="L22" i="16"/>
  <c r="P23" i="16"/>
  <c r="C56" i="16"/>
  <c r="N22" i="16"/>
  <c r="J11" i="16"/>
  <c r="P24" i="16"/>
  <c r="P25" i="16"/>
  <c r="N8" i="16"/>
  <c r="L30" i="16"/>
  <c r="N17" i="16"/>
  <c r="J31" i="16"/>
  <c r="O11" i="16"/>
  <c r="O30" i="16"/>
  <c r="O23" i="16"/>
  <c r="O34" i="16"/>
  <c r="O13" i="16"/>
  <c r="O24" i="16"/>
  <c r="O22" i="16"/>
  <c r="O14" i="16"/>
  <c r="O10" i="16"/>
  <c r="O33" i="16"/>
  <c r="O17" i="16"/>
  <c r="O31" i="16"/>
  <c r="O27" i="16"/>
  <c r="O19" i="16"/>
  <c r="O25" i="16"/>
  <c r="O12" i="16"/>
  <c r="O7" i="16"/>
  <c r="O8" i="16"/>
  <c r="B24" i="16"/>
  <c r="B14" i="16"/>
  <c r="B34" i="16"/>
  <c r="B31" i="16"/>
  <c r="B27" i="16"/>
  <c r="B10" i="16"/>
  <c r="B33" i="16"/>
  <c r="B19" i="16"/>
  <c r="B8" i="16"/>
  <c r="B12" i="16"/>
  <c r="B25" i="16"/>
  <c r="B7" i="16"/>
  <c r="B17" i="16"/>
  <c r="B11" i="16"/>
  <c r="B30" i="16"/>
  <c r="B23" i="16"/>
  <c r="B13" i="16"/>
  <c r="K8" i="16"/>
  <c r="K24" i="16"/>
  <c r="K17" i="16"/>
  <c r="K12" i="16"/>
  <c r="K14" i="16"/>
  <c r="K13" i="16"/>
  <c r="K23" i="16"/>
  <c r="K7" i="16"/>
  <c r="K31" i="16"/>
  <c r="K33" i="16"/>
  <c r="K25" i="16"/>
  <c r="K34" i="16"/>
  <c r="K19" i="16"/>
  <c r="K30" i="16"/>
  <c r="K22" i="16"/>
  <c r="K10" i="16"/>
  <c r="K11" i="16"/>
  <c r="K27" i="16"/>
  <c r="I54" i="16"/>
  <c r="E33" i="16"/>
  <c r="E30" i="16"/>
  <c r="E17" i="16"/>
  <c r="E23" i="16"/>
  <c r="E27" i="16"/>
  <c r="E13" i="16"/>
  <c r="E19" i="16"/>
  <c r="E8" i="16"/>
  <c r="E10" i="16"/>
  <c r="E25" i="16"/>
  <c r="E11" i="16"/>
  <c r="E12" i="16"/>
  <c r="E7" i="16"/>
  <c r="E34" i="16"/>
  <c r="E22" i="16"/>
  <c r="E31" i="16"/>
  <c r="E24" i="16"/>
  <c r="E14" i="16"/>
  <c r="G22" i="16"/>
  <c r="G30" i="16"/>
  <c r="G7" i="16"/>
  <c r="G24" i="16"/>
  <c r="G11" i="16"/>
  <c r="G10" i="16"/>
  <c r="G25" i="16"/>
  <c r="G33" i="16"/>
  <c r="G23" i="16"/>
  <c r="G17" i="16"/>
  <c r="G8" i="16"/>
  <c r="G34" i="16"/>
  <c r="G13" i="16"/>
  <c r="G14" i="16"/>
  <c r="G27" i="16"/>
  <c r="G19" i="16"/>
  <c r="G31" i="16"/>
  <c r="G12" i="16"/>
  <c r="I8" i="16"/>
  <c r="I33" i="16"/>
  <c r="I27" i="16"/>
  <c r="I19" i="16"/>
  <c r="I12" i="16"/>
  <c r="I7" i="16"/>
  <c r="I11" i="16"/>
  <c r="I34" i="16"/>
  <c r="I17" i="16"/>
  <c r="I31" i="16"/>
  <c r="I24" i="16"/>
  <c r="I23" i="16"/>
  <c r="I14" i="16"/>
  <c r="I10" i="16"/>
  <c r="I22" i="16"/>
  <c r="I13" i="16"/>
  <c r="I30" i="16"/>
  <c r="I25" i="16"/>
  <c r="D12" i="16"/>
  <c r="D30" i="16"/>
  <c r="D23" i="16"/>
  <c r="D13" i="16"/>
  <c r="D8" i="16"/>
  <c r="D17" i="16"/>
  <c r="D25" i="16"/>
  <c r="D11" i="16"/>
  <c r="D22" i="16"/>
  <c r="D27" i="16"/>
  <c r="D19" i="16"/>
  <c r="D31" i="16"/>
  <c r="D34" i="16"/>
  <c r="D7" i="16"/>
  <c r="D24" i="16"/>
  <c r="D10" i="16"/>
  <c r="D14" i="16"/>
  <c r="D33" i="16"/>
  <c r="J46" i="8"/>
  <c r="N97" i="9"/>
  <c r="N41" i="12"/>
  <c r="N44" i="10"/>
  <c r="N108" i="15"/>
  <c r="O106" i="15"/>
  <c r="J69" i="29"/>
  <c r="D42" i="15"/>
  <c r="D48" i="15" s="1"/>
  <c r="P20" i="15"/>
  <c r="B99" i="15"/>
  <c r="B78" i="15"/>
  <c r="L40" i="15"/>
  <c r="L45" i="15"/>
  <c r="L43" i="15"/>
  <c r="D53" i="15"/>
  <c r="J19" i="15"/>
  <c r="J12" i="15"/>
  <c r="J11" i="15"/>
  <c r="J10" i="15"/>
  <c r="J7" i="15"/>
  <c r="J30" i="15"/>
  <c r="J23" i="15"/>
  <c r="J13" i="15"/>
  <c r="J8" i="15"/>
  <c r="J27" i="15"/>
  <c r="J25" i="15"/>
  <c r="J33" i="15"/>
  <c r="J17" i="15"/>
  <c r="J31" i="15"/>
  <c r="J34" i="15"/>
  <c r="J24" i="15"/>
  <c r="J14" i="15"/>
  <c r="L46" i="15"/>
  <c r="N19" i="15"/>
  <c r="N7" i="15"/>
  <c r="N31" i="15"/>
  <c r="N33" i="15"/>
  <c r="N25" i="15"/>
  <c r="N17" i="15"/>
  <c r="N8" i="15"/>
  <c r="N11" i="15"/>
  <c r="N10" i="15"/>
  <c r="G46" i="15"/>
  <c r="B42" i="15"/>
  <c r="B48" i="15" s="1"/>
  <c r="P28" i="15"/>
  <c r="K45" i="15"/>
  <c r="C96" i="15"/>
  <c r="D95" i="15"/>
  <c r="G63" i="15"/>
  <c r="G57" i="15"/>
  <c r="G43" i="15"/>
  <c r="G44" i="15"/>
  <c r="G47" i="15"/>
  <c r="G56" i="15"/>
  <c r="C77" i="15"/>
  <c r="G60" i="15"/>
  <c r="C99" i="15"/>
  <c r="C73" i="15"/>
  <c r="C100" i="15"/>
  <c r="C74" i="15"/>
  <c r="P47" i="15"/>
  <c r="K57" i="15"/>
  <c r="K52" i="15"/>
  <c r="C90" i="15"/>
  <c r="E62" i="15"/>
  <c r="G50" i="15"/>
  <c r="D75" i="15"/>
  <c r="D81" i="15" s="1"/>
  <c r="P9" i="15"/>
  <c r="P15" i="15" s="1"/>
  <c r="C85" i="15"/>
  <c r="K40" i="15"/>
  <c r="E61" i="15"/>
  <c r="P66" i="15"/>
  <c r="P52" i="15"/>
  <c r="P50" i="15"/>
  <c r="P64" i="15"/>
  <c r="P40" i="15"/>
  <c r="P67" i="15"/>
  <c r="P44" i="15"/>
  <c r="P41" i="15"/>
  <c r="P57" i="15"/>
  <c r="G58" i="15"/>
  <c r="G41" i="15"/>
  <c r="P43" i="15"/>
  <c r="C97" i="15"/>
  <c r="C91" i="15"/>
  <c r="C78" i="15"/>
  <c r="G52" i="15"/>
  <c r="K44" i="15"/>
  <c r="C93" i="15"/>
  <c r="K60" i="15"/>
  <c r="C80" i="15"/>
  <c r="G67" i="15"/>
  <c r="G64" i="15"/>
  <c r="D86" i="15"/>
  <c r="C89" i="15"/>
  <c r="G45" i="15"/>
  <c r="B73" i="15"/>
  <c r="B96" i="15"/>
  <c r="B97" i="15"/>
  <c r="B100" i="15"/>
  <c r="B93" i="15"/>
  <c r="E74" i="15"/>
  <c r="E73" i="15"/>
  <c r="E89" i="15"/>
  <c r="E93" i="15"/>
  <c r="E85" i="15"/>
  <c r="E97" i="15"/>
  <c r="E78" i="15"/>
  <c r="E99" i="15"/>
  <c r="E83" i="15"/>
  <c r="E100" i="15"/>
  <c r="E91" i="15"/>
  <c r="E77" i="15"/>
  <c r="E90" i="15"/>
  <c r="E80" i="15"/>
  <c r="E96" i="15"/>
  <c r="E76" i="15"/>
  <c r="E79" i="15"/>
  <c r="B74" i="15"/>
  <c r="B91" i="15"/>
  <c r="B90" i="15"/>
  <c r="J64" i="15"/>
  <c r="J67" i="15"/>
  <c r="J50" i="15"/>
  <c r="J63" i="15"/>
  <c r="J57" i="15"/>
  <c r="J47" i="15"/>
  <c r="J43" i="15"/>
  <c r="J56" i="15"/>
  <c r="J46" i="15"/>
  <c r="J41" i="15"/>
  <c r="J40" i="15"/>
  <c r="J58" i="15"/>
  <c r="J52" i="15"/>
  <c r="J66" i="15"/>
  <c r="J60" i="15"/>
  <c r="J45" i="15"/>
  <c r="J44" i="15"/>
  <c r="B53" i="15"/>
  <c r="B89" i="15"/>
  <c r="M66" i="15"/>
  <c r="M43" i="15"/>
  <c r="M63" i="15"/>
  <c r="M41" i="15"/>
  <c r="M45" i="15"/>
  <c r="M64" i="15"/>
  <c r="M58" i="15"/>
  <c r="M46" i="15"/>
  <c r="M52" i="15"/>
  <c r="M40" i="15"/>
  <c r="B76" i="15"/>
  <c r="B85" i="15"/>
  <c r="B61" i="15"/>
  <c r="D94" i="15"/>
  <c r="L66" i="15"/>
  <c r="L56" i="15"/>
  <c r="L50" i="15"/>
  <c r="L57" i="15"/>
  <c r="L44" i="15"/>
  <c r="L67" i="15"/>
  <c r="L64" i="15"/>
  <c r="L47" i="15"/>
  <c r="L63" i="15"/>
  <c r="B83" i="15"/>
  <c r="K41" i="15"/>
  <c r="K43" i="15"/>
  <c r="K64" i="15"/>
  <c r="K66" i="15"/>
  <c r="K63" i="15"/>
  <c r="K56" i="15"/>
  <c r="K46" i="15"/>
  <c r="K50" i="15"/>
  <c r="K67" i="15"/>
  <c r="K47" i="15"/>
  <c r="B80" i="15"/>
  <c r="B79" i="15"/>
  <c r="B19" i="15"/>
  <c r="B17" i="15"/>
  <c r="I40" i="15"/>
  <c r="I43" i="15"/>
  <c r="I66" i="15"/>
  <c r="I58" i="15"/>
  <c r="I45" i="15"/>
  <c r="I50" i="15"/>
  <c r="I41" i="15"/>
  <c r="I44" i="15"/>
  <c r="I47" i="15"/>
  <c r="I56" i="15"/>
  <c r="I46" i="15"/>
  <c r="I67" i="15"/>
  <c r="I64" i="15"/>
  <c r="I57" i="15"/>
  <c r="I63" i="15"/>
  <c r="I60" i="15"/>
  <c r="I52" i="15"/>
  <c r="C55" i="24"/>
  <c r="M40" i="10"/>
  <c r="I40" i="10"/>
  <c r="G40" i="10"/>
  <c r="N40" i="8"/>
  <c r="P40" i="8"/>
  <c r="E9" i="9"/>
  <c r="D11" i="3"/>
  <c r="D10" i="3"/>
  <c r="C59" i="9"/>
  <c r="D55" i="9"/>
  <c r="H54" i="16"/>
  <c r="H65" i="16" s="1"/>
  <c r="C51" i="29"/>
  <c r="C61" i="29" s="1"/>
  <c r="C64" i="29" s="1"/>
  <c r="K54" i="16"/>
  <c r="K65" i="16" s="1"/>
  <c r="F19" i="29"/>
  <c r="P87" i="15"/>
  <c r="P98" i="15" s="1"/>
  <c r="P101" i="15" s="1"/>
  <c r="E40" i="29"/>
  <c r="E46" i="29" s="1"/>
  <c r="L87" i="15"/>
  <c r="L98" i="15" s="1"/>
  <c r="I87" i="15"/>
  <c r="I98" i="15" s="1"/>
  <c r="I101" i="15" s="1"/>
  <c r="F87" i="15"/>
  <c r="F98" i="15" s="1"/>
  <c r="F101" i="15" s="1"/>
  <c r="J81" i="15"/>
  <c r="J87" i="15" s="1"/>
  <c r="J98" i="15" s="1"/>
  <c r="J101" i="15" s="1"/>
  <c r="P15" i="29"/>
  <c r="P20" i="29" s="1"/>
  <c r="M87" i="15"/>
  <c r="M98" i="15" s="1"/>
  <c r="N87" i="15"/>
  <c r="N98" i="15" s="1"/>
  <c r="H87" i="15"/>
  <c r="K87" i="15"/>
  <c r="K98" i="15" s="1"/>
  <c r="K101" i="15" s="1"/>
  <c r="R105" i="15"/>
  <c r="R45" i="8"/>
  <c r="R72" i="16"/>
  <c r="L73" i="16"/>
  <c r="R68" i="29"/>
  <c r="C73" i="28"/>
  <c r="L69" i="29"/>
  <c r="L96" i="9"/>
  <c r="C48" i="28"/>
  <c r="C51" i="28" s="1"/>
  <c r="C37" i="6" s="1"/>
  <c r="C111" i="15" s="1"/>
  <c r="R95" i="9"/>
  <c r="L106" i="15"/>
  <c r="L46" i="8"/>
  <c r="E41" i="12"/>
  <c r="E108" i="15"/>
  <c r="E47" i="8"/>
  <c r="E97" i="9"/>
  <c r="E44" i="10"/>
  <c r="O69" i="29"/>
  <c r="J106" i="15"/>
  <c r="J73" i="16"/>
  <c r="J40" i="12"/>
  <c r="J41" i="12"/>
  <c r="J47" i="8"/>
  <c r="J44" i="10"/>
  <c r="J97" i="9"/>
  <c r="P41" i="12"/>
  <c r="P47" i="8"/>
  <c r="P97" i="9"/>
  <c r="P44" i="10"/>
  <c r="R39" i="12"/>
  <c r="O73" i="16"/>
  <c r="O40" i="12"/>
  <c r="K48" i="28"/>
  <c r="K51" i="28" s="1"/>
  <c r="K37" i="6" s="1"/>
  <c r="K111" i="15" s="1"/>
  <c r="K73" i="28"/>
  <c r="K109" i="15"/>
  <c r="O96" i="9"/>
  <c r="P108" i="15"/>
  <c r="G40" i="12"/>
  <c r="G69" i="29"/>
  <c r="G73" i="16"/>
  <c r="G106" i="15"/>
  <c r="G46" i="8"/>
  <c r="G96" i="9"/>
  <c r="M73" i="28"/>
  <c r="M48" i="28"/>
  <c r="M51" i="28" s="1"/>
  <c r="M37" i="6" s="1"/>
  <c r="M111" i="15" s="1"/>
  <c r="M109" i="15"/>
  <c r="G41" i="12"/>
  <c r="G108" i="15"/>
  <c r="G47" i="8"/>
  <c r="G44" i="10"/>
  <c r="G97" i="9"/>
  <c r="N73" i="28"/>
  <c r="N109" i="15"/>
  <c r="N48" i="28"/>
  <c r="N51" i="28" s="1"/>
  <c r="N37" i="6" s="1"/>
  <c r="N111" i="15" s="1"/>
  <c r="L41" i="12"/>
  <c r="L47" i="8"/>
  <c r="L97" i="9"/>
  <c r="L44" i="10"/>
  <c r="B109" i="15"/>
  <c r="B48" i="28"/>
  <c r="B51" i="28" s="1"/>
  <c r="B37" i="6" s="1"/>
  <c r="B111" i="15" s="1"/>
  <c r="B73" i="28"/>
  <c r="H48" i="28"/>
  <c r="H51" i="28" s="1"/>
  <c r="H37" i="6" s="1"/>
  <c r="H111" i="15" s="1"/>
  <c r="H73" i="28"/>
  <c r="H109" i="15"/>
  <c r="O109" i="15"/>
  <c r="O73" i="28"/>
  <c r="O48" i="28"/>
  <c r="O51" i="28" s="1"/>
  <c r="O37" i="6" s="1"/>
  <c r="O111" i="15" s="1"/>
  <c r="B106" i="15"/>
  <c r="B96" i="9"/>
  <c r="B40" i="12"/>
  <c r="B73" i="16"/>
  <c r="B69" i="29"/>
  <c r="B46" i="8"/>
  <c r="R11" i="6"/>
  <c r="P48" i="28"/>
  <c r="P51" i="28" s="1"/>
  <c r="P37" i="6" s="1"/>
  <c r="P111" i="15" s="1"/>
  <c r="P109" i="15"/>
  <c r="P73" i="28"/>
  <c r="C40" i="12"/>
  <c r="C96" i="9"/>
  <c r="C69" i="29"/>
  <c r="C73" i="16"/>
  <c r="C106" i="15"/>
  <c r="C46" i="8"/>
  <c r="G73" i="28"/>
  <c r="G109" i="15"/>
  <c r="G48" i="28"/>
  <c r="G51" i="28" s="1"/>
  <c r="G37" i="6" s="1"/>
  <c r="G111" i="15" s="1"/>
  <c r="N69" i="29"/>
  <c r="N96" i="9"/>
  <c r="N40" i="12"/>
  <c r="N73" i="16"/>
  <c r="N46" i="8"/>
  <c r="N106" i="15"/>
  <c r="D106" i="15"/>
  <c r="D73" i="16"/>
  <c r="D96" i="9"/>
  <c r="D40" i="12"/>
  <c r="D46" i="8"/>
  <c r="D69" i="29"/>
  <c r="Q69" i="29"/>
  <c r="Q96" i="9"/>
  <c r="Q40" i="12"/>
  <c r="Q46" i="8"/>
  <c r="Q73" i="16"/>
  <c r="Q106" i="15"/>
  <c r="Q41" i="12"/>
  <c r="Q47" i="8"/>
  <c r="Q44" i="10"/>
  <c r="Q97" i="9"/>
  <c r="D109" i="15"/>
  <c r="D73" i="28"/>
  <c r="D48" i="28"/>
  <c r="D51" i="28" s="1"/>
  <c r="D37" i="6" s="1"/>
  <c r="D111" i="15" s="1"/>
  <c r="M46" i="8"/>
  <c r="M106" i="15"/>
  <c r="M73" i="16"/>
  <c r="M69" i="29"/>
  <c r="M40" i="12"/>
  <c r="M96" i="9"/>
  <c r="H40" i="12"/>
  <c r="H46" i="8"/>
  <c r="H73" i="16"/>
  <c r="H106" i="15"/>
  <c r="H69" i="29"/>
  <c r="H96" i="9"/>
  <c r="F108" i="15"/>
  <c r="F47" i="8"/>
  <c r="F44" i="10"/>
  <c r="F97" i="9"/>
  <c r="F41" i="12"/>
  <c r="F109" i="15"/>
  <c r="F73" i="28"/>
  <c r="F48" i="28"/>
  <c r="F51" i="28" s="1"/>
  <c r="F37" i="6" s="1"/>
  <c r="F111" i="15" s="1"/>
  <c r="L73" i="28"/>
  <c r="L48" i="28"/>
  <c r="L51" i="28" s="1"/>
  <c r="L37" i="6" s="1"/>
  <c r="L111" i="15" s="1"/>
  <c r="L109" i="15"/>
  <c r="F69" i="29"/>
  <c r="F96" i="9"/>
  <c r="F40" i="12"/>
  <c r="F46" i="8"/>
  <c r="F106" i="15"/>
  <c r="F73" i="16"/>
  <c r="K106" i="15"/>
  <c r="K46" i="8"/>
  <c r="K69" i="29"/>
  <c r="K73" i="16"/>
  <c r="K40" i="12"/>
  <c r="K96" i="9"/>
  <c r="Q108" i="15"/>
  <c r="Q48" i="28"/>
  <c r="Q51" i="28" s="1"/>
  <c r="Q37" i="6" s="1"/>
  <c r="Q111" i="15" s="1"/>
  <c r="Q73" i="28"/>
  <c r="Q109" i="15"/>
  <c r="I73" i="28"/>
  <c r="I48" i="28"/>
  <c r="I51" i="28" s="1"/>
  <c r="I37" i="6" s="1"/>
  <c r="I111" i="15" s="1"/>
  <c r="I109" i="15"/>
  <c r="P106" i="15"/>
  <c r="P40" i="12"/>
  <c r="P46" i="8"/>
  <c r="P69" i="29"/>
  <c r="P73" i="16"/>
  <c r="P96" i="9"/>
  <c r="I40" i="12"/>
  <c r="I106" i="15"/>
  <c r="I73" i="16"/>
  <c r="I96" i="9"/>
  <c r="I46" i="8"/>
  <c r="I69" i="29"/>
  <c r="M44" i="10"/>
  <c r="M97" i="9"/>
  <c r="M41" i="12"/>
  <c r="M108" i="15"/>
  <c r="M47" i="8"/>
  <c r="O40" i="8"/>
  <c r="C35" i="8"/>
  <c r="C40" i="8" s="1"/>
  <c r="D36" i="3"/>
  <c r="D38" i="3" s="1"/>
  <c r="L40" i="8"/>
  <c r="M40" i="8"/>
  <c r="F105" i="20"/>
  <c r="Q87" i="15"/>
  <c r="Q98" i="15" s="1"/>
  <c r="Q101" i="15" s="1"/>
  <c r="G54" i="16"/>
  <c r="G65" i="16" s="1"/>
  <c r="G68" i="16" s="1"/>
  <c r="F9" i="29"/>
  <c r="F15" i="29" s="1"/>
  <c r="O26" i="29"/>
  <c r="P26" i="29"/>
  <c r="E22" i="29"/>
  <c r="C22" i="29"/>
  <c r="C25" i="29"/>
  <c r="C24" i="29"/>
  <c r="C23" i="29"/>
  <c r="C13" i="29"/>
  <c r="C18" i="29"/>
  <c r="C17" i="29"/>
  <c r="C14" i="29"/>
  <c r="C7" i="29"/>
  <c r="C31" i="29"/>
  <c r="C32" i="29"/>
  <c r="C8" i="29"/>
  <c r="C12" i="29"/>
  <c r="C11" i="29"/>
  <c r="C10" i="29"/>
  <c r="C21" i="29"/>
  <c r="C28" i="29"/>
  <c r="C29" i="29"/>
  <c r="E24" i="29"/>
  <c r="E29" i="29"/>
  <c r="E32" i="29"/>
  <c r="E10" i="29"/>
  <c r="E12" i="29"/>
  <c r="E21" i="29"/>
  <c r="E28" i="29"/>
  <c r="E7" i="29"/>
  <c r="E11" i="29"/>
  <c r="E8" i="29"/>
  <c r="E25" i="29"/>
  <c r="E14" i="29"/>
  <c r="E31" i="29"/>
  <c r="N23" i="29"/>
  <c r="N22" i="29"/>
  <c r="N25" i="29"/>
  <c r="N24" i="29"/>
  <c r="N14" i="29"/>
  <c r="N13" i="29"/>
  <c r="N18" i="29"/>
  <c r="N17" i="29"/>
  <c r="N21" i="29"/>
  <c r="N31" i="29"/>
  <c r="N29" i="29"/>
  <c r="N28" i="29"/>
  <c r="N32" i="29"/>
  <c r="N7" i="29"/>
  <c r="N10" i="29"/>
  <c r="N8" i="29"/>
  <c r="N12" i="29"/>
  <c r="N11" i="29"/>
  <c r="B39" i="29"/>
  <c r="B43" i="29"/>
  <c r="B42" i="29"/>
  <c r="B41" i="29"/>
  <c r="B59" i="29"/>
  <c r="B63" i="29"/>
  <c r="B38" i="29"/>
  <c r="B60" i="29"/>
  <c r="B44" i="29"/>
  <c r="B49" i="29"/>
  <c r="B48" i="29"/>
  <c r="B45" i="29"/>
  <c r="B62" i="29"/>
  <c r="B53" i="29"/>
  <c r="B56" i="29"/>
  <c r="B55" i="29"/>
  <c r="B54" i="29"/>
  <c r="D31" i="29"/>
  <c r="D25" i="29"/>
  <c r="D24" i="29"/>
  <c r="D23" i="29"/>
  <c r="D22" i="29"/>
  <c r="D18" i="29"/>
  <c r="D17" i="29"/>
  <c r="D14" i="29"/>
  <c r="D13" i="29"/>
  <c r="D12" i="29"/>
  <c r="D11" i="29"/>
  <c r="D10" i="29"/>
  <c r="D8" i="29"/>
  <c r="D32" i="29"/>
  <c r="D7" i="29"/>
  <c r="D29" i="29"/>
  <c r="D28" i="29"/>
  <c r="O15" i="29"/>
  <c r="O20" i="29" s="1"/>
  <c r="E13" i="29"/>
  <c r="E50" i="29"/>
  <c r="I31" i="29"/>
  <c r="I17" i="29"/>
  <c r="I14" i="29"/>
  <c r="I13" i="29"/>
  <c r="I18" i="29"/>
  <c r="I11" i="29"/>
  <c r="I10" i="29"/>
  <c r="I12" i="29"/>
  <c r="I23" i="29"/>
  <c r="I21" i="29"/>
  <c r="I8" i="29"/>
  <c r="I24" i="29"/>
  <c r="I25" i="29"/>
  <c r="I29" i="29"/>
  <c r="I28" i="29"/>
  <c r="I32" i="29"/>
  <c r="I7" i="29"/>
  <c r="I22" i="29"/>
  <c r="G31" i="29"/>
  <c r="G21" i="29"/>
  <c r="G22" i="29"/>
  <c r="G25" i="29"/>
  <c r="G24" i="29"/>
  <c r="G23" i="29"/>
  <c r="G13" i="29"/>
  <c r="G18" i="29"/>
  <c r="G17" i="29"/>
  <c r="G14" i="29"/>
  <c r="G28" i="29"/>
  <c r="G32" i="29"/>
  <c r="G7" i="29"/>
  <c r="G29" i="29"/>
  <c r="G8" i="29"/>
  <c r="G12" i="29"/>
  <c r="G11" i="29"/>
  <c r="G10" i="29"/>
  <c r="E58" i="29"/>
  <c r="N40" i="10"/>
  <c r="C40" i="10"/>
  <c r="I10" i="9"/>
  <c r="B35" i="8"/>
  <c r="B40" i="8" s="1"/>
  <c r="E54" i="9"/>
  <c r="J59" i="9"/>
  <c r="H59" i="9"/>
  <c r="E7" i="6"/>
  <c r="E38" i="12" s="1"/>
  <c r="B13" i="13"/>
  <c r="J35" i="8"/>
  <c r="J40" i="8" s="1"/>
  <c r="K40" i="10"/>
  <c r="P34" i="12"/>
  <c r="I51" i="29"/>
  <c r="I61" i="29" s="1"/>
  <c r="I64" i="29" s="1"/>
  <c r="E19" i="29"/>
  <c r="L40" i="10"/>
  <c r="J40" i="10"/>
  <c r="O40" i="10"/>
  <c r="F21" i="10"/>
  <c r="D8" i="3"/>
  <c r="G10" i="9"/>
  <c r="K59" i="9"/>
  <c r="D10" i="9"/>
  <c r="D6" i="3"/>
  <c r="D40" i="8"/>
  <c r="F40" i="10"/>
  <c r="J51" i="29"/>
  <c r="J61" i="29" s="1"/>
  <c r="J64" i="29" s="1"/>
  <c r="J54" i="16"/>
  <c r="J65" i="16" s="1"/>
  <c r="J68" i="16" s="1"/>
  <c r="G51" i="29"/>
  <c r="G61" i="29" s="1"/>
  <c r="G64" i="29" s="1"/>
  <c r="M51" i="29"/>
  <c r="M61" i="29" s="1"/>
  <c r="M64" i="29" s="1"/>
  <c r="D58" i="29"/>
  <c r="Q51" i="29"/>
  <c r="Q61" i="29" s="1"/>
  <c r="Q64" i="29" s="1"/>
  <c r="D40" i="29"/>
  <c r="D46" i="29" s="1"/>
  <c r="F26" i="29"/>
  <c r="L51" i="29"/>
  <c r="L61" i="29" s="1"/>
  <c r="L64" i="29" s="1"/>
  <c r="M54" i="16"/>
  <c r="M65" i="16" s="1"/>
  <c r="M68" i="16" s="1"/>
  <c r="D25" i="19"/>
  <c r="D24" i="19"/>
  <c r="D23" i="19"/>
  <c r="D22" i="19"/>
  <c r="B25" i="19"/>
  <c r="B24" i="19"/>
  <c r="B23" i="19"/>
  <c r="B22" i="19"/>
  <c r="F51" i="20"/>
  <c r="F40" i="21" s="1"/>
  <c r="C25" i="19"/>
  <c r="C24" i="19"/>
  <c r="C23" i="19"/>
  <c r="C22" i="19"/>
  <c r="C12" i="20"/>
  <c r="C39" i="20" s="1"/>
  <c r="K20" i="19"/>
  <c r="B11" i="20" s="1"/>
  <c r="B92" i="20" s="1"/>
  <c r="K15" i="19"/>
  <c r="B6" i="20" s="1"/>
  <c r="K19" i="19"/>
  <c r="C10" i="20" s="1"/>
  <c r="C37" i="20" s="1"/>
  <c r="K17" i="19"/>
  <c r="E8" i="20" s="1"/>
  <c r="E62" i="20" s="1"/>
  <c r="E46" i="21" s="1"/>
  <c r="N66" i="15"/>
  <c r="N47" i="15"/>
  <c r="N56" i="15"/>
  <c r="N52" i="15"/>
  <c r="N44" i="15"/>
  <c r="N43" i="15"/>
  <c r="N46" i="15"/>
  <c r="N45" i="15"/>
  <c r="N64" i="15"/>
  <c r="N57" i="15"/>
  <c r="N60" i="15"/>
  <c r="N58" i="15"/>
  <c r="N40" i="15"/>
  <c r="N41" i="15"/>
  <c r="N50" i="15"/>
  <c r="N67" i="15"/>
  <c r="N63" i="15"/>
  <c r="Q7" i="12"/>
  <c r="Q12" i="12"/>
  <c r="Q14" i="12" s="1"/>
  <c r="B67" i="16"/>
  <c r="B63" i="16"/>
  <c r="B60" i="16"/>
  <c r="B58" i="16"/>
  <c r="B57" i="16"/>
  <c r="B56" i="16"/>
  <c r="B52" i="16"/>
  <c r="B66" i="16"/>
  <c r="B64" i="16"/>
  <c r="B50" i="16"/>
  <c r="B47" i="16"/>
  <c r="B46" i="16"/>
  <c r="B45" i="16"/>
  <c r="B40" i="16"/>
  <c r="B44" i="16"/>
  <c r="B43" i="16"/>
  <c r="B41" i="16"/>
  <c r="L15" i="8"/>
  <c r="L19" i="8"/>
  <c r="L13" i="8"/>
  <c r="L10" i="8"/>
  <c r="L7" i="8"/>
  <c r="L18" i="8"/>
  <c r="L9" i="8"/>
  <c r="L12" i="8"/>
  <c r="L11" i="8"/>
  <c r="E24" i="15"/>
  <c r="E23" i="15"/>
  <c r="E17" i="15"/>
  <c r="E12" i="15"/>
  <c r="E14" i="15"/>
  <c r="E27" i="15"/>
  <c r="E8" i="15"/>
  <c r="E11" i="15"/>
  <c r="E31" i="15"/>
  <c r="E33" i="15"/>
  <c r="E34" i="15"/>
  <c r="E25" i="15"/>
  <c r="E30" i="15"/>
  <c r="E13" i="15"/>
  <c r="E10" i="15"/>
  <c r="E7" i="15"/>
  <c r="Q8" i="15"/>
  <c r="Q10" i="15"/>
  <c r="Q7" i="15"/>
  <c r="Q11" i="15"/>
  <c r="Q34" i="15"/>
  <c r="Q30" i="15"/>
  <c r="Q25" i="15"/>
  <c r="Q13" i="15"/>
  <c r="Q33" i="15"/>
  <c r="Q31" i="15"/>
  <c r="Q24" i="15"/>
  <c r="Q23" i="15"/>
  <c r="Q17" i="15"/>
  <c r="Q14" i="15"/>
  <c r="Q27" i="15"/>
  <c r="Q12" i="15"/>
  <c r="F40" i="9"/>
  <c r="F15" i="9"/>
  <c r="F44" i="9"/>
  <c r="F33" i="9"/>
  <c r="F25" i="9"/>
  <c r="F24" i="9"/>
  <c r="F19" i="9"/>
  <c r="F37" i="9"/>
  <c r="F12" i="9"/>
  <c r="F13" i="9"/>
  <c r="F7" i="9"/>
  <c r="F42" i="9"/>
  <c r="F21" i="9"/>
  <c r="F32" i="9"/>
  <c r="F20" i="9"/>
  <c r="F31" i="9"/>
  <c r="F30" i="9"/>
  <c r="F23" i="9"/>
  <c r="F11" i="9"/>
  <c r="F43" i="9"/>
  <c r="F29" i="9"/>
  <c r="F26" i="9"/>
  <c r="F38" i="9"/>
  <c r="F9" i="9"/>
  <c r="F17" i="9"/>
  <c r="F27" i="9"/>
  <c r="F22" i="9"/>
  <c r="F10" i="9"/>
  <c r="B42" i="9"/>
  <c r="B29" i="9"/>
  <c r="B32" i="9"/>
  <c r="B22" i="9"/>
  <c r="B37" i="9"/>
  <c r="B11" i="9"/>
  <c r="B17" i="9"/>
  <c r="B44" i="9"/>
  <c r="B31" i="9"/>
  <c r="B30" i="9"/>
  <c r="B9" i="9"/>
  <c r="B43" i="9"/>
  <c r="B27" i="9"/>
  <c r="B26" i="9"/>
  <c r="B10" i="9"/>
  <c r="B19" i="9"/>
  <c r="B25" i="9"/>
  <c r="B24" i="9"/>
  <c r="B13" i="9"/>
  <c r="B15" i="9"/>
  <c r="B33" i="9"/>
  <c r="B23" i="9"/>
  <c r="B20" i="9"/>
  <c r="B38" i="9"/>
  <c r="B12" i="9"/>
  <c r="Q17" i="9"/>
  <c r="Q40" i="9"/>
  <c r="Q7" i="9"/>
  <c r="Q43" i="9"/>
  <c r="Q30" i="9"/>
  <c r="Q20" i="9"/>
  <c r="Q21" i="9"/>
  <c r="Q23" i="9"/>
  <c r="Q38" i="9"/>
  <c r="Q9" i="9"/>
  <c r="Q15" i="9"/>
  <c r="Q26" i="9"/>
  <c r="Q31" i="9"/>
  <c r="Q27" i="9"/>
  <c r="Q11" i="9"/>
  <c r="Q24" i="9"/>
  <c r="Q29" i="9"/>
  <c r="Q10" i="9"/>
  <c r="Q44" i="9"/>
  <c r="Q22" i="9"/>
  <c r="Q19" i="9"/>
  <c r="Q37" i="9"/>
  <c r="Q42" i="9"/>
  <c r="Q32" i="9"/>
  <c r="Q33" i="9"/>
  <c r="Q25" i="9"/>
  <c r="Q12" i="9"/>
  <c r="K15" i="10"/>
  <c r="K18" i="10"/>
  <c r="K7" i="10"/>
  <c r="K9" i="10"/>
  <c r="K12" i="10"/>
  <c r="K11" i="10"/>
  <c r="K19" i="10"/>
  <c r="K13" i="10"/>
  <c r="K10" i="10"/>
  <c r="C23" i="12"/>
  <c r="C26" i="12"/>
  <c r="C28" i="12"/>
  <c r="C31" i="12"/>
  <c r="C25" i="12"/>
  <c r="C27" i="12"/>
  <c r="C29" i="12"/>
  <c r="H51" i="9"/>
  <c r="H71" i="9"/>
  <c r="H70" i="9"/>
  <c r="H69" i="9"/>
  <c r="H73" i="9"/>
  <c r="H82" i="9"/>
  <c r="H67" i="9"/>
  <c r="H84" i="9"/>
  <c r="H78" i="9"/>
  <c r="H61" i="9"/>
  <c r="H63" i="9"/>
  <c r="H65" i="9"/>
  <c r="H75" i="9"/>
  <c r="H88" i="9"/>
  <c r="H55" i="9"/>
  <c r="H87" i="9"/>
  <c r="H66" i="9"/>
  <c r="H68" i="9"/>
  <c r="H81" i="9"/>
  <c r="H74" i="9"/>
  <c r="H57" i="9"/>
  <c r="H64" i="9"/>
  <c r="H53" i="9"/>
  <c r="H86" i="9"/>
  <c r="H76" i="9"/>
  <c r="H56" i="9"/>
  <c r="K51" i="9"/>
  <c r="K68" i="9"/>
  <c r="K71" i="9"/>
  <c r="K75" i="9"/>
  <c r="K69" i="9"/>
  <c r="K81" i="9"/>
  <c r="K61" i="9"/>
  <c r="K64" i="9"/>
  <c r="K63" i="9"/>
  <c r="K74" i="9"/>
  <c r="K76" i="9"/>
  <c r="K84" i="9"/>
  <c r="K88" i="9"/>
  <c r="K67" i="9"/>
  <c r="K65" i="9"/>
  <c r="K56" i="9"/>
  <c r="K73" i="9"/>
  <c r="K86" i="9"/>
  <c r="K53" i="9"/>
  <c r="K87" i="9"/>
  <c r="K55" i="9"/>
  <c r="K66" i="9"/>
  <c r="K70" i="9"/>
  <c r="K54" i="9"/>
  <c r="K78" i="9"/>
  <c r="K82" i="9"/>
  <c r="K57" i="9"/>
  <c r="L51" i="9"/>
  <c r="L71" i="9"/>
  <c r="L75" i="9"/>
  <c r="L74" i="9"/>
  <c r="L78" i="9"/>
  <c r="L67" i="9"/>
  <c r="L66" i="9"/>
  <c r="L88" i="9"/>
  <c r="L87" i="9"/>
  <c r="L70" i="9"/>
  <c r="L73" i="9"/>
  <c r="L81" i="9"/>
  <c r="L76" i="9"/>
  <c r="L84" i="9"/>
  <c r="L68" i="9"/>
  <c r="L82" i="9"/>
  <c r="L55" i="9"/>
  <c r="L63" i="9"/>
  <c r="L69" i="9"/>
  <c r="L64" i="9"/>
  <c r="L86" i="9"/>
  <c r="L53" i="9"/>
  <c r="L65" i="9"/>
  <c r="L56" i="9"/>
  <c r="L54" i="9"/>
  <c r="L59" i="9"/>
  <c r="L57" i="9"/>
  <c r="K30" i="12"/>
  <c r="K32" i="12" s="1"/>
  <c r="K34" i="12" s="1"/>
  <c r="B40" i="9"/>
  <c r="C108" i="15"/>
  <c r="C97" i="9"/>
  <c r="C47" i="8"/>
  <c r="C41" i="12"/>
  <c r="C44" i="10"/>
  <c r="O66" i="15"/>
  <c r="O41" i="15"/>
  <c r="O45" i="15"/>
  <c r="O50" i="15"/>
  <c r="O63" i="15"/>
  <c r="O67" i="15"/>
  <c r="O40" i="15"/>
  <c r="O44" i="15"/>
  <c r="O56" i="15"/>
  <c r="O60" i="15"/>
  <c r="O57" i="15"/>
  <c r="O43" i="15"/>
  <c r="O64" i="15"/>
  <c r="O46" i="15"/>
  <c r="O52" i="15"/>
  <c r="O58" i="15"/>
  <c r="O47" i="15"/>
  <c r="B15" i="12"/>
  <c r="B11" i="12"/>
  <c r="I30" i="8"/>
  <c r="I32" i="8"/>
  <c r="I29" i="8"/>
  <c r="I34" i="8"/>
  <c r="R34" i="8" s="1"/>
  <c r="I26" i="8"/>
  <c r="I37" i="8"/>
  <c r="I28" i="8"/>
  <c r="I31" i="8"/>
  <c r="F23" i="15"/>
  <c r="F24" i="15"/>
  <c r="F11" i="15"/>
  <c r="F13" i="15"/>
  <c r="F25" i="15"/>
  <c r="F14" i="15"/>
  <c r="F10" i="15"/>
  <c r="F33" i="15"/>
  <c r="F17" i="15"/>
  <c r="F31" i="15"/>
  <c r="F27" i="15"/>
  <c r="F34" i="15"/>
  <c r="F30" i="15"/>
  <c r="F7" i="15"/>
  <c r="F8" i="15"/>
  <c r="F12" i="15"/>
  <c r="K10" i="15"/>
  <c r="K31" i="15"/>
  <c r="K7" i="15"/>
  <c r="K24" i="15"/>
  <c r="K14" i="15"/>
  <c r="K27" i="15"/>
  <c r="K25" i="15"/>
  <c r="K30" i="15"/>
  <c r="K13" i="15"/>
  <c r="K33" i="15"/>
  <c r="K23" i="15"/>
  <c r="K34" i="15"/>
  <c r="K8" i="15"/>
  <c r="K12" i="15"/>
  <c r="K11" i="15"/>
  <c r="K17" i="15"/>
  <c r="I43" i="9"/>
  <c r="I17" i="9"/>
  <c r="I42" i="9"/>
  <c r="I30" i="9"/>
  <c r="I20" i="9"/>
  <c r="I29" i="9"/>
  <c r="I21" i="9"/>
  <c r="I38" i="9"/>
  <c r="I13" i="9"/>
  <c r="I40" i="9"/>
  <c r="I26" i="9"/>
  <c r="I33" i="9"/>
  <c r="I23" i="9"/>
  <c r="I24" i="9"/>
  <c r="I27" i="9"/>
  <c r="I11" i="9"/>
  <c r="I22" i="9"/>
  <c r="I19" i="9"/>
  <c r="I37" i="9"/>
  <c r="I15" i="9"/>
  <c r="I31" i="9"/>
  <c r="I9" i="9"/>
  <c r="I7" i="9"/>
  <c r="I44" i="9"/>
  <c r="I32" i="9"/>
  <c r="I25" i="9"/>
  <c r="I12" i="9"/>
  <c r="E7" i="9"/>
  <c r="E44" i="9"/>
  <c r="E17" i="9"/>
  <c r="E15" i="9"/>
  <c r="E40" i="9"/>
  <c r="E26" i="9"/>
  <c r="E31" i="9"/>
  <c r="E29" i="9"/>
  <c r="E11" i="9"/>
  <c r="E32" i="9"/>
  <c r="E20" i="9"/>
  <c r="E21" i="9"/>
  <c r="E37" i="9"/>
  <c r="E13" i="9"/>
  <c r="E30" i="9"/>
  <c r="E33" i="9"/>
  <c r="E25" i="9"/>
  <c r="E38" i="9"/>
  <c r="E12" i="9"/>
  <c r="E42" i="9"/>
  <c r="E24" i="9"/>
  <c r="E27" i="9"/>
  <c r="E23" i="9"/>
  <c r="E10" i="9"/>
  <c r="E43" i="9"/>
  <c r="E22" i="9"/>
  <c r="E19" i="9"/>
  <c r="P7" i="9"/>
  <c r="P43" i="9"/>
  <c r="P42" i="9"/>
  <c r="P30" i="9"/>
  <c r="P31" i="9"/>
  <c r="P23" i="9"/>
  <c r="P11" i="9"/>
  <c r="P15" i="9"/>
  <c r="P22" i="9"/>
  <c r="P26" i="9"/>
  <c r="P29" i="9"/>
  <c r="P21" i="9"/>
  <c r="P40" i="9"/>
  <c r="P24" i="9"/>
  <c r="P19" i="9"/>
  <c r="P10" i="9"/>
  <c r="P17" i="9"/>
  <c r="P44" i="9"/>
  <c r="P33" i="9"/>
  <c r="P13" i="9"/>
  <c r="P20" i="9"/>
  <c r="P27" i="9"/>
  <c r="P38" i="9"/>
  <c r="P9" i="9"/>
  <c r="P32" i="9"/>
  <c r="P25" i="9"/>
  <c r="P37" i="9"/>
  <c r="P12" i="9"/>
  <c r="E7" i="10"/>
  <c r="E15" i="10"/>
  <c r="E13" i="10"/>
  <c r="E19" i="10"/>
  <c r="E9" i="10"/>
  <c r="E18" i="10"/>
  <c r="E11" i="10"/>
  <c r="E12" i="10"/>
  <c r="E10" i="10"/>
  <c r="G25" i="12"/>
  <c r="G27" i="12"/>
  <c r="G29" i="12"/>
  <c r="G28" i="12"/>
  <c r="G31" i="12"/>
  <c r="G23" i="12"/>
  <c r="G26" i="12"/>
  <c r="N61" i="9"/>
  <c r="N51" i="9"/>
  <c r="N74" i="9"/>
  <c r="N87" i="9"/>
  <c r="N66" i="9"/>
  <c r="N82" i="9"/>
  <c r="N56" i="9"/>
  <c r="N65" i="9"/>
  <c r="N86" i="9"/>
  <c r="N81" i="9"/>
  <c r="N64" i="9"/>
  <c r="N57" i="9"/>
  <c r="N55" i="9"/>
  <c r="N67" i="9"/>
  <c r="N54" i="9"/>
  <c r="N59" i="9"/>
  <c r="N84" i="9"/>
  <c r="N75" i="9"/>
  <c r="N53" i="9"/>
  <c r="N78" i="9"/>
  <c r="N76" i="9"/>
  <c r="N68" i="9"/>
  <c r="N70" i="9"/>
  <c r="N73" i="9"/>
  <c r="N71" i="9"/>
  <c r="N69" i="9"/>
  <c r="N63" i="9"/>
  <c r="C88" i="9"/>
  <c r="C69" i="9"/>
  <c r="C70" i="9"/>
  <c r="C67" i="9"/>
  <c r="C64" i="9"/>
  <c r="C61" i="9"/>
  <c r="C74" i="9"/>
  <c r="C75" i="9"/>
  <c r="C71" i="9"/>
  <c r="C68" i="9"/>
  <c r="C57" i="9"/>
  <c r="C54" i="9"/>
  <c r="C84" i="9"/>
  <c r="C76" i="9"/>
  <c r="C55" i="9"/>
  <c r="C51" i="9"/>
  <c r="C63" i="9"/>
  <c r="C81" i="9"/>
  <c r="C82" i="9"/>
  <c r="C65" i="9"/>
  <c r="C87" i="9"/>
  <c r="C66" i="9"/>
  <c r="C73" i="9"/>
  <c r="C86" i="9"/>
  <c r="C78" i="9"/>
  <c r="C53" i="9"/>
  <c r="C56" i="9"/>
  <c r="B74" i="9"/>
  <c r="B54" i="9"/>
  <c r="B68" i="9"/>
  <c r="B76" i="9"/>
  <c r="B56" i="9"/>
  <c r="B75" i="9"/>
  <c r="B55" i="9"/>
  <c r="B69" i="9"/>
  <c r="B86" i="9"/>
  <c r="B64" i="9"/>
  <c r="B71" i="9"/>
  <c r="B51" i="9"/>
  <c r="B70" i="9"/>
  <c r="B87" i="9"/>
  <c r="B65" i="9"/>
  <c r="B78" i="9"/>
  <c r="B57" i="9"/>
  <c r="B67" i="9"/>
  <c r="B88" i="9"/>
  <c r="B66" i="9"/>
  <c r="B84" i="9"/>
  <c r="B81" i="9"/>
  <c r="B63" i="9"/>
  <c r="B59" i="9"/>
  <c r="B82" i="9"/>
  <c r="B73" i="9"/>
  <c r="B61" i="9"/>
  <c r="B53" i="9"/>
  <c r="N88" i="9"/>
  <c r="B108" i="15"/>
  <c r="B47" i="8"/>
  <c r="B44" i="10"/>
  <c r="B97" i="9"/>
  <c r="R8" i="6"/>
  <c r="B41" i="12"/>
  <c r="H60" i="15"/>
  <c r="H58" i="15"/>
  <c r="H57" i="15"/>
  <c r="H56" i="15"/>
  <c r="H64" i="15"/>
  <c r="H52" i="15"/>
  <c r="H50" i="15"/>
  <c r="H47" i="15"/>
  <c r="H46" i="15"/>
  <c r="H66" i="15"/>
  <c r="H67" i="15"/>
  <c r="H43" i="15"/>
  <c r="H45" i="15"/>
  <c r="H63" i="15"/>
  <c r="H40" i="15"/>
  <c r="H41" i="15"/>
  <c r="H44" i="15"/>
  <c r="F66" i="16"/>
  <c r="F50" i="16"/>
  <c r="F47" i="16"/>
  <c r="F46" i="16"/>
  <c r="F45" i="16"/>
  <c r="F55" i="16"/>
  <c r="F64" i="16"/>
  <c r="F44" i="16"/>
  <c r="F43" i="16"/>
  <c r="F41" i="16"/>
  <c r="F40" i="16"/>
  <c r="F63" i="16"/>
  <c r="F58" i="16"/>
  <c r="F56" i="16"/>
  <c r="F67" i="16"/>
  <c r="F60" i="16"/>
  <c r="F57" i="16"/>
  <c r="F52" i="16"/>
  <c r="H26" i="8"/>
  <c r="H38" i="8"/>
  <c r="H28" i="8"/>
  <c r="H31" i="8"/>
  <c r="H30" i="8"/>
  <c r="H29" i="8"/>
  <c r="R29" i="8" s="1"/>
  <c r="H37" i="8"/>
  <c r="H32" i="8"/>
  <c r="O7" i="15"/>
  <c r="O24" i="15"/>
  <c r="O8" i="15"/>
  <c r="O27" i="15"/>
  <c r="O25" i="15"/>
  <c r="O30" i="15"/>
  <c r="O13" i="15"/>
  <c r="O33" i="15"/>
  <c r="O17" i="15"/>
  <c r="O14" i="15"/>
  <c r="O31" i="15"/>
  <c r="O12" i="15"/>
  <c r="O11" i="15"/>
  <c r="O34" i="15"/>
  <c r="O23" i="15"/>
  <c r="O10" i="15"/>
  <c r="H33" i="15"/>
  <c r="H17" i="15"/>
  <c r="H14" i="15"/>
  <c r="H13" i="15"/>
  <c r="H11" i="15"/>
  <c r="H30" i="15"/>
  <c r="H12" i="15"/>
  <c r="H7" i="15"/>
  <c r="H31" i="15"/>
  <c r="H34" i="15"/>
  <c r="H10" i="15"/>
  <c r="H24" i="15"/>
  <c r="H23" i="15"/>
  <c r="H27" i="15"/>
  <c r="H8" i="15"/>
  <c r="H25" i="15"/>
  <c r="H15" i="9"/>
  <c r="H42" i="9"/>
  <c r="H17" i="9"/>
  <c r="H7" i="9"/>
  <c r="H20" i="9"/>
  <c r="H24" i="9"/>
  <c r="H27" i="9"/>
  <c r="H19" i="9"/>
  <c r="H10" i="9"/>
  <c r="H11" i="9"/>
  <c r="H40" i="9"/>
  <c r="H32" i="9"/>
  <c r="H33" i="9"/>
  <c r="H25" i="9"/>
  <c r="H43" i="9"/>
  <c r="H31" i="9"/>
  <c r="H37" i="9"/>
  <c r="H44" i="9"/>
  <c r="H22" i="9"/>
  <c r="H29" i="9"/>
  <c r="H13" i="9"/>
  <c r="H30" i="9"/>
  <c r="H23" i="9"/>
  <c r="H9" i="9"/>
  <c r="H26" i="9"/>
  <c r="H21" i="9"/>
  <c r="H38" i="9"/>
  <c r="H12" i="9"/>
  <c r="D43" i="9"/>
  <c r="D26" i="9"/>
  <c r="D29" i="9"/>
  <c r="D21" i="9"/>
  <c r="D38" i="9"/>
  <c r="D15" i="9"/>
  <c r="D40" i="9"/>
  <c r="D7" i="9"/>
  <c r="D44" i="9"/>
  <c r="D20" i="9"/>
  <c r="D25" i="9"/>
  <c r="D11" i="9"/>
  <c r="D42" i="9"/>
  <c r="D24" i="9"/>
  <c r="D33" i="9"/>
  <c r="D23" i="9"/>
  <c r="D12" i="9"/>
  <c r="D32" i="9"/>
  <c r="D31" i="9"/>
  <c r="D19" i="9"/>
  <c r="D30" i="9"/>
  <c r="D27" i="9"/>
  <c r="D22" i="9"/>
  <c r="D13" i="9"/>
  <c r="O17" i="9"/>
  <c r="O42" i="9"/>
  <c r="O15" i="9"/>
  <c r="O31" i="9"/>
  <c r="O23" i="9"/>
  <c r="O30" i="9"/>
  <c r="O20" i="9"/>
  <c r="O37" i="9"/>
  <c r="O43" i="9"/>
  <c r="O29" i="9"/>
  <c r="O21" i="9"/>
  <c r="O22" i="9"/>
  <c r="O19" i="9"/>
  <c r="O38" i="9"/>
  <c r="O11" i="9"/>
  <c r="O9" i="9"/>
  <c r="O7" i="9"/>
  <c r="O33" i="9"/>
  <c r="O32" i="9"/>
  <c r="O10" i="9"/>
  <c r="O40" i="9"/>
  <c r="O27" i="9"/>
  <c r="O26" i="9"/>
  <c r="O12" i="9"/>
  <c r="O44" i="9"/>
  <c r="O25" i="9"/>
  <c r="O24" i="9"/>
  <c r="O13" i="9"/>
  <c r="B11" i="10"/>
  <c r="B12" i="10"/>
  <c r="B7" i="10"/>
  <c r="B10" i="10"/>
  <c r="B13" i="10"/>
  <c r="B9" i="10"/>
  <c r="B18" i="10"/>
  <c r="B15" i="10"/>
  <c r="B19" i="10"/>
  <c r="I26" i="12"/>
  <c r="I27" i="12"/>
  <c r="I28" i="12"/>
  <c r="I29" i="12"/>
  <c r="I31" i="12"/>
  <c r="I25" i="12"/>
  <c r="I23" i="12"/>
  <c r="F59" i="9"/>
  <c r="F84" i="9"/>
  <c r="F88" i="9"/>
  <c r="F64" i="9"/>
  <c r="F67" i="9"/>
  <c r="F70" i="9"/>
  <c r="F74" i="9"/>
  <c r="F73" i="9"/>
  <c r="F71" i="9"/>
  <c r="F66" i="9"/>
  <c r="F65" i="9"/>
  <c r="F76" i="9"/>
  <c r="F78" i="9"/>
  <c r="F63" i="9"/>
  <c r="F55" i="9"/>
  <c r="F68" i="9"/>
  <c r="F86" i="9"/>
  <c r="F75" i="9"/>
  <c r="F56" i="9"/>
  <c r="F51" i="9"/>
  <c r="F69" i="9"/>
  <c r="F57" i="9"/>
  <c r="F81" i="9"/>
  <c r="F54" i="9"/>
  <c r="F87" i="9"/>
  <c r="F82" i="9"/>
  <c r="F53" i="9"/>
  <c r="E59" i="9"/>
  <c r="E66" i="9"/>
  <c r="E65" i="9"/>
  <c r="E68" i="9"/>
  <c r="E71" i="9"/>
  <c r="E81" i="9"/>
  <c r="E84" i="9"/>
  <c r="E78" i="9"/>
  <c r="E76" i="9"/>
  <c r="E61" i="9"/>
  <c r="E75" i="9"/>
  <c r="E88" i="9"/>
  <c r="E67" i="9"/>
  <c r="E70" i="9"/>
  <c r="E73" i="9"/>
  <c r="E63" i="9"/>
  <c r="E53" i="9"/>
  <c r="E74" i="9"/>
  <c r="E64" i="9"/>
  <c r="E82" i="9"/>
  <c r="E86" i="9"/>
  <c r="E55" i="9"/>
  <c r="E57" i="9"/>
  <c r="E51" i="9"/>
  <c r="E69" i="9"/>
  <c r="E56" i="9"/>
  <c r="E87" i="9"/>
  <c r="J61" i="9"/>
  <c r="J65" i="9"/>
  <c r="J64" i="9"/>
  <c r="J67" i="9"/>
  <c r="J70" i="9"/>
  <c r="J88" i="9"/>
  <c r="J76" i="9"/>
  <c r="J75" i="9"/>
  <c r="J69" i="9"/>
  <c r="J71" i="9"/>
  <c r="J51" i="9"/>
  <c r="J73" i="9"/>
  <c r="J63" i="9"/>
  <c r="J55" i="9"/>
  <c r="J84" i="9"/>
  <c r="J68" i="9"/>
  <c r="J86" i="9"/>
  <c r="J87" i="9"/>
  <c r="J54" i="9"/>
  <c r="J57" i="9"/>
  <c r="J81" i="9"/>
  <c r="J53" i="9"/>
  <c r="J74" i="9"/>
  <c r="J56" i="9"/>
  <c r="J78" i="9"/>
  <c r="B21" i="9"/>
  <c r="E48" i="28"/>
  <c r="E109" i="15"/>
  <c r="R9" i="6"/>
  <c r="E73" i="28"/>
  <c r="L61" i="9"/>
  <c r="G51" i="20"/>
  <c r="G40" i="21" s="1"/>
  <c r="Q40" i="8"/>
  <c r="D41" i="16"/>
  <c r="D40" i="16"/>
  <c r="D67" i="16"/>
  <c r="D63" i="16"/>
  <c r="D60" i="16"/>
  <c r="D58" i="16"/>
  <c r="D57" i="16"/>
  <c r="D66" i="16"/>
  <c r="D52" i="16"/>
  <c r="D47" i="16"/>
  <c r="D45" i="16"/>
  <c r="D43" i="16"/>
  <c r="D55" i="16"/>
  <c r="D64" i="16"/>
  <c r="D56" i="16"/>
  <c r="D50" i="16"/>
  <c r="D44" i="16"/>
  <c r="D46" i="16"/>
  <c r="F60" i="29"/>
  <c r="F38" i="29"/>
  <c r="F63" i="29"/>
  <c r="F59" i="29"/>
  <c r="F41" i="29"/>
  <c r="F42" i="29"/>
  <c r="F43" i="29"/>
  <c r="F39" i="29"/>
  <c r="F52" i="29"/>
  <c r="F45" i="29"/>
  <c r="F49" i="29"/>
  <c r="F54" i="29"/>
  <c r="F56" i="29"/>
  <c r="F62" i="29"/>
  <c r="F48" i="29"/>
  <c r="F44" i="29"/>
  <c r="F55" i="29"/>
  <c r="F53" i="29"/>
  <c r="I33" i="15"/>
  <c r="I34" i="15"/>
  <c r="I30" i="15"/>
  <c r="I25" i="15"/>
  <c r="I13" i="15"/>
  <c r="I24" i="15"/>
  <c r="I23" i="15"/>
  <c r="I17" i="15"/>
  <c r="I7" i="15"/>
  <c r="I31" i="15"/>
  <c r="I27" i="15"/>
  <c r="I12" i="15"/>
  <c r="I11" i="15"/>
  <c r="I14" i="15"/>
  <c r="I8" i="15"/>
  <c r="I10" i="15"/>
  <c r="N15" i="8"/>
  <c r="N13" i="8"/>
  <c r="N7" i="8"/>
  <c r="N19" i="8"/>
  <c r="N11" i="8"/>
  <c r="N12" i="8"/>
  <c r="N18" i="8"/>
  <c r="N9" i="8"/>
  <c r="N10" i="8"/>
  <c r="L11" i="15"/>
  <c r="L30" i="15"/>
  <c r="L13" i="15"/>
  <c r="L8" i="15"/>
  <c r="L33" i="15"/>
  <c r="L34" i="15"/>
  <c r="L23" i="15"/>
  <c r="L7" i="15"/>
  <c r="L31" i="15"/>
  <c r="L25" i="15"/>
  <c r="L27" i="15"/>
  <c r="L17" i="15"/>
  <c r="L12" i="15"/>
  <c r="L24" i="15"/>
  <c r="L10" i="15"/>
  <c r="L14" i="15"/>
  <c r="M15" i="9"/>
  <c r="M7" i="9"/>
  <c r="M43" i="9"/>
  <c r="M30" i="9"/>
  <c r="M20" i="9"/>
  <c r="M21" i="9"/>
  <c r="M19" i="9"/>
  <c r="M44" i="9"/>
  <c r="M26" i="9"/>
  <c r="M33" i="9"/>
  <c r="M27" i="9"/>
  <c r="M17" i="9"/>
  <c r="M22" i="9"/>
  <c r="M25" i="9"/>
  <c r="M38" i="9"/>
  <c r="M12" i="9"/>
  <c r="M31" i="9"/>
  <c r="M10" i="9"/>
  <c r="M42" i="9"/>
  <c r="M32" i="9"/>
  <c r="M23" i="9"/>
  <c r="M13" i="9"/>
  <c r="M11" i="9"/>
  <c r="M40" i="9"/>
  <c r="M24" i="9"/>
  <c r="M29" i="9"/>
  <c r="M37" i="9"/>
  <c r="M9" i="9"/>
  <c r="F27" i="29"/>
  <c r="G7" i="9"/>
  <c r="G42" i="9"/>
  <c r="G15" i="9"/>
  <c r="G17" i="9"/>
  <c r="G43" i="9"/>
  <c r="G27" i="9"/>
  <c r="G19" i="9"/>
  <c r="G22" i="9"/>
  <c r="G13" i="9"/>
  <c r="G40" i="9"/>
  <c r="G33" i="9"/>
  <c r="G25" i="9"/>
  <c r="G32" i="9"/>
  <c r="G20" i="9"/>
  <c r="G44" i="9"/>
  <c r="G31" i="9"/>
  <c r="G26" i="9"/>
  <c r="G11" i="9"/>
  <c r="G29" i="9"/>
  <c r="G24" i="9"/>
  <c r="G38" i="9"/>
  <c r="G12" i="9"/>
  <c r="G23" i="9"/>
  <c r="G30" i="9"/>
  <c r="G37" i="9"/>
  <c r="G9" i="9"/>
  <c r="G21" i="9"/>
  <c r="C7" i="9"/>
  <c r="C15" i="9"/>
  <c r="C42" i="9"/>
  <c r="C27" i="9"/>
  <c r="C32" i="9"/>
  <c r="C43" i="9"/>
  <c r="C40" i="9"/>
  <c r="C21" i="9"/>
  <c r="C24" i="9"/>
  <c r="C37" i="9"/>
  <c r="C9" i="9"/>
  <c r="C20" i="9"/>
  <c r="C23" i="9"/>
  <c r="C44" i="9"/>
  <c r="C33" i="9"/>
  <c r="C19" i="9"/>
  <c r="C11" i="9"/>
  <c r="C12" i="9"/>
  <c r="C17" i="9"/>
  <c r="C29" i="9"/>
  <c r="C26" i="9"/>
  <c r="C10" i="9"/>
  <c r="C25" i="9"/>
  <c r="C22" i="9"/>
  <c r="C38" i="9"/>
  <c r="C13" i="9"/>
  <c r="C31" i="9"/>
  <c r="C30" i="9"/>
  <c r="N15" i="9"/>
  <c r="N40" i="9"/>
  <c r="N7" i="9"/>
  <c r="N43" i="9"/>
  <c r="N29" i="9"/>
  <c r="N21" i="9"/>
  <c r="N24" i="9"/>
  <c r="N11" i="9"/>
  <c r="N17" i="9"/>
  <c r="N44" i="9"/>
  <c r="N19" i="9"/>
  <c r="N27" i="9"/>
  <c r="N32" i="9"/>
  <c r="N22" i="9"/>
  <c r="N25" i="9"/>
  <c r="N20" i="9"/>
  <c r="N38" i="9"/>
  <c r="N9" i="9"/>
  <c r="N42" i="9"/>
  <c r="N23" i="9"/>
  <c r="N37" i="9"/>
  <c r="N10" i="9"/>
  <c r="N33" i="9"/>
  <c r="N30" i="9"/>
  <c r="N13" i="9"/>
  <c r="N31" i="9"/>
  <c r="N26" i="9"/>
  <c r="N12" i="9"/>
  <c r="L7" i="10"/>
  <c r="L15" i="10"/>
  <c r="L19" i="10"/>
  <c r="L13" i="10"/>
  <c r="L18" i="10"/>
  <c r="L12" i="10"/>
  <c r="L9" i="10"/>
  <c r="L11" i="10"/>
  <c r="L10" i="10"/>
  <c r="E29" i="12"/>
  <c r="E31" i="12"/>
  <c r="E23" i="12"/>
  <c r="E25" i="12"/>
  <c r="E26" i="12"/>
  <c r="E27" i="12"/>
  <c r="E28" i="12"/>
  <c r="I51" i="9"/>
  <c r="I86" i="9"/>
  <c r="I84" i="9"/>
  <c r="I88" i="9"/>
  <c r="I64" i="9"/>
  <c r="I67" i="9"/>
  <c r="I74" i="9"/>
  <c r="I73" i="9"/>
  <c r="I71" i="9"/>
  <c r="I81" i="9"/>
  <c r="I82" i="9"/>
  <c r="I70" i="9"/>
  <c r="I78" i="9"/>
  <c r="I63" i="9"/>
  <c r="I61" i="9"/>
  <c r="I66" i="9"/>
  <c r="I68" i="9"/>
  <c r="I57" i="9"/>
  <c r="I69" i="9"/>
  <c r="I87" i="9"/>
  <c r="I76" i="9"/>
  <c r="I56" i="9"/>
  <c r="I54" i="9"/>
  <c r="I75" i="9"/>
  <c r="I55" i="9"/>
  <c r="I65" i="9"/>
  <c r="I53" i="9"/>
  <c r="G61" i="9"/>
  <c r="G59" i="9"/>
  <c r="G68" i="9"/>
  <c r="G71" i="9"/>
  <c r="G70" i="9"/>
  <c r="G69" i="9"/>
  <c r="G51" i="9"/>
  <c r="G73" i="9"/>
  <c r="G67" i="9"/>
  <c r="G84" i="9"/>
  <c r="G78" i="9"/>
  <c r="G63" i="9"/>
  <c r="G65" i="9"/>
  <c r="G82" i="9"/>
  <c r="G64" i="9"/>
  <c r="G75" i="9"/>
  <c r="G55" i="9"/>
  <c r="G87" i="9"/>
  <c r="G66" i="9"/>
  <c r="G54" i="9"/>
  <c r="G88" i="9"/>
  <c r="G57" i="9"/>
  <c r="G81" i="9"/>
  <c r="G76" i="9"/>
  <c r="G56" i="9"/>
  <c r="G74" i="9"/>
  <c r="G53" i="9"/>
  <c r="O51" i="9"/>
  <c r="O68" i="9"/>
  <c r="O67" i="9"/>
  <c r="O70" i="9"/>
  <c r="O69" i="9"/>
  <c r="O81" i="9"/>
  <c r="O55" i="9"/>
  <c r="O61" i="9"/>
  <c r="O64" i="9"/>
  <c r="O86" i="9"/>
  <c r="O74" i="9"/>
  <c r="O57" i="9"/>
  <c r="O73" i="9"/>
  <c r="O75" i="9"/>
  <c r="O56" i="9"/>
  <c r="O54" i="9"/>
  <c r="O76" i="9"/>
  <c r="O66" i="9"/>
  <c r="O53" i="9"/>
  <c r="O71" i="9"/>
  <c r="O84" i="9"/>
  <c r="O88" i="9"/>
  <c r="O78" i="9"/>
  <c r="O82" i="9"/>
  <c r="O59" i="9"/>
  <c r="O63" i="9"/>
  <c r="O65" i="9"/>
  <c r="D37" i="9"/>
  <c r="H41" i="12"/>
  <c r="H47" i="8"/>
  <c r="H108" i="15"/>
  <c r="H97" i="9"/>
  <c r="H44" i="10"/>
  <c r="D9" i="9"/>
  <c r="I38" i="8"/>
  <c r="K18" i="19"/>
  <c r="D9" i="20" s="1"/>
  <c r="D90" i="20" s="1"/>
  <c r="D66" i="21" s="1"/>
  <c r="D31" i="15"/>
  <c r="D33" i="15"/>
  <c r="D25" i="15"/>
  <c r="D24" i="15"/>
  <c r="D13" i="15"/>
  <c r="D17" i="15"/>
  <c r="D30" i="15"/>
  <c r="D10" i="15"/>
  <c r="D7" i="15"/>
  <c r="D11" i="15"/>
  <c r="D14" i="15"/>
  <c r="D34" i="15"/>
  <c r="D8" i="15"/>
  <c r="D23" i="15"/>
  <c r="D12" i="15"/>
  <c r="D27" i="15"/>
  <c r="I18" i="8"/>
  <c r="I15" i="8"/>
  <c r="I19" i="8"/>
  <c r="I12" i="8"/>
  <c r="I10" i="8"/>
  <c r="I7" i="8"/>
  <c r="I11" i="8"/>
  <c r="I9" i="8"/>
  <c r="I13" i="8"/>
  <c r="L121" i="24"/>
  <c r="L88" i="24"/>
  <c r="L22" i="24"/>
  <c r="M29" i="29"/>
  <c r="M28" i="29"/>
  <c r="M32" i="29"/>
  <c r="M7" i="29"/>
  <c r="M24" i="29"/>
  <c r="M23" i="29"/>
  <c r="M22" i="29"/>
  <c r="M25" i="29"/>
  <c r="M21" i="29"/>
  <c r="M17" i="29"/>
  <c r="M14" i="29"/>
  <c r="M13" i="29"/>
  <c r="M18" i="29"/>
  <c r="M31" i="29"/>
  <c r="M11" i="29"/>
  <c r="M10" i="29"/>
  <c r="M8" i="29"/>
  <c r="M12" i="29"/>
  <c r="Q31" i="29"/>
  <c r="Q12" i="29"/>
  <c r="Q28" i="29"/>
  <c r="Q29" i="29"/>
  <c r="Q17" i="29"/>
  <c r="Q18" i="29"/>
  <c r="Q8" i="29"/>
  <c r="Q10" i="29"/>
  <c r="Q24" i="29"/>
  <c r="Q25" i="29"/>
  <c r="Q13" i="29"/>
  <c r="Q14" i="29"/>
  <c r="Q21" i="29"/>
  <c r="Q7" i="29"/>
  <c r="Q32" i="29"/>
  <c r="Q22" i="29"/>
  <c r="Q23" i="29"/>
  <c r="Q11" i="29"/>
  <c r="M33" i="15"/>
  <c r="M14" i="15"/>
  <c r="M27" i="15"/>
  <c r="M31" i="15"/>
  <c r="M10" i="15"/>
  <c r="M25" i="15"/>
  <c r="M8" i="15"/>
  <c r="M30" i="15"/>
  <c r="M17" i="15"/>
  <c r="M13" i="15"/>
  <c r="M34" i="15"/>
  <c r="M23" i="15"/>
  <c r="M12" i="15"/>
  <c r="M7" i="15"/>
  <c r="M24" i="15"/>
  <c r="M11" i="15"/>
  <c r="I12" i="12"/>
  <c r="I14" i="12" s="1"/>
  <c r="I7" i="12"/>
  <c r="G13" i="10"/>
  <c r="G11" i="10"/>
  <c r="G9" i="10"/>
  <c r="G19" i="10"/>
  <c r="G15" i="10"/>
  <c r="G18" i="10"/>
  <c r="G12" i="10"/>
  <c r="G7" i="10"/>
  <c r="B10" i="29"/>
  <c r="B8" i="29"/>
  <c r="B12" i="29"/>
  <c r="B11" i="29"/>
  <c r="B31" i="29"/>
  <c r="B29" i="29"/>
  <c r="B28" i="29"/>
  <c r="B32" i="29"/>
  <c r="B7" i="29"/>
  <c r="B23" i="29"/>
  <c r="B22" i="29"/>
  <c r="B25" i="29"/>
  <c r="B24" i="29"/>
  <c r="B14" i="29"/>
  <c r="B13" i="29"/>
  <c r="B18" i="29"/>
  <c r="B17" i="29"/>
  <c r="D121" i="24"/>
  <c r="D88" i="24"/>
  <c r="D22" i="24"/>
  <c r="L21" i="29"/>
  <c r="L12" i="29"/>
  <c r="L11" i="29"/>
  <c r="L10" i="29"/>
  <c r="L8" i="29"/>
  <c r="L32" i="29"/>
  <c r="L7" i="29"/>
  <c r="L29" i="29"/>
  <c r="L28" i="29"/>
  <c r="L25" i="29"/>
  <c r="L24" i="29"/>
  <c r="L23" i="29"/>
  <c r="L22" i="29"/>
  <c r="L31" i="29"/>
  <c r="L18" i="29"/>
  <c r="L17" i="29"/>
  <c r="L14" i="29"/>
  <c r="L13" i="29"/>
  <c r="R15" i="7"/>
  <c r="B16" i="7" s="1"/>
  <c r="R16" i="7" s="1"/>
  <c r="B33" i="15"/>
  <c r="B13" i="15"/>
  <c r="B25" i="15"/>
  <c r="B7" i="15"/>
  <c r="B31" i="15"/>
  <c r="B8" i="15"/>
  <c r="B34" i="15"/>
  <c r="B11" i="15"/>
  <c r="B14" i="15"/>
  <c r="B30" i="15"/>
  <c r="B24" i="15"/>
  <c r="B23" i="15"/>
  <c r="B12" i="15"/>
  <c r="B27" i="15"/>
  <c r="B10" i="15"/>
  <c r="J7" i="8"/>
  <c r="J9" i="8"/>
  <c r="J18" i="8"/>
  <c r="J11" i="8"/>
  <c r="J19" i="8"/>
  <c r="J10" i="8"/>
  <c r="J15" i="8"/>
  <c r="J13" i="8"/>
  <c r="J12" i="8"/>
  <c r="N121" i="24"/>
  <c r="N55" i="24"/>
  <c r="N22" i="24"/>
  <c r="J7" i="10"/>
  <c r="J13" i="10"/>
  <c r="J18" i="10"/>
  <c r="J20" i="10" s="1"/>
  <c r="J11" i="10"/>
  <c r="H31" i="29"/>
  <c r="H12" i="29"/>
  <c r="H11" i="29"/>
  <c r="H10" i="29"/>
  <c r="H8" i="29"/>
  <c r="H32" i="29"/>
  <c r="H7" i="29"/>
  <c r="H29" i="29"/>
  <c r="H28" i="29"/>
  <c r="H25" i="29"/>
  <c r="H24" i="29"/>
  <c r="H23" i="29"/>
  <c r="H22" i="29"/>
  <c r="H21" i="29"/>
  <c r="H18" i="29"/>
  <c r="H17" i="29"/>
  <c r="H14" i="29"/>
  <c r="H13" i="29"/>
  <c r="P121" i="24"/>
  <c r="P22" i="24"/>
  <c r="P88" i="24"/>
  <c r="J31" i="29"/>
  <c r="J10" i="29"/>
  <c r="J8" i="29"/>
  <c r="J12" i="29"/>
  <c r="J11" i="29"/>
  <c r="J29" i="29"/>
  <c r="J28" i="29"/>
  <c r="J32" i="29"/>
  <c r="J7" i="29"/>
  <c r="J23" i="29"/>
  <c r="J22" i="29"/>
  <c r="J25" i="29"/>
  <c r="J24" i="29"/>
  <c r="J21" i="29"/>
  <c r="J14" i="29"/>
  <c r="J13" i="29"/>
  <c r="J18" i="29"/>
  <c r="J17" i="29"/>
  <c r="G10" i="10"/>
  <c r="C31" i="15"/>
  <c r="C33" i="15"/>
  <c r="C17" i="15"/>
  <c r="C23" i="15"/>
  <c r="C8" i="15"/>
  <c r="C12" i="15"/>
  <c r="C34" i="15"/>
  <c r="C11" i="15"/>
  <c r="C13" i="15"/>
  <c r="C7" i="15"/>
  <c r="C10" i="15"/>
  <c r="C25" i="15"/>
  <c r="C14" i="15"/>
  <c r="C24" i="15"/>
  <c r="C27" i="15"/>
  <c r="C30" i="15"/>
  <c r="O15" i="8"/>
  <c r="O19" i="8"/>
  <c r="O10" i="8"/>
  <c r="O11" i="8"/>
  <c r="O18" i="8"/>
  <c r="O13" i="8"/>
  <c r="O9" i="8"/>
  <c r="O7" i="8"/>
  <c r="O12" i="8"/>
  <c r="H121" i="24"/>
  <c r="H22" i="24"/>
  <c r="H88" i="24"/>
  <c r="K8" i="29"/>
  <c r="K12" i="29"/>
  <c r="K11" i="29"/>
  <c r="K10" i="29"/>
  <c r="K21" i="29"/>
  <c r="K28" i="29"/>
  <c r="K32" i="29"/>
  <c r="K7" i="29"/>
  <c r="K29" i="29"/>
  <c r="K31" i="29"/>
  <c r="K22" i="29"/>
  <c r="K25" i="29"/>
  <c r="K24" i="29"/>
  <c r="K23" i="29"/>
  <c r="K13" i="29"/>
  <c r="K18" i="29"/>
  <c r="K17" i="29"/>
  <c r="K14" i="29"/>
  <c r="I51" i="20"/>
  <c r="I40" i="21" s="1"/>
  <c r="I105" i="20"/>
  <c r="I78" i="21" s="1"/>
  <c r="B21" i="21"/>
  <c r="I21" i="21"/>
  <c r="H21" i="21"/>
  <c r="H51" i="20"/>
  <c r="H40" i="21" s="1"/>
  <c r="D23" i="12"/>
  <c r="D25" i="12"/>
  <c r="D26" i="12"/>
  <c r="D27" i="12"/>
  <c r="D28" i="12"/>
  <c r="D29" i="12"/>
  <c r="D31" i="12"/>
  <c r="L23" i="12"/>
  <c r="L25" i="12"/>
  <c r="L26" i="12"/>
  <c r="L27" i="12"/>
  <c r="L28" i="12"/>
  <c r="L29" i="12"/>
  <c r="L31" i="12"/>
  <c r="F23" i="12"/>
  <c r="F25" i="12"/>
  <c r="F26" i="12"/>
  <c r="F27" i="12"/>
  <c r="F28" i="12"/>
  <c r="F29" i="12"/>
  <c r="F31" i="12"/>
  <c r="B30" i="12"/>
  <c r="B32" i="12" s="1"/>
  <c r="B34" i="12" s="1"/>
  <c r="H23" i="12"/>
  <c r="H25" i="12"/>
  <c r="H26" i="12"/>
  <c r="H27" i="12"/>
  <c r="H28" i="12"/>
  <c r="H29" i="12"/>
  <c r="H31" i="12"/>
  <c r="Q34" i="12"/>
  <c r="M7" i="12"/>
  <c r="M12" i="12"/>
  <c r="M14" i="12" s="1"/>
  <c r="J23" i="12"/>
  <c r="J25" i="12"/>
  <c r="J26" i="12"/>
  <c r="J27" i="12"/>
  <c r="J28" i="12"/>
  <c r="J29" i="12"/>
  <c r="J31" i="12"/>
  <c r="P90" i="9"/>
  <c r="P40" i="10"/>
  <c r="Q40" i="10"/>
  <c r="R29" i="10"/>
  <c r="G20" i="7"/>
  <c r="D35" i="10"/>
  <c r="D40" i="10" s="1"/>
  <c r="D44" i="8"/>
  <c r="D38" i="12"/>
  <c r="D94" i="9"/>
  <c r="E40" i="10"/>
  <c r="B134" i="8"/>
  <c r="Q90" i="9"/>
  <c r="H40" i="10"/>
  <c r="C13" i="3"/>
  <c r="C15" i="3" s="1"/>
  <c r="E33" i="8"/>
  <c r="E35" i="8" s="1"/>
  <c r="E40" i="8" s="1"/>
  <c r="L72" i="2"/>
  <c r="I7" i="6"/>
  <c r="B7" i="6"/>
  <c r="J7" i="6"/>
  <c r="N7" i="6"/>
  <c r="C7" i="6"/>
  <c r="G7" i="6"/>
  <c r="K7" i="6"/>
  <c r="L7" i="6"/>
  <c r="O7" i="6"/>
  <c r="Q7" i="6"/>
  <c r="H7" i="6"/>
  <c r="F7" i="6"/>
  <c r="P7" i="6"/>
  <c r="M7" i="6"/>
  <c r="B7" i="9"/>
  <c r="C14" i="12"/>
  <c r="C16" i="12" s="1"/>
  <c r="C18" i="12" s="1"/>
  <c r="Q13" i="9"/>
  <c r="D12" i="3"/>
  <c r="L63" i="2"/>
  <c r="D14" i="3"/>
  <c r="G33" i="8"/>
  <c r="G35" i="8" s="1"/>
  <c r="G40" i="8" s="1"/>
  <c r="K73" i="2"/>
  <c r="L73" i="2" s="1"/>
  <c r="D9" i="3" s="1"/>
  <c r="B9" i="3"/>
  <c r="F47" i="4"/>
  <c r="J82" i="9"/>
  <c r="F39" i="8"/>
  <c r="F40" i="8" s="1"/>
  <c r="E47" i="4"/>
  <c r="D16" i="3"/>
  <c r="B22" i="20"/>
  <c r="B103" i="20" s="1"/>
  <c r="G55" i="24"/>
  <c r="G121" i="24"/>
  <c r="G88" i="24"/>
  <c r="G22" i="24"/>
  <c r="O55" i="24"/>
  <c r="O121" i="24"/>
  <c r="O88" i="24"/>
  <c r="O22" i="24"/>
  <c r="J7" i="12"/>
  <c r="J12" i="12"/>
  <c r="J9" i="12"/>
  <c r="J13" i="12"/>
  <c r="J10" i="12"/>
  <c r="J15" i="12"/>
  <c r="J11" i="12"/>
  <c r="G14" i="12"/>
  <c r="G16" i="12" s="1"/>
  <c r="G18" i="12" s="1"/>
  <c r="K14" i="12"/>
  <c r="K16" i="12" s="1"/>
  <c r="K18" i="12" s="1"/>
  <c r="D7" i="8"/>
  <c r="D19" i="8"/>
  <c r="D12" i="8"/>
  <c r="D9" i="8"/>
  <c r="D15" i="8"/>
  <c r="D11" i="8"/>
  <c r="D18" i="8"/>
  <c r="D13" i="8"/>
  <c r="D10" i="8"/>
  <c r="P18" i="10"/>
  <c r="P10" i="10"/>
  <c r="P7" i="10"/>
  <c r="P12" i="10"/>
  <c r="P9" i="10"/>
  <c r="P15" i="10"/>
  <c r="P19" i="10"/>
  <c r="P11" i="10"/>
  <c r="P13" i="10"/>
  <c r="H15" i="10"/>
  <c r="H13" i="10"/>
  <c r="H19" i="10"/>
  <c r="H11" i="10"/>
  <c r="H9" i="10"/>
  <c r="H18" i="10"/>
  <c r="H7" i="10"/>
  <c r="H10" i="10"/>
  <c r="H12" i="10"/>
  <c r="D10" i="12"/>
  <c r="D11" i="12"/>
  <c r="D15" i="12"/>
  <c r="D7" i="12"/>
  <c r="D12" i="12"/>
  <c r="D9" i="12"/>
  <c r="D13" i="12"/>
  <c r="L10" i="12"/>
  <c r="L11" i="12"/>
  <c r="L15" i="12"/>
  <c r="L7" i="12"/>
  <c r="L12" i="12"/>
  <c r="L13" i="12"/>
  <c r="L9" i="12"/>
  <c r="E18" i="8"/>
  <c r="E13" i="8"/>
  <c r="E7" i="8"/>
  <c r="E11" i="8"/>
  <c r="E12" i="8"/>
  <c r="E9" i="8"/>
  <c r="E15" i="8"/>
  <c r="E19" i="8"/>
  <c r="E10" i="8"/>
  <c r="O7" i="10"/>
  <c r="O13" i="10"/>
  <c r="O9" i="10"/>
  <c r="O19" i="10"/>
  <c r="O10" i="10"/>
  <c r="O12" i="10"/>
  <c r="O11" i="10"/>
  <c r="O18" i="10"/>
  <c r="O15" i="10"/>
  <c r="D18" i="10"/>
  <c r="D12" i="10"/>
  <c r="D9" i="10"/>
  <c r="D15" i="10"/>
  <c r="D10" i="10"/>
  <c r="D7" i="10"/>
  <c r="D19" i="10"/>
  <c r="D11" i="10"/>
  <c r="D13" i="10"/>
  <c r="M7" i="10"/>
  <c r="M9" i="10"/>
  <c r="M19" i="10"/>
  <c r="M10" i="10"/>
  <c r="M15" i="10"/>
  <c r="M18" i="10"/>
  <c r="M13" i="10"/>
  <c r="M12" i="10"/>
  <c r="M11" i="10"/>
  <c r="Q21" i="8"/>
  <c r="K55" i="24"/>
  <c r="K121" i="24"/>
  <c r="K88" i="24"/>
  <c r="K22" i="24"/>
  <c r="F7" i="12"/>
  <c r="F12" i="12"/>
  <c r="F9" i="12"/>
  <c r="F13" i="12"/>
  <c r="F10" i="12"/>
  <c r="F11" i="12"/>
  <c r="F15" i="12"/>
  <c r="N7" i="12"/>
  <c r="N12" i="12"/>
  <c r="N9" i="12"/>
  <c r="N13" i="12"/>
  <c r="N10" i="12"/>
  <c r="N11" i="12"/>
  <c r="N15" i="12"/>
  <c r="B15" i="8"/>
  <c r="B11" i="8"/>
  <c r="B12" i="8"/>
  <c r="B19" i="8"/>
  <c r="B10" i="8"/>
  <c r="B13" i="8"/>
  <c r="B7" i="8"/>
  <c r="B18" i="8"/>
  <c r="B9" i="8"/>
  <c r="N9" i="10"/>
  <c r="N7" i="10"/>
  <c r="N18" i="10"/>
  <c r="N10" i="10"/>
  <c r="N11" i="10"/>
  <c r="N15" i="10"/>
  <c r="N13" i="10"/>
  <c r="N12" i="10"/>
  <c r="N19" i="10"/>
  <c r="I13" i="10"/>
  <c r="I7" i="10"/>
  <c r="I19" i="10"/>
  <c r="I12" i="10"/>
  <c r="I10" i="10"/>
  <c r="I18" i="10"/>
  <c r="I11" i="10"/>
  <c r="I15" i="10"/>
  <c r="I9" i="10"/>
  <c r="I88" i="24"/>
  <c r="I121" i="24"/>
  <c r="I55" i="24"/>
  <c r="I22" i="24"/>
  <c r="Q88" i="24"/>
  <c r="Q121" i="24"/>
  <c r="Q55" i="24"/>
  <c r="Q22" i="24"/>
  <c r="C21" i="21"/>
  <c r="E88" i="24"/>
  <c r="E121" i="24"/>
  <c r="E55" i="24"/>
  <c r="E22" i="24"/>
  <c r="M88" i="24"/>
  <c r="M121" i="24"/>
  <c r="M55" i="24"/>
  <c r="M22" i="24"/>
  <c r="H10" i="12"/>
  <c r="H11" i="12"/>
  <c r="H15" i="12"/>
  <c r="H7" i="12"/>
  <c r="H12" i="12"/>
  <c r="H9" i="12"/>
  <c r="H13" i="12"/>
  <c r="P10" i="12"/>
  <c r="P11" i="12"/>
  <c r="P15" i="12"/>
  <c r="P7" i="12"/>
  <c r="P12" i="12"/>
  <c r="P9" i="12"/>
  <c r="P13" i="12"/>
  <c r="E14" i="12"/>
  <c r="E16" i="12" s="1"/>
  <c r="E18" i="12" s="1"/>
  <c r="O14" i="12"/>
  <c r="O16" i="12" s="1"/>
  <c r="B14" i="12"/>
  <c r="C18" i="8"/>
  <c r="C10" i="8"/>
  <c r="C11" i="8"/>
  <c r="C15" i="8"/>
  <c r="C9" i="8"/>
  <c r="C7" i="8"/>
  <c r="C13" i="8"/>
  <c r="C19" i="8"/>
  <c r="C12" i="8"/>
  <c r="Q15" i="10"/>
  <c r="Q11" i="10"/>
  <c r="Q19" i="10"/>
  <c r="Q9" i="10"/>
  <c r="Q13" i="10"/>
  <c r="Q18" i="10"/>
  <c r="Q12" i="10"/>
  <c r="Q10" i="10"/>
  <c r="Q7" i="10"/>
  <c r="C11" i="10"/>
  <c r="C13" i="10"/>
  <c r="C19" i="10"/>
  <c r="C15" i="10"/>
  <c r="C12" i="10"/>
  <c r="C10" i="10"/>
  <c r="C7" i="10"/>
  <c r="C9" i="10"/>
  <c r="C18" i="10"/>
  <c r="G105" i="20"/>
  <c r="G78" i="21" s="1"/>
  <c r="K24" i="20"/>
  <c r="B51" i="20"/>
  <c r="B78" i="20"/>
  <c r="B59" i="21" s="1"/>
  <c r="E78" i="20"/>
  <c r="E59" i="21" s="1"/>
  <c r="E51" i="20"/>
  <c r="E40" i="21" s="1"/>
  <c r="E105" i="20"/>
  <c r="E78" i="21" s="1"/>
  <c r="C78" i="20"/>
  <c r="C59" i="21" s="1"/>
  <c r="C105" i="20"/>
  <c r="C51" i="20"/>
  <c r="C40" i="21" s="1"/>
  <c r="D78" i="20"/>
  <c r="D59" i="21" s="1"/>
  <c r="D105" i="20"/>
  <c r="D78" i="21" s="1"/>
  <c r="H78" i="21"/>
  <c r="D21" i="21"/>
  <c r="J21" i="21"/>
  <c r="J40" i="21"/>
  <c r="D40" i="21"/>
  <c r="E21" i="21"/>
  <c r="F21" i="21"/>
  <c r="G21" i="21"/>
  <c r="B78" i="21"/>
  <c r="F78" i="21"/>
  <c r="J78" i="21"/>
  <c r="G59" i="21"/>
  <c r="H59" i="21"/>
  <c r="J59" i="21"/>
  <c r="F59" i="21"/>
  <c r="I59" i="21"/>
  <c r="P54" i="16"/>
  <c r="P65" i="16" s="1"/>
  <c r="P68" i="16" s="1"/>
  <c r="N51" i="29"/>
  <c r="N61" i="29" s="1"/>
  <c r="N64" i="29" s="1"/>
  <c r="K46" i="29"/>
  <c r="K51" i="29" s="1"/>
  <c r="O51" i="29"/>
  <c r="O61" i="29" s="1"/>
  <c r="O64" i="29" s="1"/>
  <c r="B20" i="28"/>
  <c r="G87" i="15"/>
  <c r="O87" i="15"/>
  <c r="Q54" i="16"/>
  <c r="P51" i="29"/>
  <c r="P61" i="29" s="1"/>
  <c r="N54" i="16"/>
  <c r="H51" i="29"/>
  <c r="Q48" i="15"/>
  <c r="Q54" i="15" s="1"/>
  <c r="L48" i="16"/>
  <c r="L54" i="16" s="1"/>
  <c r="O54" i="16"/>
  <c r="O65" i="16" s="1"/>
  <c r="O68" i="16" s="1"/>
  <c r="G23" i="20"/>
  <c r="G77" i="20" s="1"/>
  <c r="K16" i="19"/>
  <c r="D12" i="20"/>
  <c r="D66" i="20" s="1"/>
  <c r="H8" i="20"/>
  <c r="E35" i="20"/>
  <c r="E27" i="21" s="1"/>
  <c r="D11" i="20"/>
  <c r="K6" i="26"/>
  <c r="K9" i="26" s="1"/>
  <c r="F14" i="8" l="1"/>
  <c r="F16" i="8" s="1"/>
  <c r="H14" i="8"/>
  <c r="H16" i="8" s="1"/>
  <c r="G20" i="8"/>
  <c r="G21" i="8" s="1"/>
  <c r="K14" i="8"/>
  <c r="K16" i="8" s="1"/>
  <c r="M16" i="8"/>
  <c r="M21" i="8" s="1"/>
  <c r="F21" i="8"/>
  <c r="B39" i="10"/>
  <c r="R37" i="10"/>
  <c r="R39" i="10" s="1"/>
  <c r="B13" i="3"/>
  <c r="B15" i="3" s="1"/>
  <c r="B45" i="3" s="1"/>
  <c r="B33" i="10"/>
  <c r="J39" i="9"/>
  <c r="H20" i="8"/>
  <c r="F20" i="8"/>
  <c r="R59" i="16"/>
  <c r="C29" i="16"/>
  <c r="P20" i="16"/>
  <c r="R26" i="16"/>
  <c r="L20" i="16"/>
  <c r="R18" i="16"/>
  <c r="C9" i="16"/>
  <c r="C15" i="16" s="1"/>
  <c r="N20" i="16"/>
  <c r="P9" i="16"/>
  <c r="P15" i="16" s="1"/>
  <c r="P21" i="16" s="1"/>
  <c r="J20" i="16"/>
  <c r="E54" i="16"/>
  <c r="E65" i="16" s="1"/>
  <c r="E68" i="16" s="1"/>
  <c r="P62" i="15"/>
  <c r="Q21" i="16"/>
  <c r="Q32" i="16" s="1"/>
  <c r="Q35" i="16" s="1"/>
  <c r="F29" i="16"/>
  <c r="N29" i="16"/>
  <c r="H29" i="16"/>
  <c r="D61" i="15"/>
  <c r="F62" i="15"/>
  <c r="G29" i="15"/>
  <c r="C53" i="15"/>
  <c r="R92" i="15"/>
  <c r="C61" i="15"/>
  <c r="F53" i="15"/>
  <c r="R59" i="15"/>
  <c r="C42" i="15"/>
  <c r="C48" i="15" s="1"/>
  <c r="G28" i="15"/>
  <c r="C62" i="15"/>
  <c r="L53" i="15"/>
  <c r="R26" i="15"/>
  <c r="G42" i="15"/>
  <c r="G48" i="15" s="1"/>
  <c r="E54" i="15"/>
  <c r="E65" i="15" s="1"/>
  <c r="E68" i="15" s="1"/>
  <c r="P61" i="15"/>
  <c r="F61" i="15"/>
  <c r="R18" i="15"/>
  <c r="C86" i="15"/>
  <c r="G20" i="15"/>
  <c r="R84" i="15"/>
  <c r="M53" i="15"/>
  <c r="N28" i="15"/>
  <c r="G9" i="15"/>
  <c r="G15" i="15" s="1"/>
  <c r="R51" i="15"/>
  <c r="D54" i="15"/>
  <c r="F48" i="15"/>
  <c r="R79" i="15"/>
  <c r="K53" i="15"/>
  <c r="J62" i="15"/>
  <c r="F20" i="29"/>
  <c r="F30" i="29" s="1"/>
  <c r="F33" i="29" s="1"/>
  <c r="C28" i="16"/>
  <c r="E9" i="16"/>
  <c r="E15" i="16" s="1"/>
  <c r="G53" i="15"/>
  <c r="M61" i="15"/>
  <c r="N29" i="15"/>
  <c r="L42" i="15"/>
  <c r="L48" i="15" s="1"/>
  <c r="N20" i="15"/>
  <c r="M20" i="16"/>
  <c r="R8" i="16"/>
  <c r="D9" i="16"/>
  <c r="D15" i="16" s="1"/>
  <c r="O20" i="16"/>
  <c r="H9" i="16"/>
  <c r="H15" i="16" s="1"/>
  <c r="P29" i="16"/>
  <c r="F20" i="16"/>
  <c r="J28" i="16"/>
  <c r="R99" i="15"/>
  <c r="B86" i="15"/>
  <c r="G9" i="16"/>
  <c r="G15" i="16" s="1"/>
  <c r="J9" i="16"/>
  <c r="J15" i="16" s="1"/>
  <c r="L9" i="16"/>
  <c r="L15" i="16" s="1"/>
  <c r="L45" i="9"/>
  <c r="J14" i="9"/>
  <c r="J16" i="9" s="1"/>
  <c r="L39" i="9"/>
  <c r="D58" i="9"/>
  <c r="D60" i="9" s="1"/>
  <c r="J45" i="9"/>
  <c r="L14" i="9"/>
  <c r="L16" i="9" s="1"/>
  <c r="J28" i="9"/>
  <c r="R79" i="9"/>
  <c r="D72" i="9"/>
  <c r="R77" i="9"/>
  <c r="R34" i="9"/>
  <c r="L28" i="9"/>
  <c r="R35" i="9"/>
  <c r="N28" i="16"/>
  <c r="M90" i="9"/>
  <c r="N39" i="9"/>
  <c r="K46" i="9"/>
  <c r="K20" i="16"/>
  <c r="L29" i="16"/>
  <c r="C42" i="16"/>
  <c r="C48" i="16" s="1"/>
  <c r="C61" i="16"/>
  <c r="M9" i="16"/>
  <c r="M15" i="16" s="1"/>
  <c r="C20" i="16"/>
  <c r="N9" i="16"/>
  <c r="N15" i="16" s="1"/>
  <c r="J29" i="16"/>
  <c r="H28" i="16"/>
  <c r="R14" i="16"/>
  <c r="D20" i="16"/>
  <c r="M28" i="16"/>
  <c r="F28" i="16"/>
  <c r="C62" i="16"/>
  <c r="P28" i="16"/>
  <c r="L28" i="16"/>
  <c r="F9" i="16"/>
  <c r="M29" i="16"/>
  <c r="C53" i="16"/>
  <c r="H20" i="16"/>
  <c r="I29" i="16"/>
  <c r="R19" i="16"/>
  <c r="R33" i="16"/>
  <c r="I28" i="16"/>
  <c r="R10" i="16"/>
  <c r="K28" i="16"/>
  <c r="R27" i="16"/>
  <c r="D28" i="16"/>
  <c r="K29" i="16"/>
  <c r="R31" i="16"/>
  <c r="G29" i="16"/>
  <c r="R13" i="16"/>
  <c r="R34" i="16"/>
  <c r="O28" i="16"/>
  <c r="R23" i="16"/>
  <c r="B28" i="16"/>
  <c r="B29" i="16"/>
  <c r="R30" i="16"/>
  <c r="R11" i="16"/>
  <c r="E20" i="16"/>
  <c r="K9" i="16"/>
  <c r="R7" i="16"/>
  <c r="B9" i="16"/>
  <c r="B15" i="16" s="1"/>
  <c r="O29" i="16"/>
  <c r="G28" i="16"/>
  <c r="O9" i="16"/>
  <c r="O15" i="16" s="1"/>
  <c r="D29" i="16"/>
  <c r="I9" i="16"/>
  <c r="G20" i="16"/>
  <c r="E29" i="16"/>
  <c r="R25" i="16"/>
  <c r="R24" i="16"/>
  <c r="I20" i="16"/>
  <c r="R17" i="16"/>
  <c r="B20" i="16"/>
  <c r="E28" i="16"/>
  <c r="R12" i="16"/>
  <c r="R22" i="16"/>
  <c r="R77" i="15"/>
  <c r="R90" i="15"/>
  <c r="E75" i="15"/>
  <c r="E81" i="15" s="1"/>
  <c r="B54" i="15"/>
  <c r="B65" i="15" s="1"/>
  <c r="B68" i="15" s="1"/>
  <c r="D87" i="15"/>
  <c r="D98" i="15" s="1"/>
  <c r="R78" i="15"/>
  <c r="I62" i="15"/>
  <c r="K62" i="15"/>
  <c r="R19" i="15"/>
  <c r="K42" i="15"/>
  <c r="K48" i="15" s="1"/>
  <c r="J20" i="15"/>
  <c r="C94" i="15"/>
  <c r="G61" i="15"/>
  <c r="R91" i="15"/>
  <c r="B75" i="15"/>
  <c r="B81" i="15" s="1"/>
  <c r="N9" i="15"/>
  <c r="J28" i="15"/>
  <c r="J29" i="15"/>
  <c r="P53" i="15"/>
  <c r="C95" i="15"/>
  <c r="J9" i="15"/>
  <c r="K61" i="15"/>
  <c r="E94" i="15"/>
  <c r="E95" i="15"/>
  <c r="P42" i="15"/>
  <c r="P48" i="15" s="1"/>
  <c r="G62" i="15"/>
  <c r="P21" i="15"/>
  <c r="P32" i="15" s="1"/>
  <c r="L61" i="15"/>
  <c r="M62" i="15"/>
  <c r="J61" i="15"/>
  <c r="R100" i="15"/>
  <c r="R97" i="15"/>
  <c r="C75" i="15"/>
  <c r="J53" i="15"/>
  <c r="R83" i="15"/>
  <c r="R73" i="15"/>
  <c r="R80" i="15"/>
  <c r="L62" i="15"/>
  <c r="R74" i="15"/>
  <c r="R89" i="15"/>
  <c r="R85" i="15"/>
  <c r="R93" i="15"/>
  <c r="I42" i="15"/>
  <c r="I48" i="15" s="1"/>
  <c r="M42" i="15"/>
  <c r="R76" i="15"/>
  <c r="E86" i="15"/>
  <c r="R96" i="15"/>
  <c r="B95" i="15"/>
  <c r="B94" i="15"/>
  <c r="J42" i="15"/>
  <c r="J48" i="15" s="1"/>
  <c r="I61" i="15"/>
  <c r="I53" i="15"/>
  <c r="G39" i="9"/>
  <c r="O20" i="10"/>
  <c r="P39" i="9"/>
  <c r="L20" i="8"/>
  <c r="B16" i="12"/>
  <c r="B18" i="12" s="1"/>
  <c r="L74" i="2"/>
  <c r="C45" i="3"/>
  <c r="C48" i="3" s="1"/>
  <c r="R60" i="29"/>
  <c r="N101" i="15"/>
  <c r="E51" i="29"/>
  <c r="E61" i="29" s="1"/>
  <c r="E64" i="29" s="1"/>
  <c r="R41" i="29"/>
  <c r="R63" i="29"/>
  <c r="R56" i="29"/>
  <c r="O30" i="29"/>
  <c r="O33" i="29" s="1"/>
  <c r="E29" i="15"/>
  <c r="R62" i="29"/>
  <c r="R49" i="29"/>
  <c r="R45" i="29"/>
  <c r="D51" i="29"/>
  <c r="D61" i="29" s="1"/>
  <c r="D64" i="29" s="1"/>
  <c r="R43" i="29"/>
  <c r="R42" i="29"/>
  <c r="R55" i="29"/>
  <c r="C29" i="15"/>
  <c r="B19" i="13"/>
  <c r="B30" i="13" s="1"/>
  <c r="L9" i="15"/>
  <c r="L15" i="15" s="1"/>
  <c r="M29" i="15"/>
  <c r="F20" i="15"/>
  <c r="N62" i="15"/>
  <c r="R73" i="16"/>
  <c r="R40" i="12"/>
  <c r="R106" i="15"/>
  <c r="R69" i="29"/>
  <c r="R46" i="8"/>
  <c r="R96" i="9"/>
  <c r="R73" i="28"/>
  <c r="R109" i="15"/>
  <c r="C8" i="20"/>
  <c r="C8" i="21" s="1"/>
  <c r="R28" i="8"/>
  <c r="K74" i="2"/>
  <c r="C83" i="9"/>
  <c r="H83" i="9"/>
  <c r="E89" i="20"/>
  <c r="E65" i="21" s="1"/>
  <c r="G12" i="20"/>
  <c r="G66" i="20" s="1"/>
  <c r="B12" i="20"/>
  <c r="B93" i="20" s="1"/>
  <c r="F8" i="20"/>
  <c r="F89" i="20" s="1"/>
  <c r="F65" i="21" s="1"/>
  <c r="J12" i="20"/>
  <c r="J66" i="20" s="1"/>
  <c r="C66" i="20"/>
  <c r="D6" i="20"/>
  <c r="D60" i="20" s="1"/>
  <c r="D8" i="20"/>
  <c r="D89" i="20" s="1"/>
  <c r="D65" i="21" s="1"/>
  <c r="E12" i="20"/>
  <c r="E39" i="20" s="1"/>
  <c r="E8" i="21"/>
  <c r="J8" i="20"/>
  <c r="J35" i="20" s="1"/>
  <c r="F12" i="20"/>
  <c r="F93" i="20" s="1"/>
  <c r="I8" i="20"/>
  <c r="I8" i="21" s="1"/>
  <c r="R44" i="29"/>
  <c r="R54" i="29"/>
  <c r="R39" i="29"/>
  <c r="R52" i="15"/>
  <c r="R44" i="15"/>
  <c r="G27" i="29"/>
  <c r="D19" i="29"/>
  <c r="E27" i="29"/>
  <c r="C19" i="29"/>
  <c r="I9" i="29"/>
  <c r="I15" i="29" s="1"/>
  <c r="D9" i="29"/>
  <c r="D15" i="29" s="1"/>
  <c r="N27" i="29"/>
  <c r="E9" i="29"/>
  <c r="E15" i="29" s="1"/>
  <c r="B57" i="29"/>
  <c r="N19" i="29"/>
  <c r="E26" i="29"/>
  <c r="I19" i="29"/>
  <c r="D26" i="29"/>
  <c r="B58" i="29"/>
  <c r="R53" i="29"/>
  <c r="I26" i="29"/>
  <c r="G26" i="29"/>
  <c r="N9" i="29"/>
  <c r="N15" i="29" s="1"/>
  <c r="C27" i="29"/>
  <c r="C9" i="29"/>
  <c r="G9" i="29"/>
  <c r="G19" i="29"/>
  <c r="I27" i="29"/>
  <c r="D27" i="29"/>
  <c r="B50" i="29"/>
  <c r="B40" i="29"/>
  <c r="N26" i="29"/>
  <c r="C26" i="29"/>
  <c r="E94" i="9"/>
  <c r="E44" i="8"/>
  <c r="I16" i="12"/>
  <c r="I18" i="12" s="1"/>
  <c r="J14" i="10"/>
  <c r="J16" i="10" s="1"/>
  <c r="J21" i="10" s="1"/>
  <c r="D14" i="9"/>
  <c r="D16" i="9" s="1"/>
  <c r="H89" i="9"/>
  <c r="E58" i="9"/>
  <c r="E60" i="9" s="1"/>
  <c r="R59" i="9"/>
  <c r="R32" i="8"/>
  <c r="E14" i="9"/>
  <c r="E16" i="9" s="1"/>
  <c r="I14" i="9"/>
  <c r="I16" i="9" s="1"/>
  <c r="R10" i="9"/>
  <c r="B17" i="7"/>
  <c r="R17" i="7" s="1"/>
  <c r="B13" i="6" s="1"/>
  <c r="G14" i="9"/>
  <c r="G16" i="9" s="1"/>
  <c r="R58" i="15"/>
  <c r="G14" i="10"/>
  <c r="G16" i="10" s="1"/>
  <c r="R30" i="8"/>
  <c r="R26" i="8"/>
  <c r="N53" i="15"/>
  <c r="R66" i="15"/>
  <c r="R64" i="15"/>
  <c r="H10" i="20"/>
  <c r="H64" i="20" s="1"/>
  <c r="B38" i="20"/>
  <c r="F11" i="20"/>
  <c r="F38" i="20" s="1"/>
  <c r="K24" i="19"/>
  <c r="B15" i="20" s="1"/>
  <c r="B69" i="20" s="1"/>
  <c r="D45" i="9"/>
  <c r="D39" i="9"/>
  <c r="D20" i="8"/>
  <c r="G83" i="9"/>
  <c r="I83" i="9"/>
  <c r="O39" i="9"/>
  <c r="K20" i="10"/>
  <c r="Q39" i="9"/>
  <c r="G20" i="10"/>
  <c r="B20" i="10"/>
  <c r="H39" i="9"/>
  <c r="E39" i="9"/>
  <c r="M45" i="9"/>
  <c r="R17" i="9"/>
  <c r="I30" i="12"/>
  <c r="I32" i="12" s="1"/>
  <c r="I34" i="12" s="1"/>
  <c r="R27" i="12"/>
  <c r="M16" i="12"/>
  <c r="M18" i="12" s="1"/>
  <c r="L58" i="9"/>
  <c r="L60" i="9" s="1"/>
  <c r="C14" i="9"/>
  <c r="C16" i="9" s="1"/>
  <c r="F89" i="9"/>
  <c r="C58" i="9"/>
  <c r="C60" i="9" s="1"/>
  <c r="L14" i="10"/>
  <c r="L16" i="10" s="1"/>
  <c r="E9" i="15"/>
  <c r="E15" i="15" s="1"/>
  <c r="Q20" i="15"/>
  <c r="O42" i="15"/>
  <c r="O48" i="15" s="1"/>
  <c r="R43" i="15"/>
  <c r="R47" i="15"/>
  <c r="M9" i="15"/>
  <c r="M15" i="15" s="1"/>
  <c r="R45" i="15"/>
  <c r="R46" i="15"/>
  <c r="R60" i="15"/>
  <c r="J9" i="29"/>
  <c r="J15" i="29" s="1"/>
  <c r="R41" i="15"/>
  <c r="K20" i="15"/>
  <c r="F29" i="15"/>
  <c r="L27" i="29"/>
  <c r="R67" i="15"/>
  <c r="R57" i="15"/>
  <c r="K28" i="15"/>
  <c r="K29" i="15"/>
  <c r="I9" i="15"/>
  <c r="I15" i="15" s="1"/>
  <c r="L20" i="15"/>
  <c r="L29" i="15"/>
  <c r="M20" i="15"/>
  <c r="H9" i="29"/>
  <c r="H15" i="29" s="1"/>
  <c r="L9" i="29"/>
  <c r="L15" i="29" s="1"/>
  <c r="M27" i="29"/>
  <c r="O61" i="15"/>
  <c r="D53" i="16"/>
  <c r="Q19" i="29"/>
  <c r="D29" i="15"/>
  <c r="O28" i="15"/>
  <c r="N89" i="9"/>
  <c r="Q45" i="9"/>
  <c r="J72" i="9"/>
  <c r="L72" i="9"/>
  <c r="K72" i="9"/>
  <c r="N45" i="9"/>
  <c r="C45" i="9"/>
  <c r="G45" i="9"/>
  <c r="F72" i="9"/>
  <c r="L89" i="9"/>
  <c r="G89" i="9"/>
  <c r="H11" i="20"/>
  <c r="E11" i="20"/>
  <c r="E92" i="20" s="1"/>
  <c r="J6" i="20"/>
  <c r="J33" i="20" s="1"/>
  <c r="G8" i="20"/>
  <c r="G35" i="20" s="1"/>
  <c r="G27" i="21" s="1"/>
  <c r="B8" i="20"/>
  <c r="B89" i="20" s="1"/>
  <c r="C93" i="20"/>
  <c r="I12" i="20"/>
  <c r="I39" i="20" s="1"/>
  <c r="H12" i="20"/>
  <c r="H66" i="20" s="1"/>
  <c r="C30" i="19"/>
  <c r="C29" i="19"/>
  <c r="C28" i="19"/>
  <c r="J11" i="20"/>
  <c r="J92" i="20" s="1"/>
  <c r="I11" i="20"/>
  <c r="I38" i="20" s="1"/>
  <c r="B65" i="20"/>
  <c r="C11" i="20"/>
  <c r="C38" i="20" s="1"/>
  <c r="G11" i="20"/>
  <c r="G38" i="20" s="1"/>
  <c r="K51" i="20"/>
  <c r="B30" i="19"/>
  <c r="B29" i="19"/>
  <c r="B28" i="19"/>
  <c r="D29" i="19"/>
  <c r="D28" i="19"/>
  <c r="D30" i="19"/>
  <c r="I10" i="20"/>
  <c r="I37" i="20" s="1"/>
  <c r="K22" i="19"/>
  <c r="B13" i="20" s="1"/>
  <c r="B10" i="20"/>
  <c r="B37" i="20" s="1"/>
  <c r="F10" i="20"/>
  <c r="F37" i="20" s="1"/>
  <c r="C64" i="20"/>
  <c r="J10" i="20"/>
  <c r="J91" i="20" s="1"/>
  <c r="E10" i="20"/>
  <c r="E37" i="20" s="1"/>
  <c r="C91" i="20"/>
  <c r="G10" i="20"/>
  <c r="G91" i="20" s="1"/>
  <c r="D10" i="20"/>
  <c r="D91" i="20" s="1"/>
  <c r="C6" i="20"/>
  <c r="C87" i="20" s="1"/>
  <c r="I6" i="20"/>
  <c r="I33" i="20" s="1"/>
  <c r="G6" i="20"/>
  <c r="G87" i="20" s="1"/>
  <c r="H6" i="20"/>
  <c r="E6" i="20"/>
  <c r="E60" i="20" s="1"/>
  <c r="F6" i="20"/>
  <c r="F87" i="20" s="1"/>
  <c r="I9" i="20"/>
  <c r="I36" i="20" s="1"/>
  <c r="D63" i="20"/>
  <c r="D47" i="21" s="1"/>
  <c r="K23" i="19"/>
  <c r="B14" i="20" s="1"/>
  <c r="B41" i="20" s="1"/>
  <c r="C9" i="20"/>
  <c r="C90" i="20" s="1"/>
  <c r="C66" i="21" s="1"/>
  <c r="J9" i="20"/>
  <c r="J36" i="20" s="1"/>
  <c r="J28" i="21" s="1"/>
  <c r="B9" i="20"/>
  <c r="B36" i="20" s="1"/>
  <c r="D36" i="20"/>
  <c r="D28" i="21" s="1"/>
  <c r="F9" i="20"/>
  <c r="F63" i="20" s="1"/>
  <c r="F47" i="21" s="1"/>
  <c r="E9" i="20"/>
  <c r="E36" i="20" s="1"/>
  <c r="E28" i="21" s="1"/>
  <c r="D9" i="21"/>
  <c r="G9" i="20"/>
  <c r="G36" i="20" s="1"/>
  <c r="G28" i="21" s="1"/>
  <c r="H9" i="20"/>
  <c r="H9" i="21" s="1"/>
  <c r="R12" i="15"/>
  <c r="R14" i="15"/>
  <c r="R8" i="15"/>
  <c r="O58" i="9"/>
  <c r="O60" i="9" s="1"/>
  <c r="E30" i="12"/>
  <c r="E32" i="12" s="1"/>
  <c r="N14" i="9"/>
  <c r="N16" i="9" s="1"/>
  <c r="C39" i="9"/>
  <c r="L28" i="15"/>
  <c r="N14" i="8"/>
  <c r="N16" i="8" s="1"/>
  <c r="N20" i="8"/>
  <c r="F50" i="29"/>
  <c r="R48" i="29"/>
  <c r="D61" i="16"/>
  <c r="R55" i="16"/>
  <c r="E51" i="28"/>
  <c r="R48" i="28"/>
  <c r="E83" i="9"/>
  <c r="O20" i="15"/>
  <c r="O9" i="15"/>
  <c r="O15" i="15" s="1"/>
  <c r="F42" i="16"/>
  <c r="F48" i="16" s="1"/>
  <c r="H61" i="15"/>
  <c r="R56" i="15"/>
  <c r="R41" i="12"/>
  <c r="R47" i="8"/>
  <c r="R61" i="9"/>
  <c r="B72" i="9"/>
  <c r="R63" i="9"/>
  <c r="R88" i="9"/>
  <c r="R65" i="9"/>
  <c r="R71" i="9"/>
  <c r="R55" i="9"/>
  <c r="R68" i="9"/>
  <c r="C72" i="9"/>
  <c r="I39" i="8"/>
  <c r="O62" i="15"/>
  <c r="K14" i="10"/>
  <c r="K16" i="10" s="1"/>
  <c r="B39" i="9"/>
  <c r="R38" i="9"/>
  <c r="R15" i="9"/>
  <c r="B28" i="9"/>
  <c r="R19" i="9"/>
  <c r="R43" i="9"/>
  <c r="R44" i="9"/>
  <c r="R22" i="9"/>
  <c r="F14" i="9"/>
  <c r="F16" i="9" s="1"/>
  <c r="F45" i="9"/>
  <c r="F39" i="9"/>
  <c r="Q28" i="15"/>
  <c r="E28" i="15"/>
  <c r="L14" i="8"/>
  <c r="L16" i="8" s="1"/>
  <c r="L21" i="8" s="1"/>
  <c r="R43" i="16"/>
  <c r="R46" i="16"/>
  <c r="R66" i="16"/>
  <c r="R58" i="16"/>
  <c r="N61" i="15"/>
  <c r="R33" i="12"/>
  <c r="C20" i="15"/>
  <c r="H27" i="29"/>
  <c r="O72" i="9"/>
  <c r="O89" i="9"/>
  <c r="O83" i="9"/>
  <c r="G58" i="9"/>
  <c r="G60" i="9" s="1"/>
  <c r="I89" i="9"/>
  <c r="L20" i="10"/>
  <c r="I20" i="15"/>
  <c r="F40" i="29"/>
  <c r="R38" i="29"/>
  <c r="D62" i="16"/>
  <c r="R21" i="9"/>
  <c r="J58" i="9"/>
  <c r="J60" i="9" s="1"/>
  <c r="E89" i="9"/>
  <c r="B14" i="10"/>
  <c r="B16" i="10" s="1"/>
  <c r="O45" i="9"/>
  <c r="H45" i="9"/>
  <c r="H29" i="15"/>
  <c r="F61" i="16"/>
  <c r="F53" i="16"/>
  <c r="R40" i="15"/>
  <c r="H42" i="15"/>
  <c r="H48" i="15" s="1"/>
  <c r="R50" i="15"/>
  <c r="H53" i="15"/>
  <c r="R108" i="15"/>
  <c r="R73" i="9"/>
  <c r="B83" i="9"/>
  <c r="R81" i="9"/>
  <c r="R67" i="9"/>
  <c r="R87" i="9"/>
  <c r="R64" i="9"/>
  <c r="R75" i="9"/>
  <c r="E14" i="10"/>
  <c r="E16" i="10" s="1"/>
  <c r="E45" i="9"/>
  <c r="I39" i="9"/>
  <c r="I45" i="9"/>
  <c r="F28" i="15"/>
  <c r="O53" i="15"/>
  <c r="R40" i="9"/>
  <c r="K58" i="9"/>
  <c r="K60" i="9" s="1"/>
  <c r="C30" i="12"/>
  <c r="C32" i="12" s="1"/>
  <c r="R20" i="9"/>
  <c r="R9" i="9"/>
  <c r="B14" i="9"/>
  <c r="B16" i="9" s="1"/>
  <c r="R32" i="9"/>
  <c r="F28" i="9"/>
  <c r="Q9" i="15"/>
  <c r="Q15" i="15" s="1"/>
  <c r="R44" i="16"/>
  <c r="R47" i="16"/>
  <c r="R52" i="16"/>
  <c r="R60" i="16"/>
  <c r="I58" i="9"/>
  <c r="I60" i="9" s="1"/>
  <c r="C28" i="9"/>
  <c r="G28" i="9"/>
  <c r="M14" i="9"/>
  <c r="I28" i="15"/>
  <c r="I29" i="15"/>
  <c r="R52" i="29"/>
  <c r="F57" i="29"/>
  <c r="R78" i="9"/>
  <c r="J89" i="9"/>
  <c r="E72" i="9"/>
  <c r="F58" i="9"/>
  <c r="F60" i="9" s="1"/>
  <c r="F83" i="9"/>
  <c r="O28" i="9"/>
  <c r="H28" i="15"/>
  <c r="H20" i="15"/>
  <c r="H39" i="8"/>
  <c r="R37" i="8"/>
  <c r="H62" i="15"/>
  <c r="R63" i="15"/>
  <c r="R97" i="9"/>
  <c r="R84" i="9"/>
  <c r="R57" i="9"/>
  <c r="R70" i="9"/>
  <c r="B89" i="9"/>
  <c r="R86" i="9"/>
  <c r="R56" i="9"/>
  <c r="R74" i="9"/>
  <c r="C89" i="9"/>
  <c r="N72" i="9"/>
  <c r="N58" i="9"/>
  <c r="N60" i="9" s="1"/>
  <c r="E20" i="10"/>
  <c r="P14" i="9"/>
  <c r="E28" i="9"/>
  <c r="I28" i="9"/>
  <c r="K9" i="15"/>
  <c r="K15" i="15" s="1"/>
  <c r="R31" i="8"/>
  <c r="L83" i="9"/>
  <c r="Q28" i="9"/>
  <c r="R23" i="9"/>
  <c r="R24" i="9"/>
  <c r="R26" i="9"/>
  <c r="R30" i="9"/>
  <c r="R11" i="9"/>
  <c r="R29" i="9"/>
  <c r="Q29" i="15"/>
  <c r="B42" i="16"/>
  <c r="B48" i="16" s="1"/>
  <c r="R40" i="16"/>
  <c r="B53" i="16"/>
  <c r="R50" i="16"/>
  <c r="B61" i="16"/>
  <c r="R56" i="16"/>
  <c r="R63" i="16"/>
  <c r="B62" i="16"/>
  <c r="N42" i="15"/>
  <c r="G72" i="9"/>
  <c r="I72" i="9"/>
  <c r="N28" i="9"/>
  <c r="M39" i="9"/>
  <c r="M28" i="9"/>
  <c r="F58" i="29"/>
  <c r="R59" i="29"/>
  <c r="D42" i="16"/>
  <c r="D48" i="16" s="1"/>
  <c r="O14" i="9"/>
  <c r="D28" i="9"/>
  <c r="H14" i="9"/>
  <c r="H28" i="9"/>
  <c r="H9" i="15"/>
  <c r="H15" i="15" s="1"/>
  <c r="O29" i="15"/>
  <c r="H33" i="8"/>
  <c r="H35" i="8" s="1"/>
  <c r="R38" i="8"/>
  <c r="F62" i="16"/>
  <c r="R44" i="10"/>
  <c r="R53" i="9"/>
  <c r="B58" i="9"/>
  <c r="R66" i="9"/>
  <c r="R51" i="9"/>
  <c r="R69" i="9"/>
  <c r="R76" i="9"/>
  <c r="N83" i="9"/>
  <c r="G30" i="12"/>
  <c r="P28" i="9"/>
  <c r="P45" i="9"/>
  <c r="F9" i="15"/>
  <c r="F15" i="15" s="1"/>
  <c r="I33" i="8"/>
  <c r="I35" i="8" s="1"/>
  <c r="K89" i="9"/>
  <c r="K83" i="9"/>
  <c r="H72" i="9"/>
  <c r="R12" i="9"/>
  <c r="R33" i="9"/>
  <c r="R25" i="9"/>
  <c r="R27" i="9"/>
  <c r="R31" i="9"/>
  <c r="R37" i="9"/>
  <c r="B45" i="9"/>
  <c r="R42" i="9"/>
  <c r="E20" i="15"/>
  <c r="R41" i="16"/>
  <c r="R45" i="16"/>
  <c r="R64" i="16"/>
  <c r="R57" i="16"/>
  <c r="R67" i="16"/>
  <c r="K25" i="19"/>
  <c r="B16" i="20" s="1"/>
  <c r="B97" i="20" s="1"/>
  <c r="R55" i="24"/>
  <c r="O14" i="8"/>
  <c r="O16" i="8" s="1"/>
  <c r="J20" i="8"/>
  <c r="B28" i="15"/>
  <c r="R23" i="15"/>
  <c r="R31" i="15"/>
  <c r="R13" i="15"/>
  <c r="L26" i="29"/>
  <c r="B19" i="29"/>
  <c r="R17" i="29"/>
  <c r="R24" i="29"/>
  <c r="B9" i="29"/>
  <c r="B15" i="29" s="1"/>
  <c r="R7" i="29"/>
  <c r="R31" i="29"/>
  <c r="R10" i="29"/>
  <c r="M28" i="15"/>
  <c r="M19" i="29"/>
  <c r="D28" i="15"/>
  <c r="D20" i="15"/>
  <c r="K27" i="29"/>
  <c r="O20" i="8"/>
  <c r="C9" i="15"/>
  <c r="C15" i="15" s="1"/>
  <c r="J27" i="29"/>
  <c r="H19" i="29"/>
  <c r="R10" i="15"/>
  <c r="R24" i="15"/>
  <c r="R11" i="15"/>
  <c r="B9" i="15"/>
  <c r="R7" i="15"/>
  <c r="R33" i="15"/>
  <c r="L19" i="29"/>
  <c r="R18" i="29"/>
  <c r="R25" i="29"/>
  <c r="R32" i="29"/>
  <c r="R11" i="29"/>
  <c r="Q27" i="29"/>
  <c r="M26" i="29"/>
  <c r="I20" i="8"/>
  <c r="D9" i="15"/>
  <c r="D15" i="15" s="1"/>
  <c r="K19" i="29"/>
  <c r="K26" i="29"/>
  <c r="J19" i="29"/>
  <c r="J26" i="29"/>
  <c r="R27" i="15"/>
  <c r="R30" i="15"/>
  <c r="B29" i="15"/>
  <c r="R34" i="15"/>
  <c r="R17" i="15"/>
  <c r="B20" i="15"/>
  <c r="R13" i="29"/>
  <c r="R22" i="29"/>
  <c r="B26" i="29"/>
  <c r="B27" i="29"/>
  <c r="R28" i="29"/>
  <c r="R12" i="29"/>
  <c r="Q9" i="29"/>
  <c r="Q15" i="29" s="1"/>
  <c r="M9" i="29"/>
  <c r="I14" i="8"/>
  <c r="K9" i="29"/>
  <c r="K15" i="29" s="1"/>
  <c r="C28" i="15"/>
  <c r="H26" i="29"/>
  <c r="R21" i="29"/>
  <c r="J14" i="8"/>
  <c r="J16" i="8" s="1"/>
  <c r="R25" i="15"/>
  <c r="R14" i="29"/>
  <c r="R23" i="29"/>
  <c r="R29" i="29"/>
  <c r="R8" i="29"/>
  <c r="Q26" i="29"/>
  <c r="B40" i="21"/>
  <c r="K40" i="21" s="1"/>
  <c r="K105" i="20"/>
  <c r="R9" i="12"/>
  <c r="R31" i="12"/>
  <c r="R26" i="12"/>
  <c r="J30" i="12"/>
  <c r="J32" i="12" s="1"/>
  <c r="J34" i="12" s="1"/>
  <c r="H30" i="12"/>
  <c r="H32" i="12" s="1"/>
  <c r="L30" i="12"/>
  <c r="R29" i="12"/>
  <c r="D30" i="12"/>
  <c r="D32" i="12" s="1"/>
  <c r="D34" i="12" s="1"/>
  <c r="R25" i="12"/>
  <c r="F30" i="12"/>
  <c r="F32" i="12" s="1"/>
  <c r="R28" i="12"/>
  <c r="R23" i="12"/>
  <c r="R13" i="10"/>
  <c r="R121" i="24"/>
  <c r="G22" i="20"/>
  <c r="G49" i="20" s="1"/>
  <c r="B19" i="21"/>
  <c r="E22" i="20"/>
  <c r="E76" i="20" s="1"/>
  <c r="E57" i="21" s="1"/>
  <c r="B76" i="20"/>
  <c r="B57" i="21" s="1"/>
  <c r="I22" i="20"/>
  <c r="I76" i="20" s="1"/>
  <c r="I57" i="21" s="1"/>
  <c r="D22" i="20"/>
  <c r="D49" i="20" s="1"/>
  <c r="D38" i="21" s="1"/>
  <c r="J22" i="20"/>
  <c r="J76" i="20" s="1"/>
  <c r="B49" i="20"/>
  <c r="B38" i="21" s="1"/>
  <c r="F22" i="20"/>
  <c r="F103" i="20" s="1"/>
  <c r="F76" i="21" s="1"/>
  <c r="D13" i="3"/>
  <c r="D15" i="3" s="1"/>
  <c r="D45" i="3" s="1"/>
  <c r="R10" i="12"/>
  <c r="M38" i="12"/>
  <c r="M44" i="8"/>
  <c r="M94" i="9"/>
  <c r="Q94" i="9"/>
  <c r="Q44" i="8"/>
  <c r="Q38" i="12"/>
  <c r="G38" i="12"/>
  <c r="G44" i="8"/>
  <c r="G94" i="9"/>
  <c r="B44" i="8"/>
  <c r="B38" i="12"/>
  <c r="R7" i="6"/>
  <c r="B94" i="9"/>
  <c r="R33" i="10"/>
  <c r="R88" i="24"/>
  <c r="Q16" i="12"/>
  <c r="Q18" i="12" s="1"/>
  <c r="P44" i="8"/>
  <c r="P94" i="9"/>
  <c r="P38" i="12"/>
  <c r="O94" i="9"/>
  <c r="O44" i="8"/>
  <c r="O38" i="12"/>
  <c r="C38" i="12"/>
  <c r="C94" i="9"/>
  <c r="C44" i="8"/>
  <c r="I44" i="8"/>
  <c r="I94" i="9"/>
  <c r="I38" i="12"/>
  <c r="R20" i="7"/>
  <c r="G21" i="7"/>
  <c r="H54" i="9"/>
  <c r="R13" i="12"/>
  <c r="R11" i="12"/>
  <c r="D14" i="12"/>
  <c r="D16" i="12" s="1"/>
  <c r="R15" i="12"/>
  <c r="R7" i="9"/>
  <c r="F38" i="12"/>
  <c r="F94" i="9"/>
  <c r="F44" i="8"/>
  <c r="L38" i="12"/>
  <c r="L94" i="9"/>
  <c r="L44" i="8"/>
  <c r="N38" i="12"/>
  <c r="N44" i="8"/>
  <c r="N94" i="9"/>
  <c r="R10" i="10"/>
  <c r="R13" i="8"/>
  <c r="R11" i="8"/>
  <c r="R12" i="12"/>
  <c r="Q14" i="9"/>
  <c r="Q16" i="9" s="1"/>
  <c r="R13" i="9"/>
  <c r="H94" i="9"/>
  <c r="H38" i="12"/>
  <c r="H44" i="8"/>
  <c r="K38" i="12"/>
  <c r="K94" i="9"/>
  <c r="K44" i="8"/>
  <c r="J94" i="9"/>
  <c r="J38" i="12"/>
  <c r="J44" i="8"/>
  <c r="B35" i="10"/>
  <c r="B40" i="10" s="1"/>
  <c r="R17" i="12"/>
  <c r="M20" i="10"/>
  <c r="E20" i="8"/>
  <c r="R82" i="9"/>
  <c r="J83" i="9"/>
  <c r="D20" i="10"/>
  <c r="H22" i="20"/>
  <c r="H19" i="21" s="1"/>
  <c r="C22" i="20"/>
  <c r="C49" i="20" s="1"/>
  <c r="C38" i="21" s="1"/>
  <c r="R7" i="10"/>
  <c r="R19" i="10"/>
  <c r="Q14" i="10"/>
  <c r="Q16" i="10" s="1"/>
  <c r="C14" i="8"/>
  <c r="C16" i="8" s="1"/>
  <c r="C20" i="8"/>
  <c r="I14" i="10"/>
  <c r="I16" i="10" s="1"/>
  <c r="R7" i="8"/>
  <c r="R12" i="8"/>
  <c r="O14" i="10"/>
  <c r="O16" i="10" s="1"/>
  <c r="O21" i="10" s="1"/>
  <c r="L14" i="12"/>
  <c r="L16" i="12" s="1"/>
  <c r="L18" i="12" s="1"/>
  <c r="P14" i="10"/>
  <c r="P16" i="10" s="1"/>
  <c r="P20" i="10"/>
  <c r="N14" i="10"/>
  <c r="N16" i="10" s="1"/>
  <c r="N14" i="12"/>
  <c r="N16" i="12" s="1"/>
  <c r="N18" i="12" s="1"/>
  <c r="F14" i="12"/>
  <c r="F16" i="12" s="1"/>
  <c r="F18" i="12" s="1"/>
  <c r="C20" i="10"/>
  <c r="R18" i="10"/>
  <c r="R12" i="10"/>
  <c r="R11" i="10"/>
  <c r="Q20" i="10"/>
  <c r="R22" i="24"/>
  <c r="R9" i="8"/>
  <c r="B14" i="8"/>
  <c r="R10" i="8"/>
  <c r="R15" i="8"/>
  <c r="E14" i="8"/>
  <c r="E16" i="8" s="1"/>
  <c r="E19" i="7"/>
  <c r="E21" i="7" s="1"/>
  <c r="O18" i="12"/>
  <c r="H20" i="10"/>
  <c r="D19" i="7"/>
  <c r="D14" i="8"/>
  <c r="R9" i="10"/>
  <c r="C14" i="10"/>
  <c r="C16" i="10" s="1"/>
  <c r="R15" i="10"/>
  <c r="P14" i="12"/>
  <c r="H14" i="12"/>
  <c r="H16" i="12" s="1"/>
  <c r="I20" i="10"/>
  <c r="N20" i="10"/>
  <c r="B20" i="8"/>
  <c r="R18" i="8"/>
  <c r="R19" i="8"/>
  <c r="M14" i="10"/>
  <c r="D14" i="10"/>
  <c r="D16" i="10" s="1"/>
  <c r="R7" i="12"/>
  <c r="H14" i="10"/>
  <c r="H16" i="10" s="1"/>
  <c r="J14" i="12"/>
  <c r="J16" i="12" s="1"/>
  <c r="K21" i="21"/>
  <c r="C78" i="21"/>
  <c r="K78" i="21" s="1"/>
  <c r="K78" i="20"/>
  <c r="H8" i="21"/>
  <c r="K59" i="21"/>
  <c r="K61" i="29"/>
  <c r="K64" i="29" s="1"/>
  <c r="C60" i="20"/>
  <c r="C33" i="20"/>
  <c r="P64" i="29"/>
  <c r="G98" i="15"/>
  <c r="Q65" i="15"/>
  <c r="Q68" i="15" s="1"/>
  <c r="M101" i="15"/>
  <c r="P30" i="29"/>
  <c r="P33" i="29" s="1"/>
  <c r="I65" i="16"/>
  <c r="I68" i="16" s="1"/>
  <c r="H98" i="15"/>
  <c r="H101" i="15" s="1"/>
  <c r="H68" i="16"/>
  <c r="O98" i="15"/>
  <c r="O101" i="15" s="1"/>
  <c r="K68" i="16"/>
  <c r="L65" i="16"/>
  <c r="L68" i="16" s="1"/>
  <c r="H61" i="29"/>
  <c r="H64" i="29" s="1"/>
  <c r="N65" i="16"/>
  <c r="N68" i="16" s="1"/>
  <c r="Q65" i="16"/>
  <c r="Q68" i="16" s="1"/>
  <c r="L101" i="15"/>
  <c r="H23" i="20"/>
  <c r="H77" i="20" s="1"/>
  <c r="H58" i="21" s="1"/>
  <c r="E7" i="20"/>
  <c r="E88" i="20" s="1"/>
  <c r="G50" i="20"/>
  <c r="B23" i="20"/>
  <c r="B104" i="20" s="1"/>
  <c r="B77" i="21" s="1"/>
  <c r="G104" i="20"/>
  <c r="D23" i="20"/>
  <c r="D50" i="20" s="1"/>
  <c r="D39" i="21" s="1"/>
  <c r="E23" i="20"/>
  <c r="E50" i="20" s="1"/>
  <c r="E39" i="21" s="1"/>
  <c r="G7" i="20"/>
  <c r="J8" i="21"/>
  <c r="J89" i="20"/>
  <c r="G58" i="21"/>
  <c r="J23" i="20"/>
  <c r="I23" i="20"/>
  <c r="I50" i="20" s="1"/>
  <c r="F23" i="20"/>
  <c r="F104" i="20" s="1"/>
  <c r="F77" i="21" s="1"/>
  <c r="C23" i="20"/>
  <c r="C104" i="20" s="1"/>
  <c r="C77" i="21" s="1"/>
  <c r="F7" i="20"/>
  <c r="F34" i="20" s="1"/>
  <c r="I35" i="20"/>
  <c r="D39" i="20"/>
  <c r="I62" i="20"/>
  <c r="B7" i="20"/>
  <c r="D7" i="20"/>
  <c r="D34" i="20" s="1"/>
  <c r="J7" i="20"/>
  <c r="J88" i="20" s="1"/>
  <c r="H7" i="20"/>
  <c r="C7" i="20"/>
  <c r="I7" i="20"/>
  <c r="I61" i="20" s="1"/>
  <c r="J62" i="20"/>
  <c r="J46" i="21" s="1"/>
  <c r="C35" i="20"/>
  <c r="C27" i="21" s="1"/>
  <c r="I89" i="20"/>
  <c r="I65" i="21" s="1"/>
  <c r="C89" i="20"/>
  <c r="C65" i="21" s="1"/>
  <c r="C62" i="20"/>
  <c r="C46" i="21" s="1"/>
  <c r="B8" i="21"/>
  <c r="B35" i="20"/>
  <c r="B27" i="21" s="1"/>
  <c r="H62" i="20"/>
  <c r="H35" i="20"/>
  <c r="H27" i="21" s="1"/>
  <c r="F35" i="20"/>
  <c r="F27" i="21" s="1"/>
  <c r="F66" i="20"/>
  <c r="D93" i="20"/>
  <c r="H89" i="20"/>
  <c r="D65" i="20"/>
  <c r="D38" i="20"/>
  <c r="D92" i="20"/>
  <c r="E38" i="20"/>
  <c r="E90" i="20"/>
  <c r="E66" i="21" s="1"/>
  <c r="H37" i="20"/>
  <c r="H91" i="20"/>
  <c r="D87" i="20"/>
  <c r="J87" i="20"/>
  <c r="B65" i="21"/>
  <c r="B60" i="20"/>
  <c r="B33" i="20"/>
  <c r="B87" i="20"/>
  <c r="B76" i="21"/>
  <c r="J38" i="20"/>
  <c r="H38" i="20"/>
  <c r="H92" i="20"/>
  <c r="H65" i="20"/>
  <c r="L21" i="16" l="1"/>
  <c r="J21" i="16"/>
  <c r="H21" i="8"/>
  <c r="K21" i="8"/>
  <c r="N21" i="16"/>
  <c r="N32" i="16" s="1"/>
  <c r="N35" i="16" s="1"/>
  <c r="C21" i="16"/>
  <c r="C32" i="16" s="1"/>
  <c r="C35" i="16" s="1"/>
  <c r="R9" i="16"/>
  <c r="R15" i="16" s="1"/>
  <c r="H21" i="16"/>
  <c r="H32" i="16" s="1"/>
  <c r="H35" i="16" s="1"/>
  <c r="F54" i="15"/>
  <c r="F65" i="15" s="1"/>
  <c r="F68" i="15" s="1"/>
  <c r="D65" i="15"/>
  <c r="D68" i="15" s="1"/>
  <c r="L32" i="16"/>
  <c r="L35" i="16" s="1"/>
  <c r="C54" i="15"/>
  <c r="C65" i="15" s="1"/>
  <c r="C68" i="15" s="1"/>
  <c r="L54" i="15"/>
  <c r="L65" i="15" s="1"/>
  <c r="L68" i="15" s="1"/>
  <c r="G21" i="15"/>
  <c r="G32" i="15" s="1"/>
  <c r="G35" i="15" s="1"/>
  <c r="G54" i="15"/>
  <c r="G65" i="15" s="1"/>
  <c r="G68" i="15" s="1"/>
  <c r="R20" i="16"/>
  <c r="G21" i="16"/>
  <c r="G32" i="16" s="1"/>
  <c r="G35" i="16" s="1"/>
  <c r="D21" i="16"/>
  <c r="D32" i="16" s="1"/>
  <c r="D35" i="16" s="1"/>
  <c r="J32" i="16"/>
  <c r="J35" i="16" s="1"/>
  <c r="P32" i="16"/>
  <c r="P35" i="16" s="1"/>
  <c r="B87" i="15"/>
  <c r="B98" i="15" s="1"/>
  <c r="B101" i="15" s="1"/>
  <c r="J46" i="9"/>
  <c r="D90" i="9"/>
  <c r="L46" i="9"/>
  <c r="B21" i="16"/>
  <c r="B32" i="16" s="1"/>
  <c r="B35" i="16" s="1"/>
  <c r="F15" i="16"/>
  <c r="R29" i="16"/>
  <c r="M21" i="16"/>
  <c r="M32" i="16" s="1"/>
  <c r="M35" i="16" s="1"/>
  <c r="E21" i="16"/>
  <c r="E32" i="16" s="1"/>
  <c r="C54" i="16"/>
  <c r="C65" i="16" s="1"/>
  <c r="C68" i="16" s="1"/>
  <c r="O21" i="16"/>
  <c r="O32" i="16" s="1"/>
  <c r="K15" i="16"/>
  <c r="K21" i="16" s="1"/>
  <c r="I15" i="16"/>
  <c r="I21" i="16" s="1"/>
  <c r="I32" i="16" s="1"/>
  <c r="I35" i="16" s="1"/>
  <c r="R28" i="16"/>
  <c r="R86" i="15"/>
  <c r="R75" i="15"/>
  <c r="R81" i="15" s="1"/>
  <c r="K54" i="15"/>
  <c r="K65" i="15" s="1"/>
  <c r="K68" i="15" s="1"/>
  <c r="R58" i="29"/>
  <c r="E87" i="15"/>
  <c r="E98" i="15" s="1"/>
  <c r="E101" i="15" s="1"/>
  <c r="N15" i="15"/>
  <c r="N21" i="15" s="1"/>
  <c r="N32" i="15" s="1"/>
  <c r="N35" i="15" s="1"/>
  <c r="P35" i="15"/>
  <c r="J15" i="15"/>
  <c r="J21" i="15" s="1"/>
  <c r="P54" i="15"/>
  <c r="P65" i="15" s="1"/>
  <c r="R95" i="15"/>
  <c r="C81" i="15"/>
  <c r="I54" i="15"/>
  <c r="I65" i="15" s="1"/>
  <c r="I68" i="15" s="1"/>
  <c r="R94" i="15"/>
  <c r="M48" i="15"/>
  <c r="M54" i="15" s="1"/>
  <c r="M65" i="15" s="1"/>
  <c r="M68" i="15" s="1"/>
  <c r="J54" i="15"/>
  <c r="R39" i="9"/>
  <c r="R50" i="29"/>
  <c r="S97" i="15"/>
  <c r="S77" i="15"/>
  <c r="S99" i="15"/>
  <c r="R53" i="15"/>
  <c r="R57" i="29"/>
  <c r="I20" i="29"/>
  <c r="I30" i="29" s="1"/>
  <c r="I33" i="29" s="1"/>
  <c r="R40" i="29"/>
  <c r="R46" i="29" s="1"/>
  <c r="S85" i="15"/>
  <c r="S93" i="15"/>
  <c r="G39" i="20"/>
  <c r="G93" i="20"/>
  <c r="E66" i="20"/>
  <c r="J93" i="20"/>
  <c r="E93" i="20"/>
  <c r="B66" i="20"/>
  <c r="J39" i="20"/>
  <c r="B39" i="20"/>
  <c r="E64" i="20"/>
  <c r="F91" i="20"/>
  <c r="F64" i="20"/>
  <c r="B64" i="20"/>
  <c r="B91" i="20"/>
  <c r="C65" i="20"/>
  <c r="G92" i="20"/>
  <c r="F92" i="20"/>
  <c r="C92" i="20"/>
  <c r="E91" i="20"/>
  <c r="D35" i="20"/>
  <c r="D27" i="21" s="1"/>
  <c r="D33" i="20"/>
  <c r="B62" i="20"/>
  <c r="B46" i="21" s="1"/>
  <c r="J90" i="20"/>
  <c r="J66" i="21" s="1"/>
  <c r="D62" i="20"/>
  <c r="D46" i="21" s="1"/>
  <c r="H40" i="8"/>
  <c r="L21" i="10"/>
  <c r="E34" i="12"/>
  <c r="K21" i="10"/>
  <c r="E65" i="20"/>
  <c r="F62" i="20"/>
  <c r="F46" i="21" s="1"/>
  <c r="F8" i="21"/>
  <c r="J65" i="20"/>
  <c r="G65" i="20"/>
  <c r="F39" i="20"/>
  <c r="D8" i="21"/>
  <c r="D20" i="29"/>
  <c r="D30" i="29" s="1"/>
  <c r="D33" i="29" s="1"/>
  <c r="N20" i="29"/>
  <c r="N30" i="29" s="1"/>
  <c r="N33" i="29" s="1"/>
  <c r="E20" i="29"/>
  <c r="E30" i="29" s="1"/>
  <c r="E33" i="29" s="1"/>
  <c r="C15" i="29"/>
  <c r="C20" i="29" s="1"/>
  <c r="C30" i="29" s="1"/>
  <c r="C33" i="29" s="1"/>
  <c r="G15" i="29"/>
  <c r="G20" i="29" s="1"/>
  <c r="G30" i="29" s="1"/>
  <c r="G33" i="29" s="1"/>
  <c r="B46" i="29"/>
  <c r="B51" i="29" s="1"/>
  <c r="B61" i="29" s="1"/>
  <c r="B64" i="29" s="1"/>
  <c r="R14" i="9"/>
  <c r="R16" i="9" s="1"/>
  <c r="R33" i="8"/>
  <c r="R35" i="8" s="1"/>
  <c r="I46" i="9"/>
  <c r="J20" i="29"/>
  <c r="J30" i="29" s="1"/>
  <c r="J33" i="29" s="1"/>
  <c r="S76" i="15"/>
  <c r="S91" i="15"/>
  <c r="J60" i="20"/>
  <c r="F65" i="20"/>
  <c r="I66" i="20"/>
  <c r="I9" i="21"/>
  <c r="I92" i="20"/>
  <c r="J63" i="20"/>
  <c r="I63" i="20"/>
  <c r="I47" i="21" s="1"/>
  <c r="E9" i="21"/>
  <c r="I93" i="20"/>
  <c r="D46" i="9"/>
  <c r="S100" i="15"/>
  <c r="R62" i="15"/>
  <c r="I21" i="15"/>
  <c r="I32" i="15" s="1"/>
  <c r="I35" i="15" s="1"/>
  <c r="S74" i="15"/>
  <c r="B42" i="20"/>
  <c r="G89" i="20"/>
  <c r="G65" i="21" s="1"/>
  <c r="G8" i="21"/>
  <c r="B96" i="20"/>
  <c r="D64" i="20"/>
  <c r="B94" i="20"/>
  <c r="G15" i="20"/>
  <c r="G42" i="20" s="1"/>
  <c r="J15" i="20"/>
  <c r="J42" i="20" s="1"/>
  <c r="I15" i="20"/>
  <c r="I69" i="20" s="1"/>
  <c r="C13" i="20"/>
  <c r="C67" i="20" s="1"/>
  <c r="I13" i="20"/>
  <c r="I40" i="20" s="1"/>
  <c r="D15" i="20"/>
  <c r="D69" i="20" s="1"/>
  <c r="F15" i="20"/>
  <c r="F96" i="20" s="1"/>
  <c r="D13" i="20"/>
  <c r="D94" i="20" s="1"/>
  <c r="H15" i="20"/>
  <c r="H96" i="20" s="1"/>
  <c r="F13" i="20"/>
  <c r="F67" i="20" s="1"/>
  <c r="H13" i="20"/>
  <c r="H94" i="20" s="1"/>
  <c r="C15" i="20"/>
  <c r="C42" i="20" s="1"/>
  <c r="E15" i="20"/>
  <c r="E42" i="20" s="1"/>
  <c r="E13" i="20"/>
  <c r="E67" i="20" s="1"/>
  <c r="G13" i="20"/>
  <c r="G40" i="20" s="1"/>
  <c r="J13" i="20"/>
  <c r="J94" i="20" s="1"/>
  <c r="C21" i="15"/>
  <c r="C32" i="15" s="1"/>
  <c r="C35" i="15" s="1"/>
  <c r="D54" i="16"/>
  <c r="D65" i="16" s="1"/>
  <c r="D68" i="16" s="1"/>
  <c r="S80" i="15"/>
  <c r="B20" i="20"/>
  <c r="B74" i="20" s="1"/>
  <c r="B17" i="20"/>
  <c r="B13" i="21" s="1"/>
  <c r="B19" i="20"/>
  <c r="B73" i="20" s="1"/>
  <c r="B46" i="9"/>
  <c r="G21" i="10"/>
  <c r="J21" i="8"/>
  <c r="O21" i="8"/>
  <c r="B21" i="10"/>
  <c r="R20" i="10"/>
  <c r="P21" i="10"/>
  <c r="N21" i="8"/>
  <c r="E90" i="9"/>
  <c r="R14" i="10"/>
  <c r="R16" i="10" s="1"/>
  <c r="H21" i="15"/>
  <c r="H32" i="15" s="1"/>
  <c r="H35" i="15" s="1"/>
  <c r="K21" i="15"/>
  <c r="K32" i="15" s="1"/>
  <c r="S79" i="15"/>
  <c r="S90" i="15"/>
  <c r="O54" i="15"/>
  <c r="O65" i="15" s="1"/>
  <c r="O68" i="15" s="1"/>
  <c r="S78" i="15"/>
  <c r="R42" i="15"/>
  <c r="R61" i="15"/>
  <c r="M21" i="15"/>
  <c r="M32" i="15" s="1"/>
  <c r="M35" i="15" s="1"/>
  <c r="B54" i="16"/>
  <c r="B65" i="16" s="1"/>
  <c r="B68" i="16" s="1"/>
  <c r="E21" i="15"/>
  <c r="E32" i="15" s="1"/>
  <c r="E35" i="15" s="1"/>
  <c r="K20" i="29"/>
  <c r="K30" i="29" s="1"/>
  <c r="K33" i="29" s="1"/>
  <c r="R53" i="16"/>
  <c r="H20" i="29"/>
  <c r="H30" i="29" s="1"/>
  <c r="H33" i="29" s="1"/>
  <c r="E46" i="9"/>
  <c r="R45" i="9"/>
  <c r="J90" i="9"/>
  <c r="C90" i="9"/>
  <c r="R89" i="9"/>
  <c r="C46" i="9"/>
  <c r="G46" i="9"/>
  <c r="H39" i="20"/>
  <c r="K39" i="20" s="1"/>
  <c r="I65" i="20"/>
  <c r="K11" i="20"/>
  <c r="H93" i="20"/>
  <c r="K12" i="20"/>
  <c r="K8" i="20"/>
  <c r="G62" i="20"/>
  <c r="G46" i="21" s="1"/>
  <c r="I91" i="20"/>
  <c r="K91" i="20" s="1"/>
  <c r="I64" i="20"/>
  <c r="B9" i="21"/>
  <c r="I87" i="20"/>
  <c r="I90" i="20"/>
  <c r="I66" i="21" s="1"/>
  <c r="J37" i="20"/>
  <c r="E63" i="20"/>
  <c r="E47" i="21" s="1"/>
  <c r="D37" i="20"/>
  <c r="B21" i="20"/>
  <c r="B75" i="20" s="1"/>
  <c r="B90" i="20"/>
  <c r="B66" i="21" s="1"/>
  <c r="J64" i="20"/>
  <c r="E87" i="20"/>
  <c r="J9" i="21"/>
  <c r="I60" i="20"/>
  <c r="G64" i="20"/>
  <c r="F18" i="20"/>
  <c r="G37" i="20"/>
  <c r="K10" i="20"/>
  <c r="B68" i="20"/>
  <c r="G14" i="20"/>
  <c r="G41" i="20" s="1"/>
  <c r="F33" i="20"/>
  <c r="E14" i="20"/>
  <c r="E68" i="20" s="1"/>
  <c r="G33" i="20"/>
  <c r="G9" i="21"/>
  <c r="D14" i="20"/>
  <c r="D68" i="20" s="1"/>
  <c r="B63" i="20"/>
  <c r="B47" i="21" s="1"/>
  <c r="G60" i="20"/>
  <c r="F60" i="20"/>
  <c r="E33" i="20"/>
  <c r="H14" i="20"/>
  <c r="H68" i="20" s="1"/>
  <c r="K6" i="20"/>
  <c r="G90" i="20"/>
  <c r="G66" i="21" s="1"/>
  <c r="H60" i="20"/>
  <c r="H33" i="20"/>
  <c r="H87" i="20"/>
  <c r="C14" i="20"/>
  <c r="C41" i="20" s="1"/>
  <c r="J14" i="20"/>
  <c r="J41" i="20" s="1"/>
  <c r="B95" i="20"/>
  <c r="G63" i="20"/>
  <c r="G47" i="21" s="1"/>
  <c r="F14" i="20"/>
  <c r="F41" i="20" s="1"/>
  <c r="I14" i="20"/>
  <c r="I68" i="20" s="1"/>
  <c r="G16" i="20"/>
  <c r="G70" i="20" s="1"/>
  <c r="C36" i="20"/>
  <c r="C28" i="21" s="1"/>
  <c r="F36" i="20"/>
  <c r="F28" i="21" s="1"/>
  <c r="F16" i="20"/>
  <c r="F43" i="20" s="1"/>
  <c r="F37" i="21" s="1"/>
  <c r="C63" i="20"/>
  <c r="C47" i="21" s="1"/>
  <c r="H63" i="20"/>
  <c r="H47" i="21" s="1"/>
  <c r="I16" i="20"/>
  <c r="I18" i="21" s="1"/>
  <c r="H90" i="20"/>
  <c r="H66" i="21" s="1"/>
  <c r="D16" i="20"/>
  <c r="D97" i="20" s="1"/>
  <c r="D75" i="21" s="1"/>
  <c r="E16" i="20"/>
  <c r="E70" i="20" s="1"/>
  <c r="E56" i="21" s="1"/>
  <c r="C9" i="21"/>
  <c r="K9" i="20"/>
  <c r="F90" i="20"/>
  <c r="F66" i="21" s="1"/>
  <c r="C16" i="20"/>
  <c r="C97" i="20" s="1"/>
  <c r="C75" i="21" s="1"/>
  <c r="H36" i="20"/>
  <c r="H28" i="21" s="1"/>
  <c r="B70" i="20"/>
  <c r="B56" i="21" s="1"/>
  <c r="F9" i="21"/>
  <c r="J16" i="20"/>
  <c r="J18" i="21" s="1"/>
  <c r="H16" i="20"/>
  <c r="H97" i="20" s="1"/>
  <c r="H75" i="21" s="1"/>
  <c r="B43" i="20"/>
  <c r="B37" i="21" s="1"/>
  <c r="R20" i="8"/>
  <c r="B60" i="9"/>
  <c r="B90" i="9" s="1"/>
  <c r="G32" i="12"/>
  <c r="G34" i="12" s="1"/>
  <c r="I90" i="9"/>
  <c r="L90" i="9"/>
  <c r="E21" i="10"/>
  <c r="F90" i="9"/>
  <c r="E37" i="6"/>
  <c r="R51" i="28"/>
  <c r="H34" i="12"/>
  <c r="F34" i="12"/>
  <c r="R9" i="29"/>
  <c r="R15" i="29" s="1"/>
  <c r="H16" i="9"/>
  <c r="H46" i="9" s="1"/>
  <c r="L21" i="15"/>
  <c r="L32" i="15" s="1"/>
  <c r="L35" i="15" s="1"/>
  <c r="M16" i="9"/>
  <c r="M46" i="9" s="1"/>
  <c r="C34" i="12"/>
  <c r="O90" i="9"/>
  <c r="R72" i="9"/>
  <c r="F54" i="16"/>
  <c r="F65" i="16" s="1"/>
  <c r="R61" i="16"/>
  <c r="N46" i="9"/>
  <c r="G90" i="9"/>
  <c r="R62" i="16"/>
  <c r="P16" i="9"/>
  <c r="P46" i="9" s="1"/>
  <c r="Q21" i="15"/>
  <c r="Q32" i="15" s="1"/>
  <c r="Q35" i="15" s="1"/>
  <c r="F46" i="29"/>
  <c r="F51" i="29" s="1"/>
  <c r="F61" i="29" s="1"/>
  <c r="F64" i="29" s="1"/>
  <c r="F21" i="15"/>
  <c r="F32" i="15" s="1"/>
  <c r="F35" i="15" s="1"/>
  <c r="O16" i="9"/>
  <c r="O46" i="9" s="1"/>
  <c r="N48" i="15"/>
  <c r="R42" i="16"/>
  <c r="N90" i="9"/>
  <c r="R39" i="8"/>
  <c r="K90" i="9"/>
  <c r="I40" i="8"/>
  <c r="H54" i="15"/>
  <c r="H65" i="15" s="1"/>
  <c r="H68" i="15" s="1"/>
  <c r="F46" i="9"/>
  <c r="R28" i="9"/>
  <c r="O21" i="15"/>
  <c r="O32" i="15" s="1"/>
  <c r="O35" i="15" s="1"/>
  <c r="B18" i="21"/>
  <c r="H103" i="20"/>
  <c r="H76" i="21" s="1"/>
  <c r="H49" i="20"/>
  <c r="H38" i="21" s="1"/>
  <c r="J19" i="21"/>
  <c r="E49" i="20"/>
  <c r="E38" i="21" s="1"/>
  <c r="R26" i="29"/>
  <c r="Q20" i="29"/>
  <c r="Q30" i="29" s="1"/>
  <c r="Q33" i="29" s="1"/>
  <c r="L20" i="29"/>
  <c r="L30" i="29" s="1"/>
  <c r="L33" i="29" s="1"/>
  <c r="D21" i="15"/>
  <c r="D32" i="15" s="1"/>
  <c r="D35" i="15" s="1"/>
  <c r="R9" i="15"/>
  <c r="S73" i="15"/>
  <c r="R19" i="29"/>
  <c r="R29" i="15"/>
  <c r="S96" i="15"/>
  <c r="B15" i="15"/>
  <c r="B21" i="15" s="1"/>
  <c r="C21" i="8"/>
  <c r="I16" i="8"/>
  <c r="I21" i="8" s="1"/>
  <c r="S83" i="15"/>
  <c r="R20" i="15"/>
  <c r="B20" i="29"/>
  <c r="B30" i="29" s="1"/>
  <c r="B33" i="29" s="1"/>
  <c r="R28" i="15"/>
  <c r="S89" i="15"/>
  <c r="M15" i="29"/>
  <c r="M20" i="29" s="1"/>
  <c r="R27" i="29"/>
  <c r="R30" i="12"/>
  <c r="R32" i="12" s="1"/>
  <c r="F19" i="21"/>
  <c r="L32" i="12"/>
  <c r="L34" i="12" s="1"/>
  <c r="D18" i="12"/>
  <c r="I49" i="20"/>
  <c r="I38" i="21" s="1"/>
  <c r="G103" i="20"/>
  <c r="G76" i="21" s="1"/>
  <c r="I19" i="21"/>
  <c r="G76" i="20"/>
  <c r="G57" i="21" s="1"/>
  <c r="I103" i="20"/>
  <c r="I76" i="21" s="1"/>
  <c r="G19" i="21"/>
  <c r="R14" i="12"/>
  <c r="R16" i="12" s="1"/>
  <c r="J103" i="20"/>
  <c r="J76" i="21" s="1"/>
  <c r="E19" i="21"/>
  <c r="J49" i="20"/>
  <c r="J38" i="21" s="1"/>
  <c r="E103" i="20"/>
  <c r="E76" i="21" s="1"/>
  <c r="H76" i="20"/>
  <c r="H57" i="21" s="1"/>
  <c r="K22" i="20"/>
  <c r="C19" i="21"/>
  <c r="F76" i="20"/>
  <c r="F57" i="21" s="1"/>
  <c r="D76" i="20"/>
  <c r="D57" i="21" s="1"/>
  <c r="F49" i="20"/>
  <c r="F38" i="21" s="1"/>
  <c r="D19" i="21"/>
  <c r="D103" i="20"/>
  <c r="D76" i="21" s="1"/>
  <c r="B289" i="9"/>
  <c r="P16" i="12"/>
  <c r="P18" i="12" s="1"/>
  <c r="Q21" i="10"/>
  <c r="B61" i="8" a="1"/>
  <c r="R44" i="8"/>
  <c r="B65" i="8" a="1"/>
  <c r="B60" i="8" a="1"/>
  <c r="B63" i="8" a="1"/>
  <c r="B69" i="8" a="1"/>
  <c r="B59" i="8" a="1"/>
  <c r="B62" i="8" a="1"/>
  <c r="B68" i="8" a="1"/>
  <c r="B57" i="8" a="1"/>
  <c r="R35" i="10"/>
  <c r="R40" i="10" s="1"/>
  <c r="B87" i="10" s="1"/>
  <c r="R94" i="9"/>
  <c r="R14" i="8"/>
  <c r="R16" i="8" s="1"/>
  <c r="Q46" i="9"/>
  <c r="H58" i="9"/>
  <c r="R54" i="9"/>
  <c r="R38" i="12"/>
  <c r="I21" i="10"/>
  <c r="R83" i="9"/>
  <c r="C103" i="20"/>
  <c r="C76" i="21" s="1"/>
  <c r="C76" i="20"/>
  <c r="C57" i="21" s="1"/>
  <c r="I13" i="6"/>
  <c r="I107" i="15" s="1"/>
  <c r="K13" i="6"/>
  <c r="K107" i="15" s="1"/>
  <c r="D13" i="6"/>
  <c r="D107" i="15" s="1"/>
  <c r="H13" i="6"/>
  <c r="H107" i="15" s="1"/>
  <c r="M13" i="6"/>
  <c r="M107" i="15" s="1"/>
  <c r="P13" i="6"/>
  <c r="P107" i="15" s="1"/>
  <c r="G13" i="6"/>
  <c r="G107" i="15" s="1"/>
  <c r="O13" i="6"/>
  <c r="O107" i="15" s="1"/>
  <c r="N13" i="6"/>
  <c r="N107" i="15" s="1"/>
  <c r="Q13" i="6"/>
  <c r="Q107" i="15" s="1"/>
  <c r="F13" i="6"/>
  <c r="F107" i="15" s="1"/>
  <c r="L13" i="6"/>
  <c r="L107" i="15" s="1"/>
  <c r="E13" i="6"/>
  <c r="E107" i="15" s="1"/>
  <c r="J13" i="6"/>
  <c r="J107" i="15" s="1"/>
  <c r="C13" i="6"/>
  <c r="C107" i="15" s="1"/>
  <c r="H18" i="12"/>
  <c r="D16" i="8"/>
  <c r="D21" i="8" s="1"/>
  <c r="E21" i="8"/>
  <c r="M16" i="10"/>
  <c r="M21" i="10" s="1"/>
  <c r="C21" i="10"/>
  <c r="J18" i="12"/>
  <c r="H21" i="10"/>
  <c r="B16" i="8"/>
  <c r="B21" i="8" s="1"/>
  <c r="D21" i="7"/>
  <c r="R19" i="7"/>
  <c r="D21" i="10"/>
  <c r="N21" i="10"/>
  <c r="B107" i="15"/>
  <c r="J47" i="21"/>
  <c r="I27" i="21"/>
  <c r="I39" i="21"/>
  <c r="J57" i="21"/>
  <c r="J65" i="21"/>
  <c r="I28" i="21"/>
  <c r="G38" i="21"/>
  <c r="H46" i="21"/>
  <c r="I46" i="21"/>
  <c r="J20" i="21"/>
  <c r="G39" i="21"/>
  <c r="G20" i="21"/>
  <c r="J27" i="21"/>
  <c r="H65" i="21"/>
  <c r="B33" i="13"/>
  <c r="E34" i="20"/>
  <c r="B67" i="20"/>
  <c r="H104" i="20"/>
  <c r="H77" i="21" s="1"/>
  <c r="H50" i="20"/>
  <c r="H39" i="21" s="1"/>
  <c r="D101" i="15"/>
  <c r="G101" i="15"/>
  <c r="E61" i="20"/>
  <c r="B40" i="20"/>
  <c r="H20" i="21"/>
  <c r="G77" i="21"/>
  <c r="B77" i="20"/>
  <c r="B58" i="21" s="1"/>
  <c r="B50" i="20"/>
  <c r="B39" i="21" s="1"/>
  <c r="F77" i="20"/>
  <c r="F58" i="21" s="1"/>
  <c r="F50" i="20"/>
  <c r="F39" i="21" s="1"/>
  <c r="B20" i="21"/>
  <c r="F88" i="20"/>
  <c r="D20" i="21"/>
  <c r="J50" i="20"/>
  <c r="J39" i="21" s="1"/>
  <c r="F61" i="20"/>
  <c r="D104" i="20"/>
  <c r="D77" i="21" s="1"/>
  <c r="D77" i="20"/>
  <c r="D58" i="21" s="1"/>
  <c r="J77" i="20"/>
  <c r="J58" i="21" s="1"/>
  <c r="C20" i="21"/>
  <c r="C50" i="20"/>
  <c r="C39" i="21" s="1"/>
  <c r="J104" i="20"/>
  <c r="J77" i="21" s="1"/>
  <c r="E77" i="20"/>
  <c r="E58" i="21" s="1"/>
  <c r="E20" i="21"/>
  <c r="I77" i="20"/>
  <c r="I58" i="21" s="1"/>
  <c r="I20" i="21"/>
  <c r="E104" i="20"/>
  <c r="E77" i="21" s="1"/>
  <c r="I104" i="20"/>
  <c r="I77" i="21" s="1"/>
  <c r="C77" i="20"/>
  <c r="C58" i="21" s="1"/>
  <c r="G61" i="20"/>
  <c r="G88" i="20"/>
  <c r="J61" i="20"/>
  <c r="K23" i="20"/>
  <c r="F20" i="21"/>
  <c r="G34" i="20"/>
  <c r="D88" i="20"/>
  <c r="J34" i="20"/>
  <c r="D61" i="20"/>
  <c r="K7" i="20"/>
  <c r="I34" i="20"/>
  <c r="I88" i="20"/>
  <c r="C88" i="20"/>
  <c r="C34" i="20"/>
  <c r="C61" i="20"/>
  <c r="H61" i="20"/>
  <c r="H88" i="20"/>
  <c r="H34" i="20"/>
  <c r="B88" i="20"/>
  <c r="B34" i="20"/>
  <c r="B61" i="20"/>
  <c r="K62" i="20"/>
  <c r="K66" i="20"/>
  <c r="K35" i="20"/>
  <c r="K38" i="20"/>
  <c r="B28" i="21"/>
  <c r="B75" i="21"/>
  <c r="R21" i="16" l="1"/>
  <c r="R32" i="16" s="1"/>
  <c r="R35" i="16" s="1"/>
  <c r="B178" i="16" s="1"/>
  <c r="F21" i="16"/>
  <c r="F32" i="16" s="1"/>
  <c r="E35" i="16"/>
  <c r="K32" i="16"/>
  <c r="K35" i="16" s="1"/>
  <c r="O35" i="16"/>
  <c r="R87" i="15"/>
  <c r="R98" i="15" s="1"/>
  <c r="R101" i="15" s="1"/>
  <c r="J32" i="15"/>
  <c r="J35" i="15" s="1"/>
  <c r="C87" i="15"/>
  <c r="C98" i="15" s="1"/>
  <c r="C101" i="15" s="1"/>
  <c r="P68" i="15"/>
  <c r="J65" i="15"/>
  <c r="J68" i="15" s="1"/>
  <c r="R21" i="10"/>
  <c r="B86" i="10" s="1"/>
  <c r="C87" i="10" s="1"/>
  <c r="R51" i="29"/>
  <c r="R61" i="29" s="1"/>
  <c r="R64" i="29" s="1"/>
  <c r="B138" i="29" s="1"/>
  <c r="S86" i="15"/>
  <c r="K35" i="15"/>
  <c r="K93" i="20"/>
  <c r="K92" i="20"/>
  <c r="R21" i="8"/>
  <c r="B131" i="8" s="1"/>
  <c r="K8" i="21"/>
  <c r="K65" i="20"/>
  <c r="R40" i="8"/>
  <c r="B132" i="8" s="1"/>
  <c r="K89" i="20"/>
  <c r="R46" i="9"/>
  <c r="B286" i="9" s="1"/>
  <c r="G69" i="20"/>
  <c r="K64" i="20"/>
  <c r="G96" i="20"/>
  <c r="C40" i="20"/>
  <c r="I94" i="20"/>
  <c r="J96" i="20"/>
  <c r="J69" i="20"/>
  <c r="I42" i="20"/>
  <c r="D40" i="20"/>
  <c r="C69" i="20"/>
  <c r="C94" i="20"/>
  <c r="I96" i="20"/>
  <c r="D67" i="20"/>
  <c r="C96" i="20"/>
  <c r="I67" i="20"/>
  <c r="D96" i="20"/>
  <c r="F40" i="20"/>
  <c r="D42" i="20"/>
  <c r="F42" i="20"/>
  <c r="F94" i="20"/>
  <c r="F69" i="20"/>
  <c r="K15" i="20"/>
  <c r="H69" i="20"/>
  <c r="H42" i="20"/>
  <c r="E96" i="20"/>
  <c r="G67" i="20"/>
  <c r="H67" i="20"/>
  <c r="G94" i="20"/>
  <c r="H40" i="20"/>
  <c r="E69" i="20"/>
  <c r="E94" i="20"/>
  <c r="D17" i="20"/>
  <c r="D98" i="20" s="1"/>
  <c r="D70" i="21" s="1"/>
  <c r="E40" i="20"/>
  <c r="F17" i="20"/>
  <c r="F71" i="20" s="1"/>
  <c r="F51" i="21" s="1"/>
  <c r="B98" i="20"/>
  <c r="B70" i="21" s="1"/>
  <c r="J67" i="20"/>
  <c r="E20" i="20"/>
  <c r="E47" i="20" s="1"/>
  <c r="E35" i="21" s="1"/>
  <c r="K13" i="20"/>
  <c r="I18" i="20"/>
  <c r="I99" i="20" s="1"/>
  <c r="J40" i="20"/>
  <c r="F19" i="20"/>
  <c r="F100" i="20" s="1"/>
  <c r="F72" i="21" s="1"/>
  <c r="C19" i="20"/>
  <c r="C73" i="20" s="1"/>
  <c r="C53" i="21" s="1"/>
  <c r="B100" i="20"/>
  <c r="B72" i="21" s="1"/>
  <c r="J19" i="20"/>
  <c r="J100" i="20" s="1"/>
  <c r="I19" i="20"/>
  <c r="I73" i="20" s="1"/>
  <c r="B15" i="21"/>
  <c r="G19" i="20"/>
  <c r="G100" i="20" s="1"/>
  <c r="G72" i="21" s="1"/>
  <c r="B46" i="20"/>
  <c r="B34" i="21" s="1"/>
  <c r="G97" i="20"/>
  <c r="G75" i="21" s="1"/>
  <c r="E19" i="20"/>
  <c r="E73" i="20" s="1"/>
  <c r="E53" i="21" s="1"/>
  <c r="D19" i="20"/>
  <c r="D100" i="20" s="1"/>
  <c r="D72" i="21" s="1"/>
  <c r="H19" i="20"/>
  <c r="H46" i="20" s="1"/>
  <c r="H34" i="21" s="1"/>
  <c r="I20" i="20"/>
  <c r="I47" i="20" s="1"/>
  <c r="I35" i="21" s="1"/>
  <c r="D20" i="20"/>
  <c r="G20" i="20"/>
  <c r="G47" i="20" s="1"/>
  <c r="B47" i="20"/>
  <c r="B35" i="21" s="1"/>
  <c r="C20" i="20"/>
  <c r="C74" i="20" s="1"/>
  <c r="C54" i="21" s="1"/>
  <c r="J20" i="20"/>
  <c r="J16" i="21" s="1"/>
  <c r="B101" i="20"/>
  <c r="B73" i="21" s="1"/>
  <c r="B16" i="21"/>
  <c r="R20" i="29"/>
  <c r="R30" i="29" s="1"/>
  <c r="R33" i="29" s="1"/>
  <c r="B137" i="29" s="1"/>
  <c r="F20" i="20"/>
  <c r="F16" i="21" s="1"/>
  <c r="H20" i="20"/>
  <c r="H47" i="20" s="1"/>
  <c r="E17" i="20"/>
  <c r="E13" i="21" s="1"/>
  <c r="I17" i="20"/>
  <c r="I44" i="20" s="1"/>
  <c r="B44" i="20"/>
  <c r="B32" i="21" s="1"/>
  <c r="G17" i="20"/>
  <c r="G71" i="20" s="1"/>
  <c r="H17" i="20"/>
  <c r="H71" i="20" s="1"/>
  <c r="H51" i="21" s="1"/>
  <c r="B71" i="20"/>
  <c r="B51" i="21" s="1"/>
  <c r="C17" i="20"/>
  <c r="C13" i="21" s="1"/>
  <c r="J17" i="20"/>
  <c r="J71" i="20" s="1"/>
  <c r="F21" i="20"/>
  <c r="C21" i="20"/>
  <c r="C48" i="20" s="1"/>
  <c r="C36" i="21" s="1"/>
  <c r="I21" i="20"/>
  <c r="I75" i="20" s="1"/>
  <c r="I55" i="21" s="1"/>
  <c r="B17" i="21"/>
  <c r="G21" i="20"/>
  <c r="G75" i="20" s="1"/>
  <c r="G55" i="21" s="1"/>
  <c r="B102" i="20"/>
  <c r="B74" i="21" s="1"/>
  <c r="D21" i="20"/>
  <c r="D48" i="20" s="1"/>
  <c r="D36" i="21" s="1"/>
  <c r="J21" i="20"/>
  <c r="J17" i="21" s="1"/>
  <c r="B48" i="20"/>
  <c r="B36" i="21" s="1"/>
  <c r="D95" i="20"/>
  <c r="H21" i="20"/>
  <c r="H102" i="20" s="1"/>
  <c r="E21" i="20"/>
  <c r="E102" i="20" s="1"/>
  <c r="E74" i="21" s="1"/>
  <c r="S94" i="15"/>
  <c r="R48" i="15"/>
  <c r="R54" i="15" s="1"/>
  <c r="F95" i="20"/>
  <c r="C68" i="20"/>
  <c r="I70" i="20"/>
  <c r="I56" i="21" s="1"/>
  <c r="J18" i="20"/>
  <c r="J45" i="20" s="1"/>
  <c r="G95" i="20"/>
  <c r="K37" i="20"/>
  <c r="C95" i="20"/>
  <c r="I97" i="20"/>
  <c r="I75" i="21" s="1"/>
  <c r="H18" i="20"/>
  <c r="H45" i="20" s="1"/>
  <c r="G18" i="20"/>
  <c r="G14" i="21" s="1"/>
  <c r="K87" i="20"/>
  <c r="G68" i="20"/>
  <c r="H18" i="21"/>
  <c r="I43" i="20"/>
  <c r="I37" i="21" s="1"/>
  <c r="C18" i="20"/>
  <c r="C99" i="20" s="1"/>
  <c r="C71" i="21" s="1"/>
  <c r="E18" i="20"/>
  <c r="E14" i="21" s="1"/>
  <c r="F68" i="20"/>
  <c r="B18" i="20"/>
  <c r="B45" i="20" s="1"/>
  <c r="H43" i="20"/>
  <c r="H37" i="21" s="1"/>
  <c r="D18" i="20"/>
  <c r="E41" i="20"/>
  <c r="H41" i="20"/>
  <c r="H95" i="20"/>
  <c r="D70" i="20"/>
  <c r="D56" i="21" s="1"/>
  <c r="G18" i="21"/>
  <c r="E95" i="20"/>
  <c r="D18" i="21"/>
  <c r="K60" i="20"/>
  <c r="K33" i="20"/>
  <c r="J68" i="20"/>
  <c r="D41" i="20"/>
  <c r="F97" i="20"/>
  <c r="F75" i="21" s="1"/>
  <c r="I95" i="20"/>
  <c r="K9" i="21"/>
  <c r="G43" i="20"/>
  <c r="G37" i="21" s="1"/>
  <c r="D43" i="20"/>
  <c r="D37" i="21" s="1"/>
  <c r="E18" i="21"/>
  <c r="J97" i="20"/>
  <c r="J75" i="21" s="1"/>
  <c r="C18" i="21"/>
  <c r="J95" i="20"/>
  <c r="K14" i="20"/>
  <c r="I41" i="20"/>
  <c r="F18" i="21"/>
  <c r="K90" i="20"/>
  <c r="F70" i="20"/>
  <c r="F56" i="21" s="1"/>
  <c r="J43" i="20"/>
  <c r="J37" i="21" s="1"/>
  <c r="E97" i="20"/>
  <c r="E75" i="21" s="1"/>
  <c r="C70" i="20"/>
  <c r="C56" i="21" s="1"/>
  <c r="J70" i="20"/>
  <c r="J56" i="21" s="1"/>
  <c r="E43" i="20"/>
  <c r="E37" i="21" s="1"/>
  <c r="C43" i="20"/>
  <c r="C37" i="21" s="1"/>
  <c r="K16" i="20"/>
  <c r="K63" i="20"/>
  <c r="H70" i="20"/>
  <c r="H56" i="21" s="1"/>
  <c r="K36" i="20"/>
  <c r="R48" i="16"/>
  <c r="R54" i="16" s="1"/>
  <c r="R65" i="16" s="1"/>
  <c r="E111" i="15"/>
  <c r="R111" i="15" s="1"/>
  <c r="R37" i="6"/>
  <c r="F68" i="16"/>
  <c r="N54" i="15"/>
  <c r="N65" i="15" s="1"/>
  <c r="N68" i="15" s="1"/>
  <c r="R13" i="6"/>
  <c r="M30" i="29"/>
  <c r="M33" i="29" s="1"/>
  <c r="S75" i="15"/>
  <c r="R15" i="15"/>
  <c r="R34" i="12"/>
  <c r="B84" i="12" s="1"/>
  <c r="K19" i="21"/>
  <c r="R18" i="12"/>
  <c r="B83" i="12" s="1"/>
  <c r="C84" i="12" s="1"/>
  <c r="K103" i="20"/>
  <c r="K49" i="20"/>
  <c r="H60" i="9"/>
  <c r="H90" i="9" s="1"/>
  <c r="Q57" i="8"/>
  <c r="I57" i="8"/>
  <c r="G57" i="8"/>
  <c r="F57" i="8"/>
  <c r="N57" i="8"/>
  <c r="H57" i="8"/>
  <c r="B57" i="8"/>
  <c r="P57" i="8"/>
  <c r="D57" i="8"/>
  <c r="L57" i="8"/>
  <c r="M57" i="8"/>
  <c r="E57" i="8"/>
  <c r="O57" i="8"/>
  <c r="J57" i="8"/>
  <c r="C57" i="8"/>
  <c r="K57" i="8"/>
  <c r="P69" i="8"/>
  <c r="N69" i="8"/>
  <c r="E69" i="8"/>
  <c r="C69" i="8"/>
  <c r="O69" i="8"/>
  <c r="M69" i="8"/>
  <c r="G69" i="8"/>
  <c r="H69" i="8"/>
  <c r="Q69" i="8"/>
  <c r="D69" i="8"/>
  <c r="F69" i="8"/>
  <c r="L69" i="8"/>
  <c r="I69" i="8"/>
  <c r="K69" i="8"/>
  <c r="B69" i="8"/>
  <c r="J69" i="8"/>
  <c r="Q68" i="8"/>
  <c r="E68" i="8"/>
  <c r="J68" i="8"/>
  <c r="H68" i="8"/>
  <c r="P68" i="8"/>
  <c r="K68" i="8"/>
  <c r="L68" i="8"/>
  <c r="M68" i="8"/>
  <c r="F68" i="8"/>
  <c r="B68" i="8"/>
  <c r="N68" i="8"/>
  <c r="G68" i="8"/>
  <c r="O68" i="8"/>
  <c r="I68" i="8"/>
  <c r="C68" i="8"/>
  <c r="D68" i="8"/>
  <c r="N63" i="8"/>
  <c r="M63" i="8"/>
  <c r="I63" i="8"/>
  <c r="D63" i="8"/>
  <c r="Q63" i="8"/>
  <c r="K63" i="8"/>
  <c r="L63" i="8"/>
  <c r="F63" i="8"/>
  <c r="C63" i="8"/>
  <c r="E63" i="8"/>
  <c r="O63" i="8"/>
  <c r="G63" i="8"/>
  <c r="P63" i="8"/>
  <c r="H63" i="8"/>
  <c r="B63" i="8"/>
  <c r="J63" i="8"/>
  <c r="Q61" i="8"/>
  <c r="E61" i="8"/>
  <c r="M61" i="8"/>
  <c r="C61" i="8"/>
  <c r="G61" i="8"/>
  <c r="O61" i="8"/>
  <c r="H61" i="8"/>
  <c r="J61" i="8"/>
  <c r="N61" i="8"/>
  <c r="F61" i="8"/>
  <c r="L61" i="8"/>
  <c r="K61" i="8"/>
  <c r="D61" i="8"/>
  <c r="B61" i="8"/>
  <c r="I61" i="8"/>
  <c r="P61" i="8"/>
  <c r="R58" i="9"/>
  <c r="R60" i="9" s="1"/>
  <c r="Q62" i="8"/>
  <c r="I62" i="8"/>
  <c r="F62" i="8"/>
  <c r="E62" i="8"/>
  <c r="H62" i="8"/>
  <c r="B62" i="8"/>
  <c r="C62" i="8"/>
  <c r="P62" i="8"/>
  <c r="D62" i="8"/>
  <c r="M62" i="8"/>
  <c r="G62" i="8"/>
  <c r="N62" i="8"/>
  <c r="O62" i="8"/>
  <c r="J62" i="8"/>
  <c r="K62" i="8"/>
  <c r="L62" i="8"/>
  <c r="N60" i="8"/>
  <c r="B60" i="8"/>
  <c r="D60" i="8"/>
  <c r="M60" i="8"/>
  <c r="P60" i="8"/>
  <c r="E60" i="8"/>
  <c r="C60" i="8"/>
  <c r="L60" i="8"/>
  <c r="I60" i="8"/>
  <c r="K60" i="8"/>
  <c r="Q60" i="8"/>
  <c r="F60" i="8"/>
  <c r="F24" i="7" s="1"/>
  <c r="O60" i="8"/>
  <c r="G60" i="8"/>
  <c r="G24" i="7" s="1"/>
  <c r="H60" i="8"/>
  <c r="H24" i="7" s="1"/>
  <c r="J60" i="8"/>
  <c r="Q59" i="8"/>
  <c r="F59" i="8"/>
  <c r="G59" i="8"/>
  <c r="J59" i="8"/>
  <c r="N59" i="8"/>
  <c r="D59" i="8"/>
  <c r="E59" i="8"/>
  <c r="P59" i="8"/>
  <c r="M59" i="8"/>
  <c r="K59" i="8"/>
  <c r="O59" i="8"/>
  <c r="H59" i="8"/>
  <c r="I59" i="8"/>
  <c r="L59" i="8"/>
  <c r="C59" i="8"/>
  <c r="B59" i="8"/>
  <c r="O65" i="8"/>
  <c r="G65" i="8"/>
  <c r="E65" i="8"/>
  <c r="M65" i="8"/>
  <c r="J65" i="8"/>
  <c r="C65" i="8"/>
  <c r="N65" i="8"/>
  <c r="B65" i="8"/>
  <c r="F65" i="8"/>
  <c r="D65" i="8"/>
  <c r="P65" i="8"/>
  <c r="K65" i="8"/>
  <c r="Q65" i="8"/>
  <c r="L65" i="8"/>
  <c r="H65" i="8"/>
  <c r="I65" i="8"/>
  <c r="R107" i="15"/>
  <c r="K76" i="20"/>
  <c r="K76" i="21"/>
  <c r="K38" i="21"/>
  <c r="K65" i="21"/>
  <c r="R21" i="7"/>
  <c r="D14" i="6" s="1"/>
  <c r="K57" i="21"/>
  <c r="K46" i="21"/>
  <c r="K27" i="21"/>
  <c r="G56" i="21"/>
  <c r="B228" i="15"/>
  <c r="S95" i="15"/>
  <c r="K39" i="21"/>
  <c r="K50" i="20"/>
  <c r="K104" i="20"/>
  <c r="K58" i="21"/>
  <c r="K77" i="20"/>
  <c r="K77" i="21"/>
  <c r="K20" i="21"/>
  <c r="K61" i="20"/>
  <c r="K88" i="20"/>
  <c r="K34" i="20"/>
  <c r="K47" i="21"/>
  <c r="F72" i="20"/>
  <c r="F52" i="21" s="1"/>
  <c r="F99" i="20"/>
  <c r="F71" i="21" s="1"/>
  <c r="F45" i="20"/>
  <c r="F33" i="21" s="1"/>
  <c r="F14" i="21"/>
  <c r="B54" i="21"/>
  <c r="K28" i="21"/>
  <c r="K66" i="21"/>
  <c r="B53" i="21"/>
  <c r="B55" i="21"/>
  <c r="F35" i="16" l="1"/>
  <c r="C132" i="8"/>
  <c r="C138" i="29"/>
  <c r="O70" i="8"/>
  <c r="Q70" i="8"/>
  <c r="K70" i="8"/>
  <c r="P70" i="8"/>
  <c r="H70" i="8"/>
  <c r="K96" i="20"/>
  <c r="D74" i="20"/>
  <c r="D54" i="21" s="1"/>
  <c r="D16" i="21"/>
  <c r="D13" i="21"/>
  <c r="D71" i="20"/>
  <c r="K67" i="20"/>
  <c r="K42" i="20"/>
  <c r="D44" i="20"/>
  <c r="D32" i="21" s="1"/>
  <c r="G44" i="20"/>
  <c r="G32" i="21" s="1"/>
  <c r="K94" i="20"/>
  <c r="K69" i="20"/>
  <c r="C46" i="20"/>
  <c r="C34" i="21" s="1"/>
  <c r="E74" i="20"/>
  <c r="E54" i="21" s="1"/>
  <c r="F15" i="21"/>
  <c r="C47" i="20"/>
  <c r="C35" i="21" s="1"/>
  <c r="E101" i="20"/>
  <c r="E73" i="21" s="1"/>
  <c r="F73" i="20"/>
  <c r="F53" i="21" s="1"/>
  <c r="E16" i="21"/>
  <c r="F46" i="20"/>
  <c r="F34" i="21" s="1"/>
  <c r="I46" i="20"/>
  <c r="I34" i="21" s="1"/>
  <c r="F13" i="21"/>
  <c r="E46" i="20"/>
  <c r="E34" i="21" s="1"/>
  <c r="F98" i="20"/>
  <c r="F70" i="21" s="1"/>
  <c r="F44" i="20"/>
  <c r="F32" i="21" s="1"/>
  <c r="C15" i="21"/>
  <c r="C100" i="20"/>
  <c r="C72" i="21" s="1"/>
  <c r="K40" i="20"/>
  <c r="G15" i="21"/>
  <c r="I14" i="21"/>
  <c r="I45" i="20"/>
  <c r="I33" i="21" s="1"/>
  <c r="I72" i="20"/>
  <c r="I52" i="21" s="1"/>
  <c r="H100" i="20"/>
  <c r="H72" i="21" s="1"/>
  <c r="H73" i="20"/>
  <c r="H53" i="21" s="1"/>
  <c r="D15" i="21"/>
  <c r="J15" i="21"/>
  <c r="J73" i="20"/>
  <c r="J53" i="21" s="1"/>
  <c r="H15" i="21"/>
  <c r="J46" i="20"/>
  <c r="J34" i="21" s="1"/>
  <c r="C45" i="20"/>
  <c r="C33" i="21" s="1"/>
  <c r="C101" i="20"/>
  <c r="C73" i="21" s="1"/>
  <c r="I15" i="21"/>
  <c r="C75" i="20"/>
  <c r="C55" i="21" s="1"/>
  <c r="I13" i="21"/>
  <c r="I16" i="21"/>
  <c r="I100" i="20"/>
  <c r="I72" i="21" s="1"/>
  <c r="C102" i="20"/>
  <c r="C74" i="21" s="1"/>
  <c r="I71" i="20"/>
  <c r="I51" i="21" s="1"/>
  <c r="I101" i="20"/>
  <c r="I73" i="21" s="1"/>
  <c r="D29" i="20"/>
  <c r="D12" i="21" s="1"/>
  <c r="G16" i="21"/>
  <c r="G46" i="20"/>
  <c r="G34" i="21" s="1"/>
  <c r="D73" i="20"/>
  <c r="D53" i="21" s="1"/>
  <c r="H16" i="21"/>
  <c r="D46" i="20"/>
  <c r="D34" i="21" s="1"/>
  <c r="G73" i="20"/>
  <c r="G53" i="21" s="1"/>
  <c r="E100" i="20"/>
  <c r="E72" i="21" s="1"/>
  <c r="D47" i="20"/>
  <c r="D35" i="21" s="1"/>
  <c r="E15" i="21"/>
  <c r="I74" i="20"/>
  <c r="I54" i="21" s="1"/>
  <c r="C16" i="21"/>
  <c r="C17" i="21"/>
  <c r="D101" i="20"/>
  <c r="D73" i="21" s="1"/>
  <c r="I98" i="20"/>
  <c r="K19" i="20"/>
  <c r="J101" i="20"/>
  <c r="J73" i="21" s="1"/>
  <c r="H48" i="20"/>
  <c r="H36" i="21" s="1"/>
  <c r="I27" i="20"/>
  <c r="I10" i="21" s="1"/>
  <c r="I28" i="20"/>
  <c r="I11" i="21" s="1"/>
  <c r="D75" i="20"/>
  <c r="D55" i="21" s="1"/>
  <c r="I102" i="20"/>
  <c r="I74" i="21" s="1"/>
  <c r="G74" i="20"/>
  <c r="H101" i="20"/>
  <c r="H73" i="21" s="1"/>
  <c r="G101" i="20"/>
  <c r="G73" i="21" s="1"/>
  <c r="J98" i="20"/>
  <c r="J70" i="21" s="1"/>
  <c r="H74" i="20"/>
  <c r="H54" i="21" s="1"/>
  <c r="J99" i="20"/>
  <c r="J71" i="21" s="1"/>
  <c r="E72" i="20"/>
  <c r="E52" i="21" s="1"/>
  <c r="D102" i="20"/>
  <c r="D74" i="21" s="1"/>
  <c r="D14" i="21"/>
  <c r="C71" i="20"/>
  <c r="C51" i="21" s="1"/>
  <c r="D72" i="20"/>
  <c r="D52" i="21" s="1"/>
  <c r="F74" i="20"/>
  <c r="F54" i="21" s="1"/>
  <c r="E99" i="20"/>
  <c r="E71" i="21" s="1"/>
  <c r="D17" i="21"/>
  <c r="I17" i="21"/>
  <c r="C98" i="20"/>
  <c r="C70" i="21" s="1"/>
  <c r="F47" i="20"/>
  <c r="F35" i="21" s="1"/>
  <c r="J47" i="20"/>
  <c r="J35" i="21" s="1"/>
  <c r="H75" i="20"/>
  <c r="H55" i="21" s="1"/>
  <c r="J72" i="20"/>
  <c r="I29" i="20"/>
  <c r="I12" i="21" s="1"/>
  <c r="I48" i="20"/>
  <c r="I36" i="21" s="1"/>
  <c r="C29" i="20"/>
  <c r="C12" i="21" s="1"/>
  <c r="C44" i="20"/>
  <c r="F101" i="20"/>
  <c r="F73" i="21" s="1"/>
  <c r="J74" i="20"/>
  <c r="J54" i="21" s="1"/>
  <c r="H17" i="21"/>
  <c r="F28" i="20"/>
  <c r="F11" i="21" s="1"/>
  <c r="D99" i="20"/>
  <c r="D71" i="21" s="1"/>
  <c r="K20" i="20"/>
  <c r="J14" i="21"/>
  <c r="J28" i="20"/>
  <c r="J11" i="21" s="1"/>
  <c r="H44" i="20"/>
  <c r="H32" i="21" s="1"/>
  <c r="B14" i="21"/>
  <c r="F27" i="20"/>
  <c r="F10" i="21" s="1"/>
  <c r="F75" i="20"/>
  <c r="F55" i="21" s="1"/>
  <c r="E44" i="20"/>
  <c r="F17" i="21"/>
  <c r="H98" i="20"/>
  <c r="H70" i="21" s="1"/>
  <c r="E98" i="20"/>
  <c r="F29" i="20"/>
  <c r="F12" i="21" s="1"/>
  <c r="F48" i="20"/>
  <c r="F36" i="21" s="1"/>
  <c r="G102" i="20"/>
  <c r="G74" i="21" s="1"/>
  <c r="H13" i="21"/>
  <c r="E71" i="20"/>
  <c r="E51" i="21" s="1"/>
  <c r="F102" i="20"/>
  <c r="F74" i="21" s="1"/>
  <c r="K17" i="20"/>
  <c r="J13" i="21"/>
  <c r="G98" i="20"/>
  <c r="G70" i="21" s="1"/>
  <c r="J44" i="20"/>
  <c r="J32" i="21" s="1"/>
  <c r="G13" i="21"/>
  <c r="C27" i="20"/>
  <c r="C10" i="21" s="1"/>
  <c r="G28" i="20"/>
  <c r="G11" i="21" s="1"/>
  <c r="H27" i="20"/>
  <c r="H10" i="21" s="1"/>
  <c r="E28" i="20"/>
  <c r="E11" i="21" s="1"/>
  <c r="H14" i="21"/>
  <c r="E17" i="21"/>
  <c r="H99" i="20"/>
  <c r="H71" i="21" s="1"/>
  <c r="E48" i="20"/>
  <c r="E36" i="21" s="1"/>
  <c r="J48" i="20"/>
  <c r="J36" i="21" s="1"/>
  <c r="J29" i="20"/>
  <c r="J12" i="21" s="1"/>
  <c r="H72" i="20"/>
  <c r="H52" i="21" s="1"/>
  <c r="E75" i="20"/>
  <c r="E55" i="21" s="1"/>
  <c r="J75" i="20"/>
  <c r="H28" i="20"/>
  <c r="H11" i="21" s="1"/>
  <c r="J27" i="20"/>
  <c r="J10" i="21" s="1"/>
  <c r="H29" i="20"/>
  <c r="H12" i="21" s="1"/>
  <c r="E27" i="20"/>
  <c r="E10" i="21" s="1"/>
  <c r="J102" i="20"/>
  <c r="J74" i="21" s="1"/>
  <c r="G72" i="20"/>
  <c r="G52" i="21" s="1"/>
  <c r="G48" i="20"/>
  <c r="G36" i="21" s="1"/>
  <c r="B72" i="20"/>
  <c r="B81" i="20" s="1"/>
  <c r="K21" i="20"/>
  <c r="B28" i="20"/>
  <c r="B11" i="21" s="1"/>
  <c r="G45" i="20"/>
  <c r="G33" i="21" s="1"/>
  <c r="G17" i="21"/>
  <c r="G27" i="20"/>
  <c r="G10" i="21" s="1"/>
  <c r="B99" i="20"/>
  <c r="B108" i="20" s="1"/>
  <c r="B67" i="21" s="1"/>
  <c r="B27" i="20"/>
  <c r="B10" i="21" s="1"/>
  <c r="E29" i="20"/>
  <c r="E12" i="21" s="1"/>
  <c r="G99" i="20"/>
  <c r="G71" i="21" s="1"/>
  <c r="G29" i="20"/>
  <c r="B29" i="20"/>
  <c r="B12" i="21" s="1"/>
  <c r="C14" i="21"/>
  <c r="C28" i="20"/>
  <c r="C11" i="21" s="1"/>
  <c r="C72" i="20"/>
  <c r="C52" i="21" s="1"/>
  <c r="R65" i="15"/>
  <c r="R68" i="15" s="1"/>
  <c r="B226" i="15" s="1"/>
  <c r="K18" i="20"/>
  <c r="D27" i="20"/>
  <c r="D10" i="21" s="1"/>
  <c r="K68" i="20"/>
  <c r="E45" i="20"/>
  <c r="E33" i="21" s="1"/>
  <c r="D45" i="20"/>
  <c r="D33" i="21" s="1"/>
  <c r="D28" i="20"/>
  <c r="D11" i="21" s="1"/>
  <c r="K41" i="20"/>
  <c r="K95" i="20"/>
  <c r="K18" i="21"/>
  <c r="K75" i="21"/>
  <c r="K97" i="20"/>
  <c r="K43" i="20"/>
  <c r="K70" i="20"/>
  <c r="R68" i="16"/>
  <c r="B179" i="16" s="1"/>
  <c r="C64" i="8"/>
  <c r="C66" i="8" s="1"/>
  <c r="R21" i="15"/>
  <c r="S81" i="15"/>
  <c r="C70" i="8"/>
  <c r="L70" i="8"/>
  <c r="J70" i="8"/>
  <c r="I64" i="8"/>
  <c r="I66" i="8" s="1"/>
  <c r="J64" i="8"/>
  <c r="J66" i="8" s="1"/>
  <c r="O64" i="8"/>
  <c r="O66" i="8" s="1"/>
  <c r="E64" i="8"/>
  <c r="E66" i="8" s="1"/>
  <c r="G70" i="8"/>
  <c r="G23" i="7"/>
  <c r="G25" i="7" s="1"/>
  <c r="G64" i="8"/>
  <c r="G66" i="8" s="1"/>
  <c r="L64" i="8"/>
  <c r="L66" i="8" s="1"/>
  <c r="K64" i="8"/>
  <c r="K66" i="8" s="1"/>
  <c r="D64" i="8"/>
  <c r="D66" i="8" s="1"/>
  <c r="F23" i="7"/>
  <c r="F64" i="8"/>
  <c r="F66" i="8" s="1"/>
  <c r="R60" i="8"/>
  <c r="R62" i="8"/>
  <c r="D70" i="8"/>
  <c r="M70" i="8"/>
  <c r="M64" i="8"/>
  <c r="M66" i="8" s="1"/>
  <c r="N64" i="8"/>
  <c r="N66" i="8" s="1"/>
  <c r="Q64" i="8"/>
  <c r="Q66" i="8" s="1"/>
  <c r="R63" i="8"/>
  <c r="N70" i="8"/>
  <c r="R69" i="8"/>
  <c r="R57" i="8"/>
  <c r="R65" i="8"/>
  <c r="B64" i="8"/>
  <c r="B66" i="8" s="1"/>
  <c r="R59" i="8"/>
  <c r="H23" i="7"/>
  <c r="H25" i="7" s="1"/>
  <c r="H64" i="8"/>
  <c r="H66" i="8" s="1"/>
  <c r="P64" i="8"/>
  <c r="P66" i="8" s="1"/>
  <c r="R24" i="7"/>
  <c r="R90" i="9"/>
  <c r="B287" i="9" s="1"/>
  <c r="C287" i="9" s="1"/>
  <c r="R61" i="8"/>
  <c r="I70" i="8"/>
  <c r="B70" i="8"/>
  <c r="R68" i="8"/>
  <c r="F70" i="8"/>
  <c r="E70" i="8"/>
  <c r="B14" i="6"/>
  <c r="Q14" i="6"/>
  <c r="I14" i="6"/>
  <c r="M14" i="6"/>
  <c r="L14" i="6"/>
  <c r="K14" i="6"/>
  <c r="H14" i="6"/>
  <c r="C14" i="6"/>
  <c r="O14" i="6"/>
  <c r="P14" i="6"/>
  <c r="J14" i="6"/>
  <c r="N14" i="6"/>
  <c r="F14" i="6"/>
  <c r="G14" i="6"/>
  <c r="E14" i="6"/>
  <c r="K37" i="21"/>
  <c r="K56" i="21"/>
  <c r="H74" i="21"/>
  <c r="J52" i="21"/>
  <c r="I71" i="21"/>
  <c r="G51" i="21"/>
  <c r="J33" i="21"/>
  <c r="H33" i="21"/>
  <c r="I32" i="21"/>
  <c r="G35" i="21"/>
  <c r="J51" i="21"/>
  <c r="H35" i="21"/>
  <c r="I53" i="21"/>
  <c r="J72" i="21"/>
  <c r="D51" i="21"/>
  <c r="B33" i="21"/>
  <c r="B56" i="20"/>
  <c r="B31" i="21" s="1"/>
  <c r="B54" i="20"/>
  <c r="B29" i="21" s="1"/>
  <c r="B55" i="20"/>
  <c r="B30" i="21" s="1"/>
  <c r="C179" i="16" l="1"/>
  <c r="Q71" i="8"/>
  <c r="C55" i="20"/>
  <c r="C30" i="21" s="1"/>
  <c r="K15" i="21"/>
  <c r="K73" i="20"/>
  <c r="D83" i="20"/>
  <c r="D50" i="21" s="1"/>
  <c r="K16" i="21"/>
  <c r="I109" i="20"/>
  <c r="I68" i="21" s="1"/>
  <c r="K73" i="21"/>
  <c r="G54" i="20"/>
  <c r="I54" i="20"/>
  <c r="I29" i="21" s="1"/>
  <c r="D81" i="20"/>
  <c r="D48" i="21" s="1"/>
  <c r="G83" i="20"/>
  <c r="G50" i="21" s="1"/>
  <c r="I83" i="20"/>
  <c r="I50" i="21" s="1"/>
  <c r="H110" i="20"/>
  <c r="H69" i="21" s="1"/>
  <c r="K100" i="20"/>
  <c r="D82" i="20"/>
  <c r="D49" i="21" s="1"/>
  <c r="K46" i="20"/>
  <c r="K34" i="21"/>
  <c r="I70" i="21"/>
  <c r="K101" i="20"/>
  <c r="I110" i="20"/>
  <c r="I69" i="21" s="1"/>
  <c r="G54" i="21"/>
  <c r="K54" i="21" s="1"/>
  <c r="I81" i="20"/>
  <c r="I48" i="21" s="1"/>
  <c r="I82" i="20"/>
  <c r="I49" i="21" s="1"/>
  <c r="I108" i="20"/>
  <c r="I67" i="21" s="1"/>
  <c r="K74" i="20"/>
  <c r="C56" i="20"/>
  <c r="C31" i="21" s="1"/>
  <c r="C108" i="20"/>
  <c r="C67" i="21" s="1"/>
  <c r="C109" i="20"/>
  <c r="C68" i="21" s="1"/>
  <c r="B82" i="20"/>
  <c r="B49" i="21" s="1"/>
  <c r="J82" i="20"/>
  <c r="J49" i="21" s="1"/>
  <c r="I56" i="20"/>
  <c r="I31" i="21" s="1"/>
  <c r="F108" i="20"/>
  <c r="F67" i="21" s="1"/>
  <c r="I55" i="20"/>
  <c r="I30" i="21" s="1"/>
  <c r="B110" i="20"/>
  <c r="B69" i="21" s="1"/>
  <c r="D110" i="20"/>
  <c r="D69" i="21" s="1"/>
  <c r="G55" i="20"/>
  <c r="G30" i="21" s="1"/>
  <c r="K71" i="20"/>
  <c r="J110" i="20"/>
  <c r="J69" i="21" s="1"/>
  <c r="F56" i="20"/>
  <c r="F31" i="21" s="1"/>
  <c r="G56" i="20"/>
  <c r="G31" i="21" s="1"/>
  <c r="K44" i="20"/>
  <c r="E81" i="20"/>
  <c r="E48" i="21" s="1"/>
  <c r="E82" i="20"/>
  <c r="E49" i="21" s="1"/>
  <c r="K14" i="21"/>
  <c r="K13" i="21"/>
  <c r="E109" i="20"/>
  <c r="E68" i="21" s="1"/>
  <c r="E83" i="20"/>
  <c r="E50" i="21" s="1"/>
  <c r="F54" i="20"/>
  <c r="F29" i="21" s="1"/>
  <c r="E32" i="21"/>
  <c r="F55" i="20"/>
  <c r="F30" i="21" s="1"/>
  <c r="K47" i="20"/>
  <c r="H55" i="20"/>
  <c r="H30" i="21" s="1"/>
  <c r="H54" i="20"/>
  <c r="H29" i="21" s="1"/>
  <c r="F109" i="20"/>
  <c r="F68" i="21" s="1"/>
  <c r="D109" i="20"/>
  <c r="D68" i="21" s="1"/>
  <c r="H56" i="20"/>
  <c r="H31" i="21" s="1"/>
  <c r="F110" i="20"/>
  <c r="F69" i="21" s="1"/>
  <c r="D108" i="20"/>
  <c r="D67" i="21" s="1"/>
  <c r="C32" i="21"/>
  <c r="E108" i="20"/>
  <c r="E67" i="21" s="1"/>
  <c r="E56" i="20"/>
  <c r="E31" i="21" s="1"/>
  <c r="J56" i="20"/>
  <c r="J31" i="21" s="1"/>
  <c r="C110" i="20"/>
  <c r="C69" i="21" s="1"/>
  <c r="E54" i="20"/>
  <c r="E29" i="21" s="1"/>
  <c r="C54" i="20"/>
  <c r="C29" i="21" s="1"/>
  <c r="E55" i="20"/>
  <c r="E30" i="21" s="1"/>
  <c r="F83" i="20"/>
  <c r="F50" i="21" s="1"/>
  <c r="K75" i="20"/>
  <c r="J55" i="20"/>
  <c r="J30" i="21" s="1"/>
  <c r="B52" i="21"/>
  <c r="K52" i="21" s="1"/>
  <c r="E70" i="21"/>
  <c r="K48" i="20"/>
  <c r="J55" i="21"/>
  <c r="K55" i="21" s="1"/>
  <c r="K98" i="20"/>
  <c r="J54" i="20"/>
  <c r="J29" i="21" s="1"/>
  <c r="F81" i="20"/>
  <c r="F48" i="21" s="1"/>
  <c r="B83" i="20"/>
  <c r="B50" i="21" s="1"/>
  <c r="E110" i="20"/>
  <c r="E69" i="21" s="1"/>
  <c r="J83" i="20"/>
  <c r="J50" i="21" s="1"/>
  <c r="J81" i="20"/>
  <c r="J48" i="21" s="1"/>
  <c r="F82" i="20"/>
  <c r="F49" i="21" s="1"/>
  <c r="K17" i="21"/>
  <c r="D54" i="20"/>
  <c r="D29" i="21" s="1"/>
  <c r="K29" i="20"/>
  <c r="G82" i="20"/>
  <c r="G49" i="21" s="1"/>
  <c r="H83" i="20"/>
  <c r="H50" i="21" s="1"/>
  <c r="H82" i="20"/>
  <c r="H49" i="21" s="1"/>
  <c r="H109" i="20"/>
  <c r="H68" i="21" s="1"/>
  <c r="G81" i="20"/>
  <c r="G48" i="21" s="1"/>
  <c r="B109" i="20"/>
  <c r="B68" i="21" s="1"/>
  <c r="G12" i="21"/>
  <c r="K12" i="21" s="1"/>
  <c r="C83" i="20"/>
  <c r="C50" i="21" s="1"/>
  <c r="C81" i="20"/>
  <c r="C48" i="21" s="1"/>
  <c r="H81" i="20"/>
  <c r="H48" i="21" s="1"/>
  <c r="C82" i="20"/>
  <c r="C49" i="21" s="1"/>
  <c r="B71" i="21"/>
  <c r="K71" i="21" s="1"/>
  <c r="K72" i="20"/>
  <c r="H108" i="20"/>
  <c r="H67" i="21" s="1"/>
  <c r="J109" i="20"/>
  <c r="J68" i="21" s="1"/>
  <c r="J108" i="20"/>
  <c r="J67" i="21" s="1"/>
  <c r="K102" i="20"/>
  <c r="G108" i="20"/>
  <c r="G67" i="21" s="1"/>
  <c r="D55" i="20"/>
  <c r="D30" i="21" s="1"/>
  <c r="K99" i="20"/>
  <c r="G110" i="20"/>
  <c r="G69" i="21" s="1"/>
  <c r="G109" i="20"/>
  <c r="G68" i="21" s="1"/>
  <c r="K45" i="20"/>
  <c r="D56" i="20"/>
  <c r="D31" i="21" s="1"/>
  <c r="K28" i="20"/>
  <c r="K27" i="20"/>
  <c r="O71" i="8"/>
  <c r="J71" i="8"/>
  <c r="C71" i="8"/>
  <c r="S87" i="15"/>
  <c r="R32" i="15"/>
  <c r="G71" i="8"/>
  <c r="M71" i="8"/>
  <c r="P71" i="8"/>
  <c r="K71" i="8"/>
  <c r="H71" i="8"/>
  <c r="R64" i="8"/>
  <c r="R66" i="8" s="1"/>
  <c r="I71" i="8"/>
  <c r="E71" i="8"/>
  <c r="R23" i="7"/>
  <c r="F25" i="7"/>
  <c r="R25" i="7" s="1"/>
  <c r="N71" i="8"/>
  <c r="L71" i="8"/>
  <c r="R70" i="8"/>
  <c r="F71" i="8"/>
  <c r="D71" i="8"/>
  <c r="B71" i="8"/>
  <c r="R14" i="6"/>
  <c r="K53" i="21"/>
  <c r="K36" i="21"/>
  <c r="K35" i="21"/>
  <c r="K72" i="21"/>
  <c r="K74" i="21"/>
  <c r="K10" i="21"/>
  <c r="G29" i="21"/>
  <c r="K51" i="21"/>
  <c r="K33" i="21"/>
  <c r="K11" i="21"/>
  <c r="B48" i="21"/>
  <c r="K70" i="21" l="1"/>
  <c r="K55" i="20"/>
  <c r="K32" i="21"/>
  <c r="K69" i="21"/>
  <c r="K81" i="20"/>
  <c r="K56" i="20"/>
  <c r="K82" i="20"/>
  <c r="K54" i="20"/>
  <c r="K31" i="21"/>
  <c r="K110" i="20"/>
  <c r="K83" i="20"/>
  <c r="K108" i="20"/>
  <c r="K109" i="20"/>
  <c r="K68" i="21"/>
  <c r="R71" i="8"/>
  <c r="S98" i="15"/>
  <c r="R35" i="15"/>
  <c r="F15" i="6"/>
  <c r="N15" i="6"/>
  <c r="B15" i="6"/>
  <c r="K15" i="6"/>
  <c r="L15" i="6"/>
  <c r="D15" i="6"/>
  <c r="Q15" i="6"/>
  <c r="E15" i="6"/>
  <c r="I15" i="6"/>
  <c r="J15" i="6"/>
  <c r="M15" i="6"/>
  <c r="G15" i="6"/>
  <c r="P15" i="6"/>
  <c r="O15" i="6"/>
  <c r="C15" i="6"/>
  <c r="H15" i="6"/>
  <c r="K67" i="21"/>
  <c r="K29" i="21"/>
  <c r="K30" i="21"/>
  <c r="K49" i="21"/>
  <c r="K50" i="21"/>
  <c r="K48" i="21"/>
  <c r="S101" i="15" l="1"/>
  <c r="B225" i="15"/>
  <c r="C226" i="15" s="1"/>
  <c r="H98" i="9"/>
  <c r="H45" i="10"/>
  <c r="H48" i="8"/>
  <c r="H42" i="12"/>
  <c r="G45" i="10"/>
  <c r="G48" i="8"/>
  <c r="G98" i="9"/>
  <c r="G42" i="12"/>
  <c r="E42" i="12"/>
  <c r="E48" i="8"/>
  <c r="E45" i="10"/>
  <c r="E98" i="9"/>
  <c r="K45" i="10"/>
  <c r="K42" i="12"/>
  <c r="K98" i="9"/>
  <c r="K48" i="8"/>
  <c r="M42" i="12"/>
  <c r="M98" i="9"/>
  <c r="M48" i="8"/>
  <c r="M45" i="10"/>
  <c r="Q45" i="10"/>
  <c r="Q42" i="12"/>
  <c r="Q48" i="8"/>
  <c r="Q98" i="9"/>
  <c r="B98" i="9"/>
  <c r="B48" i="8"/>
  <c r="B45" i="10"/>
  <c r="B42" i="12"/>
  <c r="R15" i="6"/>
  <c r="C42" i="12"/>
  <c r="C48" i="8"/>
  <c r="C45" i="10"/>
  <c r="C98" i="9"/>
  <c r="O42" i="12"/>
  <c r="O45" i="10"/>
  <c r="O98" i="9"/>
  <c r="O48" i="8"/>
  <c r="J45" i="10"/>
  <c r="J98" i="9"/>
  <c r="J42" i="12"/>
  <c r="J48" i="8"/>
  <c r="D98" i="9"/>
  <c r="D42" i="12"/>
  <c r="D48" i="8"/>
  <c r="D45" i="10"/>
  <c r="N42" i="12"/>
  <c r="N48" i="8"/>
  <c r="N45" i="10"/>
  <c r="N98" i="9"/>
  <c r="P48" i="8"/>
  <c r="P42" i="12"/>
  <c r="P45" i="10"/>
  <c r="P98" i="9"/>
  <c r="I48" i="8"/>
  <c r="I98" i="9"/>
  <c r="I42" i="12"/>
  <c r="I45" i="10"/>
  <c r="L45" i="10"/>
  <c r="L42" i="12"/>
  <c r="L98" i="9"/>
  <c r="L48" i="8"/>
  <c r="F42" i="12"/>
  <c r="F98" i="9"/>
  <c r="F45" i="10"/>
  <c r="F48" i="8"/>
  <c r="R98" i="9" l="1"/>
  <c r="R42" i="12"/>
  <c r="B58" i="10" a="1"/>
  <c r="B54" i="10" a="1"/>
  <c r="B50" i="10" a="1"/>
  <c r="B55" i="10" a="1"/>
  <c r="B52" i="10" a="1"/>
  <c r="B61" i="10" a="1"/>
  <c r="B56" i="10" a="1"/>
  <c r="B53" i="10" a="1"/>
  <c r="R45" i="10"/>
  <c r="B62" i="10" a="1"/>
  <c r="B82" i="8" a="1"/>
  <c r="B79" i="8" a="1"/>
  <c r="B76" i="8" a="1"/>
  <c r="B80" i="8" a="1"/>
  <c r="B81" i="8" a="1"/>
  <c r="B88" i="8" a="1"/>
  <c r="R48" i="8"/>
  <c r="B78" i="8" a="1"/>
  <c r="B87" i="8" a="1"/>
  <c r="B84" i="8" a="1"/>
  <c r="H78" i="8" l="1"/>
  <c r="J78" i="8"/>
  <c r="P78" i="8"/>
  <c r="O78" i="8"/>
  <c r="F78" i="8"/>
  <c r="M78" i="8"/>
  <c r="L78" i="8"/>
  <c r="K78" i="8"/>
  <c r="N78" i="8"/>
  <c r="D78" i="8"/>
  <c r="B78" i="8"/>
  <c r="I78" i="8"/>
  <c r="C78" i="8"/>
  <c r="E78" i="8"/>
  <c r="G78" i="8"/>
  <c r="Q78" i="8"/>
  <c r="O80" i="8"/>
  <c r="F80" i="8"/>
  <c r="G80" i="8"/>
  <c r="E80" i="8"/>
  <c r="M80" i="8"/>
  <c r="I80" i="8"/>
  <c r="D80" i="8"/>
  <c r="L80" i="8"/>
  <c r="Q80" i="8"/>
  <c r="P80" i="8"/>
  <c r="J80" i="8"/>
  <c r="N80" i="8"/>
  <c r="B80" i="8"/>
  <c r="H80" i="8"/>
  <c r="C80" i="8"/>
  <c r="K80" i="8"/>
  <c r="Q62" i="10"/>
  <c r="Q81" i="10" s="1"/>
  <c r="L62" i="10"/>
  <c r="L81" i="10" s="1"/>
  <c r="M62" i="10"/>
  <c r="M81" i="10" s="1"/>
  <c r="O62" i="10"/>
  <c r="O81" i="10" s="1"/>
  <c r="B62" i="10"/>
  <c r="I62" i="10"/>
  <c r="I81" i="10" s="1"/>
  <c r="N62" i="10"/>
  <c r="N81" i="10" s="1"/>
  <c r="D62" i="10"/>
  <c r="D81" i="10" s="1"/>
  <c r="E62" i="10"/>
  <c r="E81" i="10" s="1"/>
  <c r="K62" i="10"/>
  <c r="K81" i="10" s="1"/>
  <c r="J62" i="10"/>
  <c r="J81" i="10" s="1"/>
  <c r="F62" i="10"/>
  <c r="F81" i="10" s="1"/>
  <c r="G62" i="10"/>
  <c r="G81" i="10" s="1"/>
  <c r="H62" i="10"/>
  <c r="H81" i="10" s="1"/>
  <c r="C62" i="10"/>
  <c r="C81" i="10" s="1"/>
  <c r="P62" i="10"/>
  <c r="P81" i="10" s="1"/>
  <c r="F61" i="10"/>
  <c r="Q61" i="10"/>
  <c r="B61" i="10"/>
  <c r="L61" i="10"/>
  <c r="G61" i="10"/>
  <c r="D61" i="10"/>
  <c r="E61" i="10"/>
  <c r="C61" i="10"/>
  <c r="M61" i="10"/>
  <c r="N61" i="10"/>
  <c r="O61" i="10"/>
  <c r="J61" i="10"/>
  <c r="H61" i="10"/>
  <c r="I61" i="10"/>
  <c r="P61" i="10"/>
  <c r="K61" i="10"/>
  <c r="N54" i="10"/>
  <c r="N73" i="10" s="1"/>
  <c r="L54" i="10"/>
  <c r="L73" i="10" s="1"/>
  <c r="B54" i="10"/>
  <c r="F54" i="10"/>
  <c r="F73" i="10" s="1"/>
  <c r="I54" i="10"/>
  <c r="I73" i="10" s="1"/>
  <c r="H54" i="10"/>
  <c r="H73" i="10" s="1"/>
  <c r="O54" i="10"/>
  <c r="O73" i="10" s="1"/>
  <c r="M54" i="10"/>
  <c r="M73" i="10" s="1"/>
  <c r="D54" i="10"/>
  <c r="D73" i="10" s="1"/>
  <c r="P54" i="10"/>
  <c r="P73" i="10" s="1"/>
  <c r="K54" i="10"/>
  <c r="K73" i="10" s="1"/>
  <c r="E54" i="10"/>
  <c r="E73" i="10" s="1"/>
  <c r="G54" i="10"/>
  <c r="G73" i="10" s="1"/>
  <c r="Q54" i="10"/>
  <c r="Q73" i="10" s="1"/>
  <c r="C54" i="10"/>
  <c r="C73" i="10" s="1"/>
  <c r="J54" i="10"/>
  <c r="J73" i="10" s="1"/>
  <c r="E76" i="8"/>
  <c r="L76" i="8"/>
  <c r="J76" i="8"/>
  <c r="H76" i="8"/>
  <c r="B76" i="8"/>
  <c r="I76" i="8"/>
  <c r="C76" i="8"/>
  <c r="G76" i="8"/>
  <c r="P76" i="8"/>
  <c r="Q76" i="8"/>
  <c r="M76" i="8"/>
  <c r="O76" i="8"/>
  <c r="D76" i="8"/>
  <c r="N76" i="8"/>
  <c r="F76" i="8"/>
  <c r="K76" i="8"/>
  <c r="D52" i="10"/>
  <c r="G52" i="10"/>
  <c r="M52" i="10"/>
  <c r="H52" i="10"/>
  <c r="B52" i="10"/>
  <c r="P52" i="10"/>
  <c r="F52" i="10"/>
  <c r="L52" i="10"/>
  <c r="I52" i="10"/>
  <c r="O52" i="10"/>
  <c r="N52" i="10"/>
  <c r="E52" i="10"/>
  <c r="C52" i="10"/>
  <c r="Q52" i="10"/>
  <c r="J52" i="10"/>
  <c r="K52" i="10"/>
  <c r="O58" i="10"/>
  <c r="O77" i="10" s="1"/>
  <c r="M58" i="10"/>
  <c r="M77" i="10" s="1"/>
  <c r="N58" i="10"/>
  <c r="N77" i="10" s="1"/>
  <c r="F58" i="10"/>
  <c r="F77" i="10" s="1"/>
  <c r="C58" i="10"/>
  <c r="C77" i="10" s="1"/>
  <c r="Q58" i="10"/>
  <c r="Q77" i="10" s="1"/>
  <c r="L58" i="10"/>
  <c r="L77" i="10" s="1"/>
  <c r="E58" i="10"/>
  <c r="E77" i="10" s="1"/>
  <c r="I58" i="10"/>
  <c r="I77" i="10" s="1"/>
  <c r="P58" i="10"/>
  <c r="P77" i="10" s="1"/>
  <c r="G58" i="10"/>
  <c r="G77" i="10" s="1"/>
  <c r="H58" i="10"/>
  <c r="H77" i="10" s="1"/>
  <c r="K58" i="10"/>
  <c r="K77" i="10" s="1"/>
  <c r="J58" i="10"/>
  <c r="J77" i="10" s="1"/>
  <c r="D58" i="10"/>
  <c r="D77" i="10" s="1"/>
  <c r="B58" i="10"/>
  <c r="K84" i="8"/>
  <c r="K32" i="7" s="1"/>
  <c r="B84" i="8"/>
  <c r="O84" i="8"/>
  <c r="O32" i="7" s="1"/>
  <c r="G84" i="8"/>
  <c r="G32" i="7" s="1"/>
  <c r="F84" i="8"/>
  <c r="F32" i="7" s="1"/>
  <c r="Q84" i="8"/>
  <c r="Q32" i="7" s="1"/>
  <c r="J84" i="8"/>
  <c r="J32" i="7" s="1"/>
  <c r="H84" i="8"/>
  <c r="H32" i="7" s="1"/>
  <c r="N84" i="8"/>
  <c r="N32" i="7" s="1"/>
  <c r="P84" i="8"/>
  <c r="P32" i="7" s="1"/>
  <c r="D84" i="8"/>
  <c r="D32" i="7" s="1"/>
  <c r="E84" i="8"/>
  <c r="E32" i="7" s="1"/>
  <c r="I84" i="8"/>
  <c r="I32" i="7" s="1"/>
  <c r="M84" i="8"/>
  <c r="M32" i="7" s="1"/>
  <c r="L84" i="8"/>
  <c r="L32" i="7" s="1"/>
  <c r="C84" i="8"/>
  <c r="C32" i="7" s="1"/>
  <c r="M88" i="8"/>
  <c r="D88" i="8"/>
  <c r="B88" i="8"/>
  <c r="J88" i="8"/>
  <c r="L88" i="8"/>
  <c r="G88" i="8"/>
  <c r="C88" i="8"/>
  <c r="I88" i="8"/>
  <c r="P88" i="8"/>
  <c r="K88" i="8"/>
  <c r="H88" i="8"/>
  <c r="F88" i="8"/>
  <c r="Q88" i="8"/>
  <c r="O88" i="8"/>
  <c r="N88" i="8"/>
  <c r="E88" i="8"/>
  <c r="P79" i="8"/>
  <c r="P37" i="7" s="1"/>
  <c r="F79" i="8"/>
  <c r="F37" i="7" s="1"/>
  <c r="I79" i="8"/>
  <c r="I37" i="7" s="1"/>
  <c r="D79" i="8"/>
  <c r="D37" i="7" s="1"/>
  <c r="B79" i="8"/>
  <c r="M79" i="8"/>
  <c r="M37" i="7" s="1"/>
  <c r="N79" i="8"/>
  <c r="N37" i="7" s="1"/>
  <c r="G79" i="8"/>
  <c r="G37" i="7" s="1"/>
  <c r="C79" i="8"/>
  <c r="C37" i="7" s="1"/>
  <c r="J79" i="8"/>
  <c r="J37" i="7" s="1"/>
  <c r="H79" i="8"/>
  <c r="H37" i="7" s="1"/>
  <c r="O79" i="8"/>
  <c r="O37" i="7" s="1"/>
  <c r="L79" i="8"/>
  <c r="L37" i="7" s="1"/>
  <c r="K79" i="8"/>
  <c r="K37" i="7" s="1"/>
  <c r="E79" i="8"/>
  <c r="E37" i="7" s="1"/>
  <c r="Q79" i="8"/>
  <c r="Q37" i="7" s="1"/>
  <c r="H53" i="10"/>
  <c r="H72" i="10" s="1"/>
  <c r="Q53" i="10"/>
  <c r="Q72" i="10" s="1"/>
  <c r="G53" i="10"/>
  <c r="G72" i="10" s="1"/>
  <c r="B53" i="10"/>
  <c r="J53" i="10"/>
  <c r="J72" i="10" s="1"/>
  <c r="D53" i="10"/>
  <c r="D72" i="10" s="1"/>
  <c r="F53" i="10"/>
  <c r="F72" i="10" s="1"/>
  <c r="I53" i="10"/>
  <c r="I72" i="10" s="1"/>
  <c r="K53" i="10"/>
  <c r="K72" i="10" s="1"/>
  <c r="E53" i="10"/>
  <c r="E72" i="10" s="1"/>
  <c r="L53" i="10"/>
  <c r="L72" i="10" s="1"/>
  <c r="M53" i="10"/>
  <c r="M72" i="10" s="1"/>
  <c r="P53" i="10"/>
  <c r="P72" i="10" s="1"/>
  <c r="C53" i="10"/>
  <c r="C72" i="10" s="1"/>
  <c r="N53" i="10"/>
  <c r="N72" i="10" s="1"/>
  <c r="O53" i="10"/>
  <c r="O72" i="10" s="1"/>
  <c r="Q55" i="10"/>
  <c r="Q74" i="10" s="1"/>
  <c r="H55" i="10"/>
  <c r="H74" i="10" s="1"/>
  <c r="N55" i="10"/>
  <c r="N74" i="10" s="1"/>
  <c r="C55" i="10"/>
  <c r="C74" i="10" s="1"/>
  <c r="K55" i="10"/>
  <c r="K74" i="10" s="1"/>
  <c r="B55" i="10"/>
  <c r="O55" i="10"/>
  <c r="O74" i="10" s="1"/>
  <c r="L55" i="10"/>
  <c r="L74" i="10" s="1"/>
  <c r="I55" i="10"/>
  <c r="I74" i="10" s="1"/>
  <c r="D55" i="10"/>
  <c r="D74" i="10" s="1"/>
  <c r="F55" i="10"/>
  <c r="F74" i="10" s="1"/>
  <c r="G55" i="10"/>
  <c r="G74" i="10" s="1"/>
  <c r="M55" i="10"/>
  <c r="M74" i="10" s="1"/>
  <c r="E55" i="10"/>
  <c r="E74" i="10" s="1"/>
  <c r="P55" i="10"/>
  <c r="P74" i="10" s="1"/>
  <c r="J55" i="10"/>
  <c r="J74" i="10" s="1"/>
  <c r="F87" i="8"/>
  <c r="L87" i="8"/>
  <c r="D87" i="8"/>
  <c r="H87" i="8"/>
  <c r="N87" i="8"/>
  <c r="E87" i="8"/>
  <c r="Q87" i="8"/>
  <c r="I87" i="8"/>
  <c r="C87" i="8"/>
  <c r="K87" i="8"/>
  <c r="B87" i="8"/>
  <c r="O87" i="8"/>
  <c r="J87" i="8"/>
  <c r="G87" i="8"/>
  <c r="M87" i="8"/>
  <c r="P87" i="8"/>
  <c r="P81" i="8"/>
  <c r="P38" i="7" s="1"/>
  <c r="Q81" i="8"/>
  <c r="Q38" i="7" s="1"/>
  <c r="K81" i="8"/>
  <c r="K38" i="7" s="1"/>
  <c r="I81" i="8"/>
  <c r="I38" i="7" s="1"/>
  <c r="O81" i="8"/>
  <c r="O38" i="7" s="1"/>
  <c r="L81" i="8"/>
  <c r="L38" i="7" s="1"/>
  <c r="G81" i="8"/>
  <c r="G38" i="7" s="1"/>
  <c r="D81" i="8"/>
  <c r="D38" i="7" s="1"/>
  <c r="M81" i="8"/>
  <c r="M38" i="7" s="1"/>
  <c r="C81" i="8"/>
  <c r="C38" i="7" s="1"/>
  <c r="J81" i="8"/>
  <c r="J38" i="7" s="1"/>
  <c r="H81" i="8"/>
  <c r="H38" i="7" s="1"/>
  <c r="B81" i="8"/>
  <c r="E81" i="8"/>
  <c r="E38" i="7" s="1"/>
  <c r="F81" i="8"/>
  <c r="F38" i="7" s="1"/>
  <c r="N81" i="8"/>
  <c r="N38" i="7" s="1"/>
  <c r="E82" i="8"/>
  <c r="E39" i="7" s="1"/>
  <c r="M82" i="8"/>
  <c r="M39" i="7" s="1"/>
  <c r="D82" i="8"/>
  <c r="D39" i="7" s="1"/>
  <c r="B82" i="8"/>
  <c r="H82" i="8"/>
  <c r="H39" i="7" s="1"/>
  <c r="Q82" i="8"/>
  <c r="Q39" i="7" s="1"/>
  <c r="I82" i="8"/>
  <c r="I39" i="7" s="1"/>
  <c r="K82" i="8"/>
  <c r="K39" i="7" s="1"/>
  <c r="C82" i="8"/>
  <c r="C39" i="7" s="1"/>
  <c r="P82" i="8"/>
  <c r="P39" i="7" s="1"/>
  <c r="J82" i="8"/>
  <c r="J39" i="7" s="1"/>
  <c r="L82" i="8"/>
  <c r="L39" i="7" s="1"/>
  <c r="F82" i="8"/>
  <c r="F39" i="7" s="1"/>
  <c r="G82" i="8"/>
  <c r="G39" i="7" s="1"/>
  <c r="N82" i="8"/>
  <c r="N39" i="7" s="1"/>
  <c r="O82" i="8"/>
  <c r="O39" i="7" s="1"/>
  <c r="I56" i="10"/>
  <c r="I75" i="10" s="1"/>
  <c r="M56" i="10"/>
  <c r="M75" i="10" s="1"/>
  <c r="Q56" i="10"/>
  <c r="Q75" i="10" s="1"/>
  <c r="C56" i="10"/>
  <c r="C75" i="10" s="1"/>
  <c r="B56" i="10"/>
  <c r="H56" i="10"/>
  <c r="H75" i="10" s="1"/>
  <c r="L56" i="10"/>
  <c r="L75" i="10" s="1"/>
  <c r="N56" i="10"/>
  <c r="N75" i="10" s="1"/>
  <c r="P56" i="10"/>
  <c r="P75" i="10" s="1"/>
  <c r="D56" i="10"/>
  <c r="D75" i="10" s="1"/>
  <c r="J56" i="10"/>
  <c r="J75" i="10" s="1"/>
  <c r="G56" i="10"/>
  <c r="G75" i="10" s="1"/>
  <c r="F56" i="10"/>
  <c r="F75" i="10" s="1"/>
  <c r="K56" i="10"/>
  <c r="K75" i="10" s="1"/>
  <c r="O56" i="10"/>
  <c r="O75" i="10" s="1"/>
  <c r="E56" i="10"/>
  <c r="E75" i="10" s="1"/>
  <c r="E50" i="10"/>
  <c r="P50" i="10"/>
  <c r="P69" i="10" s="1"/>
  <c r="G50" i="10"/>
  <c r="G69" i="10" s="1"/>
  <c r="I50" i="10"/>
  <c r="H50" i="10"/>
  <c r="H69" i="10" s="1"/>
  <c r="M50" i="10"/>
  <c r="M69" i="10" s="1"/>
  <c r="J50" i="10"/>
  <c r="J69" i="10" s="1"/>
  <c r="O50" i="10"/>
  <c r="O69" i="10" s="1"/>
  <c r="L50" i="10"/>
  <c r="L69" i="10" s="1"/>
  <c r="N50" i="10"/>
  <c r="N69" i="10" s="1"/>
  <c r="Q50" i="10"/>
  <c r="D50" i="10"/>
  <c r="D69" i="10" s="1"/>
  <c r="C50" i="10"/>
  <c r="K50" i="10"/>
  <c r="K69" i="10" s="1"/>
  <c r="B50" i="10"/>
  <c r="F50" i="10"/>
  <c r="F69" i="10" s="1"/>
  <c r="R80" i="8" l="1"/>
  <c r="C69" i="10"/>
  <c r="B75" i="10"/>
  <c r="R75" i="10" s="1"/>
  <c r="R56" i="10"/>
  <c r="R81" i="8"/>
  <c r="B38" i="7"/>
  <c r="R38" i="7" s="1"/>
  <c r="J89" i="8"/>
  <c r="J40" i="7"/>
  <c r="J33" i="7"/>
  <c r="C40" i="7"/>
  <c r="C33" i="7"/>
  <c r="C89" i="8"/>
  <c r="F89" i="8"/>
  <c r="F40" i="7"/>
  <c r="F33" i="7"/>
  <c r="I69" i="10"/>
  <c r="R82" i="8"/>
  <c r="B39" i="7"/>
  <c r="R39" i="7" s="1"/>
  <c r="P33" i="7"/>
  <c r="P40" i="7"/>
  <c r="P89" i="8"/>
  <c r="O89" i="8"/>
  <c r="O33" i="7"/>
  <c r="O40" i="7"/>
  <c r="I89" i="8"/>
  <c r="I40" i="7"/>
  <c r="I33" i="7"/>
  <c r="H40" i="7"/>
  <c r="H33" i="7"/>
  <c r="H89" i="8"/>
  <c r="B72" i="10"/>
  <c r="R72" i="10" s="1"/>
  <c r="R53" i="10"/>
  <c r="B77" i="10"/>
  <c r="R77" i="10" s="1"/>
  <c r="R58" i="10"/>
  <c r="K71" i="10"/>
  <c r="K76" i="10" s="1"/>
  <c r="K57" i="10"/>
  <c r="K59" i="10" s="1"/>
  <c r="E71" i="10"/>
  <c r="E76" i="10" s="1"/>
  <c r="E57" i="10"/>
  <c r="E59" i="10" s="1"/>
  <c r="L71" i="10"/>
  <c r="L76" i="10" s="1"/>
  <c r="L57" i="10"/>
  <c r="H57" i="10"/>
  <c r="H59" i="10" s="1"/>
  <c r="H71" i="10"/>
  <c r="H76" i="10" s="1"/>
  <c r="K80" i="10"/>
  <c r="K82" i="10" s="1"/>
  <c r="K63" i="10"/>
  <c r="J63" i="10"/>
  <c r="J80" i="10"/>
  <c r="J82" i="10" s="1"/>
  <c r="C80" i="10"/>
  <c r="C82" i="10" s="1"/>
  <c r="C63" i="10"/>
  <c r="L63" i="10"/>
  <c r="L80" i="10"/>
  <c r="L82" i="10" s="1"/>
  <c r="Q36" i="7"/>
  <c r="Q83" i="8"/>
  <c r="Q31" i="7" s="1"/>
  <c r="I83" i="8"/>
  <c r="I36" i="7"/>
  <c r="K83" i="8"/>
  <c r="K36" i="7"/>
  <c r="O36" i="7"/>
  <c r="O83" i="8"/>
  <c r="N40" i="7"/>
  <c r="N89" i="8"/>
  <c r="N33" i="7"/>
  <c r="B69" i="10"/>
  <c r="R50" i="10"/>
  <c r="Q69" i="10"/>
  <c r="M33" i="7"/>
  <c r="M89" i="8"/>
  <c r="M40" i="7"/>
  <c r="B40" i="7"/>
  <c r="B33" i="7"/>
  <c r="B89" i="8"/>
  <c r="R87" i="8"/>
  <c r="Q89" i="8"/>
  <c r="Q33" i="7"/>
  <c r="Q40" i="7"/>
  <c r="D33" i="7"/>
  <c r="D89" i="8"/>
  <c r="D40" i="7"/>
  <c r="R88" i="8"/>
  <c r="J57" i="10"/>
  <c r="J59" i="10" s="1"/>
  <c r="J71" i="10"/>
  <c r="N57" i="10"/>
  <c r="N59" i="10" s="1"/>
  <c r="N71" i="10"/>
  <c r="N76" i="10" s="1"/>
  <c r="F57" i="10"/>
  <c r="F71" i="10"/>
  <c r="M57" i="10"/>
  <c r="M59" i="10" s="1"/>
  <c r="M71" i="10"/>
  <c r="B73" i="10"/>
  <c r="R73" i="10" s="1"/>
  <c r="R54" i="10"/>
  <c r="P63" i="10"/>
  <c r="P80" i="10"/>
  <c r="P82" i="10" s="1"/>
  <c r="O63" i="10"/>
  <c r="O80" i="10"/>
  <c r="O82" i="10" s="1"/>
  <c r="E63" i="10"/>
  <c r="E80" i="10"/>
  <c r="E82" i="10" s="1"/>
  <c r="B80" i="10"/>
  <c r="B63" i="10"/>
  <c r="R61" i="10"/>
  <c r="G83" i="8"/>
  <c r="G31" i="7" s="1"/>
  <c r="G36" i="7"/>
  <c r="R78" i="8"/>
  <c r="B36" i="7"/>
  <c r="B83" i="8"/>
  <c r="B31" i="7" s="1"/>
  <c r="L83" i="8"/>
  <c r="L31" i="7" s="1"/>
  <c r="L36" i="7"/>
  <c r="P36" i="7"/>
  <c r="P83" i="8"/>
  <c r="P31" i="7" s="1"/>
  <c r="G33" i="7"/>
  <c r="G89" i="8"/>
  <c r="G40" i="7"/>
  <c r="K89" i="8"/>
  <c r="K33" i="7"/>
  <c r="K40" i="7"/>
  <c r="E33" i="7"/>
  <c r="E40" i="7"/>
  <c r="E89" i="8"/>
  <c r="L89" i="8"/>
  <c r="L33" i="7"/>
  <c r="L40" i="7"/>
  <c r="R55" i="10"/>
  <c r="B74" i="10"/>
  <c r="R74" i="10" s="1"/>
  <c r="R84" i="8"/>
  <c r="B32" i="7"/>
  <c r="R32" i="7" s="1"/>
  <c r="Q71" i="10"/>
  <c r="Q76" i="10" s="1"/>
  <c r="Q57" i="10"/>
  <c r="Q59" i="10" s="1"/>
  <c r="O71" i="10"/>
  <c r="O57" i="10"/>
  <c r="O59" i="10" s="1"/>
  <c r="P71" i="10"/>
  <c r="P76" i="10" s="1"/>
  <c r="P57" i="10"/>
  <c r="P59" i="10" s="1"/>
  <c r="G57" i="10"/>
  <c r="G59" i="10" s="1"/>
  <c r="G71" i="10"/>
  <c r="I63" i="10"/>
  <c r="I80" i="10"/>
  <c r="I82" i="10" s="1"/>
  <c r="N63" i="10"/>
  <c r="N80" i="10"/>
  <c r="N82" i="10" s="1"/>
  <c r="D80" i="10"/>
  <c r="D82" i="10" s="1"/>
  <c r="D63" i="10"/>
  <c r="Q80" i="10"/>
  <c r="Q82" i="10" s="1"/>
  <c r="Q63" i="10"/>
  <c r="E36" i="7"/>
  <c r="E83" i="8"/>
  <c r="E31" i="7" s="1"/>
  <c r="D83" i="8"/>
  <c r="D36" i="7"/>
  <c r="M83" i="8"/>
  <c r="M31" i="7" s="1"/>
  <c r="M36" i="7"/>
  <c r="J36" i="7"/>
  <c r="J83" i="8"/>
  <c r="E69" i="10"/>
  <c r="B37" i="7"/>
  <c r="R37" i="7" s="1"/>
  <c r="R79" i="8"/>
  <c r="C71" i="10"/>
  <c r="C76" i="10" s="1"/>
  <c r="C57" i="10"/>
  <c r="C59" i="10" s="1"/>
  <c r="I57" i="10"/>
  <c r="I59" i="10" s="1"/>
  <c r="I71" i="10"/>
  <c r="I76" i="10" s="1"/>
  <c r="R52" i="10"/>
  <c r="B57" i="10"/>
  <c r="B59" i="10" s="1"/>
  <c r="B71" i="10"/>
  <c r="D57" i="10"/>
  <c r="D59" i="10" s="1"/>
  <c r="D71" i="10"/>
  <c r="R76" i="8"/>
  <c r="H80" i="10"/>
  <c r="H82" i="10" s="1"/>
  <c r="H63" i="10"/>
  <c r="M63" i="10"/>
  <c r="M80" i="10"/>
  <c r="M82" i="10" s="1"/>
  <c r="G63" i="10"/>
  <c r="G80" i="10"/>
  <c r="G82" i="10" s="1"/>
  <c r="F63" i="10"/>
  <c r="F80" i="10"/>
  <c r="F82" i="10" s="1"/>
  <c r="B81" i="10"/>
  <c r="R81" i="10" s="1"/>
  <c r="R62" i="10"/>
  <c r="C83" i="8"/>
  <c r="C31" i="7" s="1"/>
  <c r="C36" i="7"/>
  <c r="N83" i="8"/>
  <c r="N36" i="7"/>
  <c r="F83" i="8"/>
  <c r="F36" i="7"/>
  <c r="H36" i="7"/>
  <c r="H83" i="8"/>
  <c r="G28" i="7" l="1"/>
  <c r="G29" i="7" s="1"/>
  <c r="I41" i="7"/>
  <c r="I42" i="7" s="1"/>
  <c r="N64" i="10"/>
  <c r="F41" i="7"/>
  <c r="F42" i="7" s="1"/>
  <c r="C41" i="7"/>
  <c r="C34" i="7"/>
  <c r="E78" i="10"/>
  <c r="E83" i="10" s="1"/>
  <c r="E46" i="7" s="1"/>
  <c r="J64" i="10"/>
  <c r="D41" i="7"/>
  <c r="M34" i="7"/>
  <c r="M44" i="7" s="1"/>
  <c r="M64" i="10"/>
  <c r="P34" i="7"/>
  <c r="P44" i="7" s="1"/>
  <c r="H41" i="7"/>
  <c r="H42" i="7" s="1"/>
  <c r="D64" i="10"/>
  <c r="E85" i="8"/>
  <c r="E90" i="8" s="1"/>
  <c r="O64" i="10"/>
  <c r="G34" i="7"/>
  <c r="G44" i="7" s="1"/>
  <c r="Q85" i="8"/>
  <c r="Q90" i="8" s="1"/>
  <c r="J41" i="7"/>
  <c r="P41" i="7"/>
  <c r="N41" i="7"/>
  <c r="R63" i="10"/>
  <c r="I64" i="10"/>
  <c r="R89" i="8"/>
  <c r="H64" i="10"/>
  <c r="H78" i="10"/>
  <c r="H83" i="10" s="1"/>
  <c r="H46" i="7" s="1"/>
  <c r="K41" i="7"/>
  <c r="Q34" i="7"/>
  <c r="Q44" i="7" s="1"/>
  <c r="G76" i="10"/>
  <c r="G78" i="10" s="1"/>
  <c r="G83" i="10" s="1"/>
  <c r="G46" i="7" s="1"/>
  <c r="F31" i="7"/>
  <c r="F34" i="7" s="1"/>
  <c r="F44" i="7" s="1"/>
  <c r="R36" i="7"/>
  <c r="B41" i="7"/>
  <c r="M76" i="10"/>
  <c r="M78" i="10" s="1"/>
  <c r="M83" i="10" s="1"/>
  <c r="M46" i="7" s="1"/>
  <c r="M85" i="8"/>
  <c r="M90" i="8" s="1"/>
  <c r="O31" i="7"/>
  <c r="O34" i="7" s="1"/>
  <c r="O44" i="7" s="1"/>
  <c r="O85" i="8"/>
  <c r="O90" i="8" s="1"/>
  <c r="G85" i="8"/>
  <c r="G90" i="8" s="1"/>
  <c r="I78" i="10"/>
  <c r="I83" i="10" s="1"/>
  <c r="I46" i="7" s="1"/>
  <c r="C78" i="10"/>
  <c r="C83" i="10" s="1"/>
  <c r="C46" i="7" s="1"/>
  <c r="N78" i="10"/>
  <c r="N83" i="10" s="1"/>
  <c r="N46" i="7" s="1"/>
  <c r="J31" i="7"/>
  <c r="J34" i="7" s="1"/>
  <c r="J44" i="7" s="1"/>
  <c r="J85" i="8"/>
  <c r="J90" i="8" s="1"/>
  <c r="D31" i="7"/>
  <c r="D34" i="7" s="1"/>
  <c r="D85" i="8"/>
  <c r="D90" i="8" s="1"/>
  <c r="G64" i="10"/>
  <c r="O76" i="10"/>
  <c r="O78" i="10" s="1"/>
  <c r="O83" i="10" s="1"/>
  <c r="O46" i="7" s="1"/>
  <c r="H31" i="7"/>
  <c r="H34" i="7" s="1"/>
  <c r="H44" i="7" s="1"/>
  <c r="H85" i="8"/>
  <c r="H90" i="8" s="1"/>
  <c r="D76" i="10"/>
  <c r="D78" i="10" s="1"/>
  <c r="D83" i="10" s="1"/>
  <c r="D46" i="7" s="1"/>
  <c r="R57" i="10"/>
  <c r="M41" i="7"/>
  <c r="E34" i="7"/>
  <c r="E44" i="7" s="1"/>
  <c r="P64" i="10"/>
  <c r="Q64" i="10"/>
  <c r="L41" i="7"/>
  <c r="R83" i="8"/>
  <c r="R33" i="7"/>
  <c r="R69" i="10"/>
  <c r="B85" i="8"/>
  <c r="B90" i="8" s="1"/>
  <c r="O41" i="7"/>
  <c r="I31" i="7"/>
  <c r="I34" i="7" s="1"/>
  <c r="I44" i="7" s="1"/>
  <c r="I85" i="8"/>
  <c r="I90" i="8" s="1"/>
  <c r="E64" i="10"/>
  <c r="K64" i="10"/>
  <c r="L78" i="10"/>
  <c r="L83" i="10" s="1"/>
  <c r="L46" i="7" s="1"/>
  <c r="N31" i="7"/>
  <c r="N34" i="7" s="1"/>
  <c r="N44" i="7" s="1"/>
  <c r="N85" i="8"/>
  <c r="N90" i="8" s="1"/>
  <c r="E41" i="7"/>
  <c r="E43" i="7" s="1"/>
  <c r="L34" i="7"/>
  <c r="L44" i="7" s="1"/>
  <c r="G41" i="7"/>
  <c r="G43" i="7" s="1"/>
  <c r="B82" i="10"/>
  <c r="R80" i="10"/>
  <c r="R82" i="10" s="1"/>
  <c r="F76" i="10"/>
  <c r="F78" i="10" s="1"/>
  <c r="F83" i="10" s="1"/>
  <c r="F46" i="7" s="1"/>
  <c r="J76" i="10"/>
  <c r="J78" i="10" s="1"/>
  <c r="J83" i="10" s="1"/>
  <c r="J46" i="7" s="1"/>
  <c r="R40" i="7"/>
  <c r="C85" i="8"/>
  <c r="C90" i="8" s="1"/>
  <c r="C64" i="10"/>
  <c r="H28" i="7"/>
  <c r="H29" i="7" s="1"/>
  <c r="P85" i="8"/>
  <c r="P90" i="8" s="1"/>
  <c r="F28" i="7"/>
  <c r="F29" i="7" s="1"/>
  <c r="B64" i="10"/>
  <c r="P78" i="10"/>
  <c r="P83" i="10" s="1"/>
  <c r="P46" i="7" s="1"/>
  <c r="B76" i="10"/>
  <c r="B78" i="10" s="1"/>
  <c r="R71" i="10"/>
  <c r="R76" i="10" s="1"/>
  <c r="B34" i="7"/>
  <c r="F85" i="8"/>
  <c r="F90" i="8" s="1"/>
  <c r="F59" i="10"/>
  <c r="F64" i="10" s="1"/>
  <c r="Q78" i="10"/>
  <c r="Q83" i="10" s="1"/>
  <c r="Q46" i="7" s="1"/>
  <c r="L85" i="8"/>
  <c r="L90" i="8" s="1"/>
  <c r="K31" i="7"/>
  <c r="K34" i="7" s="1"/>
  <c r="K44" i="7" s="1"/>
  <c r="K85" i="8"/>
  <c r="K90" i="8" s="1"/>
  <c r="Q41" i="7"/>
  <c r="Q42" i="7" s="1"/>
  <c r="L59" i="10"/>
  <c r="L64" i="10" s="1"/>
  <c r="K78" i="10"/>
  <c r="K83" i="10" s="1"/>
  <c r="K46" i="7" s="1"/>
  <c r="F43" i="7" l="1"/>
  <c r="H43" i="7"/>
  <c r="R42" i="7"/>
  <c r="H19" i="6" s="1"/>
  <c r="H71" i="29" s="1"/>
  <c r="R29" i="7"/>
  <c r="I16" i="6" s="1"/>
  <c r="I116" i="15" s="1"/>
  <c r="B83" i="10"/>
  <c r="B46" i="7" s="1"/>
  <c r="R46" i="7" s="1"/>
  <c r="D44" i="7"/>
  <c r="R44" i="7" s="1"/>
  <c r="P21" i="6" s="1"/>
  <c r="P70" i="29" s="1"/>
  <c r="R41" i="7"/>
  <c r="B18" i="6" s="1"/>
  <c r="R78" i="10"/>
  <c r="R83" i="10" s="1"/>
  <c r="R31" i="7"/>
  <c r="R59" i="10"/>
  <c r="R64" i="10" s="1"/>
  <c r="B88" i="10" s="1"/>
  <c r="C88" i="10" s="1"/>
  <c r="R34" i="7"/>
  <c r="B17" i="6" s="1"/>
  <c r="R85" i="8"/>
  <c r="R90" i="8" s="1"/>
  <c r="R43" i="7" l="1"/>
  <c r="I20" i="6" s="1"/>
  <c r="I100" i="9" s="1"/>
  <c r="F19" i="6"/>
  <c r="F71" i="29" s="1"/>
  <c r="H117" i="15"/>
  <c r="E19" i="6"/>
  <c r="E43" i="12" s="1"/>
  <c r="K19" i="6"/>
  <c r="K71" i="29" s="1"/>
  <c r="L19" i="6"/>
  <c r="L75" i="16" s="1"/>
  <c r="I19" i="6"/>
  <c r="I99" i="9" s="1"/>
  <c r="P19" i="6"/>
  <c r="P43" i="12" s="1"/>
  <c r="G19" i="6"/>
  <c r="G117" i="15" s="1"/>
  <c r="H43" i="12"/>
  <c r="H75" i="16"/>
  <c r="Q19" i="6"/>
  <c r="Q99" i="9" s="1"/>
  <c r="C19" i="6"/>
  <c r="C43" i="12" s="1"/>
  <c r="J19" i="6"/>
  <c r="J43" i="12" s="1"/>
  <c r="E18" i="6"/>
  <c r="E76" i="28" s="1"/>
  <c r="F21" i="6"/>
  <c r="F70" i="29" s="1"/>
  <c r="M16" i="6"/>
  <c r="M116" i="15" s="1"/>
  <c r="N16" i="6"/>
  <c r="N116" i="15" s="1"/>
  <c r="J16" i="6"/>
  <c r="J116" i="15" s="1"/>
  <c r="Q21" i="6"/>
  <c r="Q70" i="29" s="1"/>
  <c r="P115" i="15"/>
  <c r="L16" i="6"/>
  <c r="L116" i="15" s="1"/>
  <c r="D16" i="6"/>
  <c r="D116" i="15" s="1"/>
  <c r="M21" i="6"/>
  <c r="M115" i="15" s="1"/>
  <c r="B19" i="6"/>
  <c r="B71" i="29" s="1"/>
  <c r="D19" i="6"/>
  <c r="D75" i="16" s="1"/>
  <c r="H99" i="9"/>
  <c r="G16" i="6"/>
  <c r="G116" i="15" s="1"/>
  <c r="K16" i="6"/>
  <c r="K116" i="15" s="1"/>
  <c r="C16" i="6"/>
  <c r="C116" i="15" s="1"/>
  <c r="E21" i="6"/>
  <c r="E115" i="15" s="1"/>
  <c r="G21" i="6"/>
  <c r="G70" i="29" s="1"/>
  <c r="N19" i="6"/>
  <c r="N99" i="9" s="1"/>
  <c r="M19" i="6"/>
  <c r="M71" i="29" s="1"/>
  <c r="O19" i="6"/>
  <c r="O75" i="16" s="1"/>
  <c r="O16" i="6"/>
  <c r="O116" i="15" s="1"/>
  <c r="E16" i="6"/>
  <c r="E116" i="15" s="1"/>
  <c r="B16" i="6"/>
  <c r="B116" i="15" s="1"/>
  <c r="F16" i="6"/>
  <c r="F116" i="15" s="1"/>
  <c r="H16" i="6"/>
  <c r="H116" i="15" s="1"/>
  <c r="P16" i="6"/>
  <c r="P116" i="15" s="1"/>
  <c r="Q16" i="6"/>
  <c r="Q116" i="15" s="1"/>
  <c r="H21" i="6"/>
  <c r="H115" i="15" s="1"/>
  <c r="K21" i="6"/>
  <c r="K74" i="16" s="1"/>
  <c r="P74" i="16"/>
  <c r="D21" i="6"/>
  <c r="D74" i="16" s="1"/>
  <c r="L21" i="6"/>
  <c r="L115" i="15" s="1"/>
  <c r="O21" i="6"/>
  <c r="O74" i="16" s="1"/>
  <c r="B21" i="6"/>
  <c r="B70" i="29" s="1"/>
  <c r="J21" i="6"/>
  <c r="J70" i="29" s="1"/>
  <c r="I21" i="6"/>
  <c r="I74" i="16" s="1"/>
  <c r="N21" i="6"/>
  <c r="N70" i="29" s="1"/>
  <c r="C21" i="6"/>
  <c r="C74" i="16" s="1"/>
  <c r="F17" i="6"/>
  <c r="F75" i="28" s="1"/>
  <c r="D17" i="6"/>
  <c r="D75" i="28" s="1"/>
  <c r="B90" i="10"/>
  <c r="C90" i="10" s="1"/>
  <c r="B75" i="28"/>
  <c r="K18" i="6"/>
  <c r="D18" i="6"/>
  <c r="Q18" i="6"/>
  <c r="H18" i="6"/>
  <c r="P18" i="6"/>
  <c r="L18" i="6"/>
  <c r="M18" i="6"/>
  <c r="C18" i="6"/>
  <c r="J18" i="6"/>
  <c r="I18" i="6"/>
  <c r="N18" i="6"/>
  <c r="F18" i="6"/>
  <c r="O18" i="6"/>
  <c r="G18" i="6"/>
  <c r="C17" i="6"/>
  <c r="C75" i="28" s="1"/>
  <c r="Q17" i="6"/>
  <c r="Q75" i="28" s="1"/>
  <c r="E17" i="6"/>
  <c r="E75" i="28" s="1"/>
  <c r="P17" i="6"/>
  <c r="P75" i="28" s="1"/>
  <c r="I17" i="6"/>
  <c r="I75" i="28" s="1"/>
  <c r="L17" i="6"/>
  <c r="L75" i="28" s="1"/>
  <c r="J17" i="6"/>
  <c r="J75" i="28" s="1"/>
  <c r="O17" i="6"/>
  <c r="O75" i="28" s="1"/>
  <c r="M17" i="6"/>
  <c r="M75" i="28" s="1"/>
  <c r="H17" i="6"/>
  <c r="H75" i="28" s="1"/>
  <c r="K17" i="6"/>
  <c r="K75" i="28" s="1"/>
  <c r="G17" i="6"/>
  <c r="G75" i="28" s="1"/>
  <c r="N17" i="6"/>
  <c r="N75" i="28" s="1"/>
  <c r="B76" i="28"/>
  <c r="B25" i="28"/>
  <c r="G23" i="6"/>
  <c r="L23" i="6"/>
  <c r="Q23" i="6"/>
  <c r="K23" i="6"/>
  <c r="C23" i="6"/>
  <c r="F23" i="6"/>
  <c r="H23" i="6"/>
  <c r="J23" i="6"/>
  <c r="I23" i="6"/>
  <c r="N23" i="6"/>
  <c r="D23" i="6"/>
  <c r="E23" i="6"/>
  <c r="O23" i="6"/>
  <c r="M23" i="6"/>
  <c r="P23" i="6"/>
  <c r="B23" i="6"/>
  <c r="E71" i="29" l="1"/>
  <c r="F117" i="15"/>
  <c r="F99" i="9"/>
  <c r="F43" i="12"/>
  <c r="F75" i="16"/>
  <c r="L71" i="29"/>
  <c r="N20" i="6"/>
  <c r="N49" i="8" s="1"/>
  <c r="B20" i="6"/>
  <c r="B49" i="8" s="1"/>
  <c r="O20" i="6"/>
  <c r="O76" i="16" s="1"/>
  <c r="L20" i="6"/>
  <c r="L44" i="12" s="1"/>
  <c r="K20" i="6"/>
  <c r="K44" i="12" s="1"/>
  <c r="M20" i="6"/>
  <c r="M100" i="9" s="1"/>
  <c r="C20" i="6"/>
  <c r="C100" i="9" s="1"/>
  <c r="H20" i="6"/>
  <c r="H100" i="9" s="1"/>
  <c r="F20" i="6"/>
  <c r="F44" i="12" s="1"/>
  <c r="P20" i="6"/>
  <c r="P100" i="9" s="1"/>
  <c r="Q20" i="6"/>
  <c r="Q100" i="9" s="1"/>
  <c r="L99" i="9"/>
  <c r="L117" i="15"/>
  <c r="D20" i="6"/>
  <c r="D44" i="12" s="1"/>
  <c r="L43" i="12"/>
  <c r="I75" i="16"/>
  <c r="E20" i="6"/>
  <c r="E76" i="16" s="1"/>
  <c r="E25" i="28"/>
  <c r="D99" i="9"/>
  <c r="J20" i="6"/>
  <c r="J118" i="15" s="1"/>
  <c r="G20" i="6"/>
  <c r="G76" i="16" s="1"/>
  <c r="J75" i="16"/>
  <c r="J117" i="15"/>
  <c r="J71" i="29"/>
  <c r="J99" i="9"/>
  <c r="P75" i="16"/>
  <c r="L74" i="16"/>
  <c r="E117" i="15"/>
  <c r="Q75" i="16"/>
  <c r="P117" i="15"/>
  <c r="I76" i="16"/>
  <c r="I49" i="8"/>
  <c r="H70" i="29"/>
  <c r="E75" i="16"/>
  <c r="Q117" i="15"/>
  <c r="I118" i="15"/>
  <c r="Q43" i="12"/>
  <c r="P71" i="29"/>
  <c r="E99" i="9"/>
  <c r="I72" i="29"/>
  <c r="I44" i="12"/>
  <c r="Q71" i="29"/>
  <c r="P99" i="9"/>
  <c r="C99" i="9"/>
  <c r="I71" i="29"/>
  <c r="I43" i="12"/>
  <c r="I117" i="15"/>
  <c r="D71" i="29"/>
  <c r="K115" i="15"/>
  <c r="K117" i="15"/>
  <c r="F115" i="15"/>
  <c r="K43" i="12"/>
  <c r="G43" i="12"/>
  <c r="M70" i="29"/>
  <c r="C71" i="29"/>
  <c r="K70" i="29"/>
  <c r="F74" i="16"/>
  <c r="G75" i="16"/>
  <c r="K75" i="16"/>
  <c r="G74" i="16"/>
  <c r="C117" i="15"/>
  <c r="G71" i="29"/>
  <c r="K99" i="9"/>
  <c r="C75" i="16"/>
  <c r="G99" i="9"/>
  <c r="G115" i="15"/>
  <c r="M74" i="16"/>
  <c r="I115" i="15"/>
  <c r="N74" i="16"/>
  <c r="M117" i="15"/>
  <c r="B43" i="12"/>
  <c r="R19" i="6"/>
  <c r="B99" i="9"/>
  <c r="O71" i="29"/>
  <c r="N117" i="15"/>
  <c r="M99" i="9"/>
  <c r="O70" i="29"/>
  <c r="M43" i="12"/>
  <c r="D43" i="12"/>
  <c r="H74" i="16"/>
  <c r="L70" i="29"/>
  <c r="I70" i="29"/>
  <c r="E70" i="29"/>
  <c r="O43" i="12"/>
  <c r="M75" i="16"/>
  <c r="E74" i="16"/>
  <c r="O99" i="9"/>
  <c r="D117" i="15"/>
  <c r="O117" i="15"/>
  <c r="C115" i="15"/>
  <c r="Q115" i="15"/>
  <c r="N43" i="12"/>
  <c r="N115" i="15"/>
  <c r="O115" i="15"/>
  <c r="Q74" i="16"/>
  <c r="B115" i="15"/>
  <c r="N71" i="29"/>
  <c r="B75" i="16"/>
  <c r="C70" i="29"/>
  <c r="N75" i="16"/>
  <c r="B74" i="16"/>
  <c r="B117" i="15"/>
  <c r="R116" i="15"/>
  <c r="D70" i="29"/>
  <c r="J115" i="15"/>
  <c r="R16" i="6"/>
  <c r="J74" i="16"/>
  <c r="R21" i="6"/>
  <c r="D115" i="15"/>
  <c r="I25" i="28"/>
  <c r="I76" i="28"/>
  <c r="O25" i="28"/>
  <c r="O76" i="28"/>
  <c r="J76" i="28"/>
  <c r="J25" i="28"/>
  <c r="P76" i="28"/>
  <c r="P25" i="28"/>
  <c r="K25" i="28"/>
  <c r="K76" i="28"/>
  <c r="R17" i="6"/>
  <c r="N25" i="28"/>
  <c r="N76" i="28"/>
  <c r="M76" i="28"/>
  <c r="M25" i="28"/>
  <c r="Q25" i="28"/>
  <c r="Q76" i="28"/>
  <c r="G25" i="28"/>
  <c r="G76" i="28"/>
  <c r="L25" i="28"/>
  <c r="L76" i="28"/>
  <c r="D76" i="28"/>
  <c r="D25" i="28"/>
  <c r="F25" i="28"/>
  <c r="F76" i="28"/>
  <c r="C25" i="28"/>
  <c r="R18" i="6"/>
  <c r="C76" i="28"/>
  <c r="H25" i="28"/>
  <c r="H76" i="28"/>
  <c r="R75" i="28"/>
  <c r="N48" i="12"/>
  <c r="N104" i="9"/>
  <c r="F48" i="12"/>
  <c r="F104" i="9"/>
  <c r="L104" i="9"/>
  <c r="L48" i="12"/>
  <c r="R23" i="6"/>
  <c r="B104" i="9"/>
  <c r="B48" i="12"/>
  <c r="I48" i="12"/>
  <c r="I104" i="9"/>
  <c r="G48" i="12"/>
  <c r="G104" i="9"/>
  <c r="M104" i="9"/>
  <c r="M48" i="12"/>
  <c r="O48" i="12"/>
  <c r="O104" i="9"/>
  <c r="C48" i="12"/>
  <c r="C104" i="9"/>
  <c r="E48" i="12"/>
  <c r="E104" i="9"/>
  <c r="J48" i="12"/>
  <c r="J104" i="9"/>
  <c r="K48" i="12"/>
  <c r="K104" i="9"/>
  <c r="P104" i="9"/>
  <c r="P48" i="12"/>
  <c r="D48" i="12"/>
  <c r="D104" i="9"/>
  <c r="H104" i="9"/>
  <c r="H48" i="12"/>
  <c r="Q48" i="12"/>
  <c r="Q104" i="9"/>
  <c r="B44" i="12" l="1"/>
  <c r="N76" i="16"/>
  <c r="B72" i="29"/>
  <c r="B118" i="15"/>
  <c r="L118" i="15"/>
  <c r="O49" i="8"/>
  <c r="L72" i="29"/>
  <c r="N100" i="9"/>
  <c r="L76" i="16"/>
  <c r="O100" i="9"/>
  <c r="N118" i="15"/>
  <c r="N44" i="12"/>
  <c r="N72" i="29"/>
  <c r="O72" i="29"/>
  <c r="B100" i="9"/>
  <c r="L100" i="9"/>
  <c r="O118" i="15"/>
  <c r="K100" i="9"/>
  <c r="K72" i="29"/>
  <c r="K76" i="16"/>
  <c r="K49" i="8"/>
  <c r="B76" i="16"/>
  <c r="M118" i="15"/>
  <c r="L49" i="8"/>
  <c r="F100" i="9"/>
  <c r="K118" i="15"/>
  <c r="P44" i="12"/>
  <c r="P76" i="16"/>
  <c r="F118" i="15"/>
  <c r="C72" i="29"/>
  <c r="C49" i="8"/>
  <c r="H118" i="15"/>
  <c r="C76" i="16"/>
  <c r="C118" i="15"/>
  <c r="C44" i="12"/>
  <c r="D49" i="8"/>
  <c r="D100" i="9"/>
  <c r="P72" i="29"/>
  <c r="F76" i="16"/>
  <c r="O44" i="12"/>
  <c r="D72" i="29"/>
  <c r="D76" i="16"/>
  <c r="H76" i="16"/>
  <c r="H49" i="8"/>
  <c r="H44" i="12"/>
  <c r="D118" i="15"/>
  <c r="H72" i="29"/>
  <c r="Q72" i="29"/>
  <c r="Q44" i="12"/>
  <c r="Q76" i="16"/>
  <c r="P49" i="8"/>
  <c r="M76" i="16"/>
  <c r="F72" i="29"/>
  <c r="P118" i="15"/>
  <c r="M72" i="29"/>
  <c r="M49" i="8"/>
  <c r="Q118" i="15"/>
  <c r="Q49" i="8"/>
  <c r="F49" i="8"/>
  <c r="M44" i="12"/>
  <c r="E100" i="9"/>
  <c r="E118" i="15"/>
  <c r="J49" i="8"/>
  <c r="G72" i="29"/>
  <c r="G118" i="15"/>
  <c r="R20" i="6"/>
  <c r="G49" i="8"/>
  <c r="G44" i="12"/>
  <c r="E44" i="12"/>
  <c r="G100" i="9"/>
  <c r="E72" i="29"/>
  <c r="J76" i="16"/>
  <c r="J72" i="29"/>
  <c r="E49" i="8"/>
  <c r="J100" i="9"/>
  <c r="J44" i="12"/>
  <c r="R117" i="15"/>
  <c r="R74" i="16"/>
  <c r="R99" i="9"/>
  <c r="R75" i="16"/>
  <c r="R43" i="12"/>
  <c r="R115" i="15"/>
  <c r="R71" i="29"/>
  <c r="R70" i="29"/>
  <c r="R25" i="28"/>
  <c r="R76" i="28"/>
  <c r="R48" i="12"/>
  <c r="R104" i="9"/>
  <c r="B101" i="16" l="1" a="1"/>
  <c r="B101" i="16" s="1"/>
  <c r="B166" i="16" s="1"/>
  <c r="C101" i="16"/>
  <c r="C166" i="16" s="1"/>
  <c r="N101" i="16"/>
  <c r="N166" i="16" s="1"/>
  <c r="M101" i="16"/>
  <c r="M166" i="16" s="1"/>
  <c r="G101" i="16"/>
  <c r="G166" i="16" s="1"/>
  <c r="D101" i="16"/>
  <c r="D166" i="16" s="1"/>
  <c r="O101" i="16"/>
  <c r="O166" i="16" s="1"/>
  <c r="H101" i="16"/>
  <c r="H166" i="16" s="1"/>
  <c r="F101" i="16"/>
  <c r="F166" i="16" s="1"/>
  <c r="Q101" i="16"/>
  <c r="Q166" i="16" s="1"/>
  <c r="I101" i="16"/>
  <c r="I166" i="16" s="1"/>
  <c r="B93" i="16" a="1"/>
  <c r="B93" i="16" s="1"/>
  <c r="B158" i="16" s="1"/>
  <c r="E93" i="16"/>
  <c r="E158" i="16" s="1"/>
  <c r="B89" i="16" a="1"/>
  <c r="B82" i="16" a="1"/>
  <c r="B83" i="16" a="1"/>
  <c r="B87" i="16" a="1"/>
  <c r="F87" i="16" s="1"/>
  <c r="B86" i="16" a="1"/>
  <c r="H86" i="16" s="1"/>
  <c r="B85" i="16" a="1"/>
  <c r="B88" i="16" a="1"/>
  <c r="R49" i="8"/>
  <c r="R118" i="15"/>
  <c r="R44" i="12"/>
  <c r="R100" i="9"/>
  <c r="B92" i="16" a="1"/>
  <c r="I92" i="16" s="1"/>
  <c r="I157" i="16" s="1"/>
  <c r="B102" i="16" a="1"/>
  <c r="I102" i="16" s="1"/>
  <c r="I167" i="16" s="1"/>
  <c r="B101" i="29" a="1"/>
  <c r="Q101" i="29" s="1"/>
  <c r="B99" i="16" a="1"/>
  <c r="N99" i="16" s="1"/>
  <c r="N164" i="16" s="1"/>
  <c r="B80" i="29" a="1"/>
  <c r="J80" i="29" s="1"/>
  <c r="B99" i="29" a="1"/>
  <c r="D99" i="29" s="1"/>
  <c r="R72" i="29"/>
  <c r="B105" i="16" a="1"/>
  <c r="D105" i="16" s="1"/>
  <c r="D170" i="16" s="1"/>
  <c r="B109" i="16" a="1"/>
  <c r="I109" i="16" s="1"/>
  <c r="I174" i="16" s="1"/>
  <c r="B100" i="16" a="1"/>
  <c r="L100" i="16" s="1"/>
  <c r="L165" i="16" s="1"/>
  <c r="B95" i="29" a="1"/>
  <c r="Q95" i="29" s="1"/>
  <c r="B108" i="16" a="1"/>
  <c r="Q108" i="16" s="1"/>
  <c r="Q173" i="16" s="1"/>
  <c r="B94" i="29" a="1"/>
  <c r="J94" i="29" s="1"/>
  <c r="B106" i="16" a="1"/>
  <c r="P106" i="16" s="1"/>
  <c r="P171" i="16" s="1"/>
  <c r="B98" i="29" a="1"/>
  <c r="O98" i="29" s="1"/>
  <c r="B102" i="29" a="1"/>
  <c r="L102" i="29" s="1"/>
  <c r="B92" i="29" a="1"/>
  <c r="L92" i="29" s="1"/>
  <c r="B78" i="29" a="1"/>
  <c r="N78" i="29" s="1"/>
  <c r="B77" i="29" a="1"/>
  <c r="B77" i="29" s="1"/>
  <c r="B93" i="29" a="1"/>
  <c r="O93" i="29" s="1"/>
  <c r="R76" i="16"/>
  <c r="B82" i="29" a="1"/>
  <c r="J82" i="29" s="1"/>
  <c r="B98" i="16" a="1"/>
  <c r="F98" i="16" s="1"/>
  <c r="F163" i="16" s="1"/>
  <c r="B87" i="29" a="1"/>
  <c r="M87" i="29" s="1"/>
  <c r="B94" i="16" a="1"/>
  <c r="L94" i="16" s="1"/>
  <c r="L159" i="16" s="1"/>
  <c r="B88" i="29" a="1"/>
  <c r="K88" i="29" s="1"/>
  <c r="B83" i="29" a="1"/>
  <c r="P83" i="29" s="1"/>
  <c r="B81" i="29" a="1"/>
  <c r="P81" i="29" s="1"/>
  <c r="B84" i="29" a="1"/>
  <c r="M84" i="29" s="1"/>
  <c r="H93" i="16" l="1"/>
  <c r="H158" i="16" s="1"/>
  <c r="F93" i="16"/>
  <c r="F158" i="16" s="1"/>
  <c r="J101" i="16"/>
  <c r="J166" i="16" s="1"/>
  <c r="G93" i="16"/>
  <c r="G158" i="16" s="1"/>
  <c r="L101" i="16"/>
  <c r="L166" i="16" s="1"/>
  <c r="K93" i="16"/>
  <c r="K158" i="16" s="1"/>
  <c r="P101" i="16"/>
  <c r="P166" i="16" s="1"/>
  <c r="M93" i="16"/>
  <c r="M158" i="16" s="1"/>
  <c r="E101" i="16"/>
  <c r="E166" i="16" s="1"/>
  <c r="K101" i="16"/>
  <c r="L93" i="16"/>
  <c r="L158" i="16" s="1"/>
  <c r="J93" i="16"/>
  <c r="J158" i="16" s="1"/>
  <c r="C93" i="16"/>
  <c r="C158" i="16" s="1"/>
  <c r="Q93" i="16"/>
  <c r="Q158" i="16" s="1"/>
  <c r="D93" i="16"/>
  <c r="D158" i="16" s="1"/>
  <c r="P93" i="16"/>
  <c r="P158" i="16" s="1"/>
  <c r="O93" i="16"/>
  <c r="O158" i="16" s="1"/>
  <c r="N93" i="16"/>
  <c r="N158" i="16" s="1"/>
  <c r="I93" i="16"/>
  <c r="I158" i="16" s="1"/>
  <c r="B89" i="16"/>
  <c r="P89" i="16"/>
  <c r="D89" i="16"/>
  <c r="Q89" i="16"/>
  <c r="E89" i="16"/>
  <c r="F89" i="16"/>
  <c r="G89" i="16"/>
  <c r="H89" i="16"/>
  <c r="I89" i="16"/>
  <c r="J89" i="16"/>
  <c r="K89" i="16"/>
  <c r="L89" i="16"/>
  <c r="M89" i="16"/>
  <c r="N89" i="16"/>
  <c r="O89" i="16"/>
  <c r="C89" i="16"/>
  <c r="B82" i="16"/>
  <c r="P82" i="16"/>
  <c r="J82" i="16"/>
  <c r="M82" i="16"/>
  <c r="C82" i="16"/>
  <c r="Q82" i="16"/>
  <c r="F82" i="16"/>
  <c r="H82" i="16"/>
  <c r="L82" i="16"/>
  <c r="O82" i="16"/>
  <c r="D82" i="16"/>
  <c r="E82" i="16"/>
  <c r="G82" i="16"/>
  <c r="I82" i="16"/>
  <c r="K82" i="16"/>
  <c r="N82" i="16"/>
  <c r="E87" i="16"/>
  <c r="I86" i="16"/>
  <c r="O83" i="16"/>
  <c r="B83" i="16"/>
  <c r="P83" i="16"/>
  <c r="C83" i="16"/>
  <c r="D83" i="16"/>
  <c r="Q83" i="16"/>
  <c r="E83" i="16"/>
  <c r="F83" i="16"/>
  <c r="G83" i="16"/>
  <c r="H83" i="16"/>
  <c r="I83" i="16"/>
  <c r="J83" i="16"/>
  <c r="K83" i="16"/>
  <c r="L83" i="16"/>
  <c r="M83" i="16"/>
  <c r="N83" i="16"/>
  <c r="G87" i="16"/>
  <c r="K87" i="16"/>
  <c r="J87" i="16"/>
  <c r="I87" i="16"/>
  <c r="C87" i="16"/>
  <c r="D86" i="16"/>
  <c r="D87" i="16"/>
  <c r="C86" i="16"/>
  <c r="Q87" i="16"/>
  <c r="B87" i="16"/>
  <c r="K86" i="16"/>
  <c r="P87" i="16"/>
  <c r="J86" i="16"/>
  <c r="O87" i="16"/>
  <c r="P86" i="16"/>
  <c r="M87" i="16"/>
  <c r="N86" i="16"/>
  <c r="H87" i="16"/>
  <c r="N87" i="16"/>
  <c r="L87" i="16"/>
  <c r="O86" i="16"/>
  <c r="B86" i="16"/>
  <c r="L86" i="16"/>
  <c r="M86" i="16"/>
  <c r="G86" i="16"/>
  <c r="F86" i="16"/>
  <c r="Q86" i="16"/>
  <c r="E86" i="16"/>
  <c r="I85" i="16"/>
  <c r="D85" i="16"/>
  <c r="F85" i="16"/>
  <c r="C85" i="16"/>
  <c r="K85" i="16"/>
  <c r="M85" i="16"/>
  <c r="J85" i="16"/>
  <c r="N85" i="16"/>
  <c r="Q85" i="16"/>
  <c r="H85" i="16"/>
  <c r="P85" i="16"/>
  <c r="L85" i="16"/>
  <c r="G85" i="16"/>
  <c r="E85" i="16"/>
  <c r="B85" i="16"/>
  <c r="O85" i="16"/>
  <c r="O88" i="16"/>
  <c r="I88" i="16"/>
  <c r="D88" i="16"/>
  <c r="J88" i="16"/>
  <c r="K88" i="16"/>
  <c r="L88" i="16"/>
  <c r="Q88" i="16"/>
  <c r="E88" i="16"/>
  <c r="F88" i="16"/>
  <c r="G88" i="16"/>
  <c r="H88" i="16"/>
  <c r="M88" i="16"/>
  <c r="N88" i="16"/>
  <c r="B88" i="16"/>
  <c r="C88" i="16"/>
  <c r="P88" i="16"/>
  <c r="B101" i="29"/>
  <c r="F92" i="16"/>
  <c r="F157" i="16" s="1"/>
  <c r="E92" i="16"/>
  <c r="E157" i="16" s="1"/>
  <c r="M92" i="16"/>
  <c r="M157" i="16" s="1"/>
  <c r="G92" i="16"/>
  <c r="G157" i="16" s="1"/>
  <c r="F101" i="29"/>
  <c r="D101" i="29"/>
  <c r="D92" i="16"/>
  <c r="D157" i="16" s="1"/>
  <c r="K92" i="16"/>
  <c r="K157" i="16" s="1"/>
  <c r="H92" i="16"/>
  <c r="H157" i="16" s="1"/>
  <c r="J92" i="16"/>
  <c r="J157" i="16" s="1"/>
  <c r="O92" i="16"/>
  <c r="O157" i="16" s="1"/>
  <c r="N92" i="16"/>
  <c r="N157" i="16" s="1"/>
  <c r="M80" i="29"/>
  <c r="B80" i="29"/>
  <c r="B111" i="29" s="1"/>
  <c r="D80" i="29"/>
  <c r="H101" i="29"/>
  <c r="B99" i="29"/>
  <c r="E98" i="29"/>
  <c r="L92" i="16"/>
  <c r="L157" i="16" s="1"/>
  <c r="J101" i="29"/>
  <c r="K102" i="16"/>
  <c r="K167" i="16" s="1"/>
  <c r="D102" i="16"/>
  <c r="D167" i="16" s="1"/>
  <c r="K99" i="16"/>
  <c r="K164" i="16" s="1"/>
  <c r="P102" i="16"/>
  <c r="P167" i="16" s="1"/>
  <c r="F99" i="16"/>
  <c r="F164" i="16" s="1"/>
  <c r="Q102" i="16"/>
  <c r="Q167" i="16" s="1"/>
  <c r="D99" i="16"/>
  <c r="D164" i="16" s="1"/>
  <c r="H102" i="16"/>
  <c r="H167" i="16" s="1"/>
  <c r="B102" i="16"/>
  <c r="B167" i="16" s="1"/>
  <c r="C109" i="16"/>
  <c r="C174" i="16" s="1"/>
  <c r="J99" i="16"/>
  <c r="J164" i="16" s="1"/>
  <c r="G102" i="16"/>
  <c r="G167" i="16" s="1"/>
  <c r="L102" i="16"/>
  <c r="L167" i="16" s="1"/>
  <c r="C102" i="16"/>
  <c r="C167" i="16" s="1"/>
  <c r="C92" i="16"/>
  <c r="C157" i="16" s="1"/>
  <c r="P101" i="29"/>
  <c r="H99" i="29"/>
  <c r="I105" i="16"/>
  <c r="I170" i="16" s="1"/>
  <c r="C105" i="16"/>
  <c r="C170" i="16" s="1"/>
  <c r="C99" i="29"/>
  <c r="L99" i="29"/>
  <c r="E99" i="16"/>
  <c r="E164" i="16" s="1"/>
  <c r="L99" i="16"/>
  <c r="L164" i="16" s="1"/>
  <c r="G105" i="16"/>
  <c r="G170" i="16" s="1"/>
  <c r="F105" i="16"/>
  <c r="F170" i="16" s="1"/>
  <c r="P99" i="16"/>
  <c r="P164" i="16" s="1"/>
  <c r="B99" i="16"/>
  <c r="B164" i="16" s="1"/>
  <c r="G99" i="16"/>
  <c r="G164" i="16" s="1"/>
  <c r="C101" i="29"/>
  <c r="G109" i="16"/>
  <c r="G174" i="16" s="1"/>
  <c r="J102" i="16"/>
  <c r="J167" i="16" s="1"/>
  <c r="O102" i="16"/>
  <c r="O167" i="16" s="1"/>
  <c r="M101" i="29"/>
  <c r="O109" i="16"/>
  <c r="O174" i="16" s="1"/>
  <c r="F80" i="29"/>
  <c r="O99" i="16"/>
  <c r="O164" i="16" s="1"/>
  <c r="Q105" i="16"/>
  <c r="Q170" i="16" s="1"/>
  <c r="N80" i="29"/>
  <c r="L101" i="29"/>
  <c r="K105" i="16"/>
  <c r="K170" i="16" s="1"/>
  <c r="Q92" i="16"/>
  <c r="Q157" i="16" s="1"/>
  <c r="C80" i="29"/>
  <c r="O101" i="29"/>
  <c r="M105" i="16"/>
  <c r="M170" i="16" s="1"/>
  <c r="Q99" i="16"/>
  <c r="Q164" i="16" s="1"/>
  <c r="M99" i="16"/>
  <c r="M164" i="16" s="1"/>
  <c r="P92" i="16"/>
  <c r="G80" i="29"/>
  <c r="N101" i="29"/>
  <c r="Q100" i="16"/>
  <c r="Q165" i="16" s="1"/>
  <c r="B100" i="16"/>
  <c r="B165" i="16" s="1"/>
  <c r="J109" i="16"/>
  <c r="J174" i="16" s="1"/>
  <c r="E109" i="16"/>
  <c r="E174" i="16" s="1"/>
  <c r="H80" i="29"/>
  <c r="L80" i="29"/>
  <c r="N102" i="16"/>
  <c r="N167" i="16" s="1"/>
  <c r="M102" i="16"/>
  <c r="M167" i="16" s="1"/>
  <c r="E102" i="16"/>
  <c r="E167" i="16" s="1"/>
  <c r="I80" i="29"/>
  <c r="I101" i="29"/>
  <c r="I100" i="16"/>
  <c r="I165" i="16" s="1"/>
  <c r="D100" i="16"/>
  <c r="D165" i="16" s="1"/>
  <c r="O100" i="16"/>
  <c r="O165" i="16" s="1"/>
  <c r="J100" i="16"/>
  <c r="J165" i="16" s="1"/>
  <c r="P80" i="29"/>
  <c r="E80" i="29"/>
  <c r="M100" i="16"/>
  <c r="M165" i="16" s="1"/>
  <c r="Q80" i="29"/>
  <c r="B92" i="16"/>
  <c r="B157" i="16" s="1"/>
  <c r="D95" i="29"/>
  <c r="N105" i="16"/>
  <c r="N170" i="16" s="1"/>
  <c r="H100" i="16"/>
  <c r="H165" i="16" s="1"/>
  <c r="L105" i="16"/>
  <c r="C100" i="16"/>
  <c r="C165" i="16" s="1"/>
  <c r="K101" i="29"/>
  <c r="E101" i="29"/>
  <c r="N108" i="16"/>
  <c r="N173" i="16" s="1"/>
  <c r="C95" i="29"/>
  <c r="H105" i="16"/>
  <c r="H170" i="16" s="1"/>
  <c r="K109" i="16"/>
  <c r="K174" i="16" s="1"/>
  <c r="O105" i="16"/>
  <c r="O170" i="16" s="1"/>
  <c r="P109" i="16"/>
  <c r="P174" i="16" s="1"/>
  <c r="J105" i="16"/>
  <c r="J170" i="16" s="1"/>
  <c r="B105" i="16"/>
  <c r="B170" i="16" s="1"/>
  <c r="C99" i="16"/>
  <c r="C164" i="16" s="1"/>
  <c r="N109" i="16"/>
  <c r="N174" i="16" s="1"/>
  <c r="K80" i="29"/>
  <c r="E99" i="29"/>
  <c r="P105" i="16"/>
  <c r="P170" i="16" s="1"/>
  <c r="P169" i="16" s="1"/>
  <c r="H99" i="16"/>
  <c r="H164" i="16" s="1"/>
  <c r="F109" i="16"/>
  <c r="F174" i="16" s="1"/>
  <c r="I99" i="16"/>
  <c r="I164" i="16" s="1"/>
  <c r="F102" i="16"/>
  <c r="F167" i="16" s="1"/>
  <c r="O80" i="29"/>
  <c r="I99" i="29"/>
  <c r="G101" i="29"/>
  <c r="O106" i="16"/>
  <c r="O171" i="16" s="1"/>
  <c r="P94" i="29"/>
  <c r="F108" i="16"/>
  <c r="F173" i="16" s="1"/>
  <c r="C106" i="16"/>
  <c r="C171" i="16" s="1"/>
  <c r="B106" i="16"/>
  <c r="B171" i="16" s="1"/>
  <c r="L109" i="16"/>
  <c r="L174" i="16" s="1"/>
  <c r="D109" i="16"/>
  <c r="D174" i="16" s="1"/>
  <c r="Q106" i="16"/>
  <c r="Q171" i="16" s="1"/>
  <c r="C94" i="29"/>
  <c r="O98" i="16"/>
  <c r="O163" i="16" s="1"/>
  <c r="J106" i="16"/>
  <c r="J171" i="16" s="1"/>
  <c r="N94" i="29"/>
  <c r="Q98" i="16"/>
  <c r="Q163" i="16" s="1"/>
  <c r="I106" i="16"/>
  <c r="I171" i="16" s="1"/>
  <c r="J98" i="16"/>
  <c r="J163" i="16" s="1"/>
  <c r="F106" i="16"/>
  <c r="F171" i="16" s="1"/>
  <c r="L106" i="16"/>
  <c r="L171" i="16" s="1"/>
  <c r="K106" i="16"/>
  <c r="K171" i="16" s="1"/>
  <c r="K98" i="16"/>
  <c r="K163" i="16" s="1"/>
  <c r="D108" i="16"/>
  <c r="D173" i="16" s="1"/>
  <c r="H109" i="16"/>
  <c r="H174" i="16" s="1"/>
  <c r="E106" i="16"/>
  <c r="E171" i="16" s="1"/>
  <c r="I108" i="16"/>
  <c r="I173" i="16" s="1"/>
  <c r="M109" i="16"/>
  <c r="M174" i="16" s="1"/>
  <c r="D106" i="16"/>
  <c r="D171" i="16" s="1"/>
  <c r="D169" i="16" s="1"/>
  <c r="M106" i="16"/>
  <c r="M171" i="16" s="1"/>
  <c r="N106" i="16"/>
  <c r="N171" i="16" s="1"/>
  <c r="H108" i="16"/>
  <c r="H173" i="16" s="1"/>
  <c r="O108" i="16"/>
  <c r="O173" i="16" s="1"/>
  <c r="E95" i="29"/>
  <c r="L95" i="29"/>
  <c r="J99" i="29"/>
  <c r="K95" i="29"/>
  <c r="N99" i="29"/>
  <c r="I95" i="29"/>
  <c r="P99" i="29"/>
  <c r="K100" i="16"/>
  <c r="K165" i="16" s="1"/>
  <c r="P100" i="16"/>
  <c r="P165" i="16" s="1"/>
  <c r="N100" i="16"/>
  <c r="N165" i="16" s="1"/>
  <c r="M99" i="29"/>
  <c r="E105" i="16"/>
  <c r="E170" i="16" s="1"/>
  <c r="F100" i="16"/>
  <c r="F165" i="16" s="1"/>
  <c r="E100" i="16"/>
  <c r="E165" i="16" s="1"/>
  <c r="B109" i="16"/>
  <c r="B174" i="16" s="1"/>
  <c r="G106" i="16"/>
  <c r="G171" i="16" s="1"/>
  <c r="L94" i="29"/>
  <c r="L98" i="29"/>
  <c r="H77" i="29"/>
  <c r="B98" i="29"/>
  <c r="F92" i="29"/>
  <c r="D98" i="29"/>
  <c r="O95" i="29"/>
  <c r="J92" i="29"/>
  <c r="K78" i="29"/>
  <c r="C92" i="29"/>
  <c r="P98" i="29"/>
  <c r="B95" i="29"/>
  <c r="F95" i="29"/>
  <c r="P82" i="29"/>
  <c r="J95" i="29"/>
  <c r="H95" i="29"/>
  <c r="N95" i="29"/>
  <c r="E82" i="29"/>
  <c r="P95" i="29"/>
  <c r="Q109" i="16"/>
  <c r="Q174" i="16" s="1"/>
  <c r="H106" i="16"/>
  <c r="H171" i="16" s="1"/>
  <c r="G100" i="16"/>
  <c r="G165" i="16" s="1"/>
  <c r="D94" i="29"/>
  <c r="M95" i="29"/>
  <c r="H94" i="29"/>
  <c r="H98" i="29"/>
  <c r="J108" i="16"/>
  <c r="J173" i="16" s="1"/>
  <c r="P108" i="16"/>
  <c r="P173" i="16" s="1"/>
  <c r="M108" i="16"/>
  <c r="M173" i="16" s="1"/>
  <c r="I82" i="29"/>
  <c r="E94" i="29"/>
  <c r="F99" i="29"/>
  <c r="Q99" i="29"/>
  <c r="I98" i="29"/>
  <c r="I94" i="29"/>
  <c r="C82" i="29"/>
  <c r="M94" i="29"/>
  <c r="G82" i="29"/>
  <c r="Q94" i="29"/>
  <c r="J98" i="29"/>
  <c r="Q98" i="29"/>
  <c r="K108" i="16"/>
  <c r="K173" i="16" s="1"/>
  <c r="O87" i="29"/>
  <c r="G94" i="29"/>
  <c r="G99" i="29"/>
  <c r="N98" i="29"/>
  <c r="Q82" i="29"/>
  <c r="M98" i="29"/>
  <c r="F98" i="29"/>
  <c r="E108" i="16"/>
  <c r="E173" i="16" s="1"/>
  <c r="C108" i="16"/>
  <c r="C173" i="16" s="1"/>
  <c r="B108" i="16"/>
  <c r="B173" i="16" s="1"/>
  <c r="B87" i="29"/>
  <c r="O94" i="29"/>
  <c r="K99" i="29"/>
  <c r="C98" i="29"/>
  <c r="G95" i="29"/>
  <c r="L108" i="16"/>
  <c r="L173" i="16" s="1"/>
  <c r="G108" i="16"/>
  <c r="G173" i="16" s="1"/>
  <c r="F87" i="29"/>
  <c r="B94" i="29"/>
  <c r="O99" i="29"/>
  <c r="G98" i="29"/>
  <c r="J87" i="29"/>
  <c r="F94" i="29"/>
  <c r="K98" i="29"/>
  <c r="K94" i="29"/>
  <c r="O88" i="29"/>
  <c r="N102" i="29"/>
  <c r="P88" i="29"/>
  <c r="C102" i="29"/>
  <c r="P102" i="29"/>
  <c r="J88" i="29"/>
  <c r="Q102" i="29"/>
  <c r="G102" i="29"/>
  <c r="K102" i="29"/>
  <c r="D83" i="29"/>
  <c r="O102" i="29"/>
  <c r="P92" i="29"/>
  <c r="B102" i="29"/>
  <c r="J94" i="16"/>
  <c r="J159" i="16" s="1"/>
  <c r="B83" i="29"/>
  <c r="J102" i="29"/>
  <c r="I102" i="29"/>
  <c r="M102" i="29"/>
  <c r="F102" i="29"/>
  <c r="G94" i="16"/>
  <c r="G159" i="16" s="1"/>
  <c r="J83" i="29"/>
  <c r="D102" i="29"/>
  <c r="H102" i="29"/>
  <c r="E102" i="29"/>
  <c r="B92" i="29"/>
  <c r="O78" i="29"/>
  <c r="L78" i="29"/>
  <c r="M88" i="29"/>
  <c r="N92" i="29"/>
  <c r="D93" i="29"/>
  <c r="P78" i="29"/>
  <c r="Q88" i="29"/>
  <c r="I92" i="29"/>
  <c r="F93" i="29"/>
  <c r="K77" i="29"/>
  <c r="J93" i="29"/>
  <c r="I78" i="29"/>
  <c r="G92" i="29"/>
  <c r="M78" i="29"/>
  <c r="K92" i="29"/>
  <c r="D78" i="29"/>
  <c r="N88" i="29"/>
  <c r="Q93" i="29"/>
  <c r="E77" i="29"/>
  <c r="O92" i="29"/>
  <c r="P77" i="29"/>
  <c r="D77" i="29"/>
  <c r="E92" i="29"/>
  <c r="L93" i="29"/>
  <c r="B78" i="29"/>
  <c r="O77" i="29"/>
  <c r="M92" i="29"/>
  <c r="H78" i="29"/>
  <c r="C78" i="29"/>
  <c r="F77" i="29"/>
  <c r="N77" i="29"/>
  <c r="F81" i="29"/>
  <c r="D92" i="29"/>
  <c r="E78" i="29"/>
  <c r="G78" i="29"/>
  <c r="I77" i="29"/>
  <c r="Q77" i="29"/>
  <c r="H92" i="29"/>
  <c r="B98" i="16"/>
  <c r="B163" i="16" s="1"/>
  <c r="D98" i="16"/>
  <c r="G98" i="16"/>
  <c r="G163" i="16" s="1"/>
  <c r="I93" i="29"/>
  <c r="P98" i="16"/>
  <c r="P163" i="16" s="1"/>
  <c r="M98" i="16"/>
  <c r="E98" i="16"/>
  <c r="E163" i="16" s="1"/>
  <c r="J78" i="29"/>
  <c r="G77" i="29"/>
  <c r="N82" i="29"/>
  <c r="Q87" i="29"/>
  <c r="M93" i="29"/>
  <c r="H98" i="16"/>
  <c r="H163" i="16" s="1"/>
  <c r="B93" i="29"/>
  <c r="N98" i="16"/>
  <c r="N163" i="16" s="1"/>
  <c r="I98" i="16"/>
  <c r="I163" i="16" s="1"/>
  <c r="C98" i="16"/>
  <c r="C163" i="16" s="1"/>
  <c r="N93" i="29"/>
  <c r="P93" i="29"/>
  <c r="F78" i="29"/>
  <c r="Q78" i="29"/>
  <c r="J77" i="29"/>
  <c r="L77" i="29"/>
  <c r="K93" i="29"/>
  <c r="L98" i="16"/>
  <c r="L163" i="16" s="1"/>
  <c r="C77" i="29"/>
  <c r="M77" i="29"/>
  <c r="E88" i="29"/>
  <c r="Q92" i="29"/>
  <c r="Q94" i="16"/>
  <c r="Q159" i="16" s="1"/>
  <c r="D82" i="29"/>
  <c r="K82" i="29"/>
  <c r="N87" i="29"/>
  <c r="H82" i="29"/>
  <c r="O82" i="29"/>
  <c r="C87" i="29"/>
  <c r="O94" i="16"/>
  <c r="O159" i="16" s="1"/>
  <c r="K84" i="29"/>
  <c r="E87" i="29"/>
  <c r="E94" i="16"/>
  <c r="E159" i="16" s="1"/>
  <c r="B84" i="29"/>
  <c r="N94" i="16"/>
  <c r="N159" i="16" s="1"/>
  <c r="J84" i="29"/>
  <c r="M82" i="29"/>
  <c r="G87" i="29"/>
  <c r="H93" i="29"/>
  <c r="K87" i="29"/>
  <c r="O83" i="29"/>
  <c r="L82" i="29"/>
  <c r="B88" i="29"/>
  <c r="D87" i="29"/>
  <c r="C93" i="29"/>
  <c r="L84" i="29"/>
  <c r="M94" i="16"/>
  <c r="M159" i="16" s="1"/>
  <c r="B82" i="29"/>
  <c r="F88" i="29"/>
  <c r="H87" i="29"/>
  <c r="G93" i="29"/>
  <c r="P94" i="16"/>
  <c r="P159" i="16" s="1"/>
  <c r="C94" i="16"/>
  <c r="C159" i="16" s="1"/>
  <c r="F82" i="29"/>
  <c r="L87" i="29"/>
  <c r="F94" i="16"/>
  <c r="F159" i="16" s="1"/>
  <c r="F83" i="29"/>
  <c r="C88" i="29"/>
  <c r="P87" i="29"/>
  <c r="E93" i="29"/>
  <c r="M81" i="29"/>
  <c r="H84" i="29"/>
  <c r="N83" i="29"/>
  <c r="I81" i="29"/>
  <c r="G83" i="29"/>
  <c r="K81" i="29"/>
  <c r="H83" i="29"/>
  <c r="H81" i="29"/>
  <c r="C83" i="29"/>
  <c r="N81" i="29"/>
  <c r="E83" i="29"/>
  <c r="I94" i="16"/>
  <c r="I159" i="16" s="1"/>
  <c r="I83" i="29"/>
  <c r="L81" i="29"/>
  <c r="M83" i="29"/>
  <c r="H88" i="29"/>
  <c r="I87" i="29"/>
  <c r="O81" i="29"/>
  <c r="G81" i="29"/>
  <c r="N84" i="29"/>
  <c r="Q83" i="29"/>
  <c r="L88" i="29"/>
  <c r="Q81" i="29"/>
  <c r="J81" i="29"/>
  <c r="C81" i="29"/>
  <c r="O84" i="29"/>
  <c r="K83" i="29"/>
  <c r="I88" i="29"/>
  <c r="D81" i="29"/>
  <c r="E81" i="29"/>
  <c r="D84" i="29"/>
  <c r="D88" i="29"/>
  <c r="B94" i="16"/>
  <c r="B159" i="16" s="1"/>
  <c r="K94" i="16"/>
  <c r="K159" i="16" s="1"/>
  <c r="I84" i="29"/>
  <c r="B81" i="29"/>
  <c r="C84" i="29"/>
  <c r="L83" i="29"/>
  <c r="G88" i="29"/>
  <c r="D94" i="16"/>
  <c r="D159" i="16" s="1"/>
  <c r="G84" i="29"/>
  <c r="H94" i="16"/>
  <c r="H159" i="16" s="1"/>
  <c r="Q84" i="29"/>
  <c r="P84" i="29"/>
  <c r="E84" i="29"/>
  <c r="F84" i="29"/>
  <c r="L160" i="16" l="1"/>
  <c r="R101" i="16"/>
  <c r="K166" i="16"/>
  <c r="R166" i="16" s="1"/>
  <c r="I160" i="16"/>
  <c r="R158" i="16"/>
  <c r="R93" i="16"/>
  <c r="F160" i="16"/>
  <c r="D160" i="16"/>
  <c r="G160" i="16"/>
  <c r="J160" i="16"/>
  <c r="N160" i="16"/>
  <c r="K160" i="16"/>
  <c r="P104" i="16"/>
  <c r="J168" i="16"/>
  <c r="L95" i="16"/>
  <c r="F169" i="16"/>
  <c r="I169" i="16"/>
  <c r="Q169" i="16"/>
  <c r="J103" i="16"/>
  <c r="O168" i="16"/>
  <c r="G169" i="16"/>
  <c r="O103" i="16"/>
  <c r="B168" i="16"/>
  <c r="O169" i="16"/>
  <c r="Q104" i="16"/>
  <c r="Q168" i="16"/>
  <c r="R167" i="16"/>
  <c r="G168" i="16"/>
  <c r="L104" i="16"/>
  <c r="B160" i="16"/>
  <c r="R92" i="16"/>
  <c r="E169" i="16"/>
  <c r="L168" i="16"/>
  <c r="B169" i="16"/>
  <c r="P157" i="16"/>
  <c r="R157" i="16" s="1"/>
  <c r="M103" i="16"/>
  <c r="I168" i="16"/>
  <c r="L170" i="16"/>
  <c r="L169" i="16" s="1"/>
  <c r="E168" i="16"/>
  <c r="K168" i="16"/>
  <c r="O104" i="16"/>
  <c r="D103" i="16"/>
  <c r="K104" i="16"/>
  <c r="N169" i="16"/>
  <c r="K169" i="16"/>
  <c r="H168" i="16"/>
  <c r="G104" i="16"/>
  <c r="C104" i="16"/>
  <c r="F104" i="16"/>
  <c r="R164" i="16"/>
  <c r="C169" i="16"/>
  <c r="E104" i="16"/>
  <c r="R102" i="16"/>
  <c r="D104" i="16"/>
  <c r="C168" i="16"/>
  <c r="R99" i="16"/>
  <c r="F168" i="16"/>
  <c r="B104" i="16"/>
  <c r="J169" i="16"/>
  <c r="Q103" i="16"/>
  <c r="I104" i="16"/>
  <c r="F103" i="16"/>
  <c r="J104" i="16"/>
  <c r="R105" i="16"/>
  <c r="M104" i="16"/>
  <c r="R171" i="16"/>
  <c r="R174" i="16"/>
  <c r="B103" i="16"/>
  <c r="M169" i="16"/>
  <c r="J95" i="16"/>
  <c r="N104" i="16"/>
  <c r="K103" i="16"/>
  <c r="P168" i="16"/>
  <c r="R109" i="16"/>
  <c r="R100" i="16"/>
  <c r="R165" i="16"/>
  <c r="E103" i="16"/>
  <c r="N168" i="16"/>
  <c r="H169" i="16"/>
  <c r="R173" i="16"/>
  <c r="H104" i="16"/>
  <c r="E160" i="16"/>
  <c r="R106" i="16"/>
  <c r="N103" i="16"/>
  <c r="R108" i="16"/>
  <c r="M95" i="16"/>
  <c r="I103" i="16"/>
  <c r="P103" i="16"/>
  <c r="M163" i="16"/>
  <c r="M168" i="16" s="1"/>
  <c r="G95" i="16"/>
  <c r="G103" i="16"/>
  <c r="D163" i="16"/>
  <c r="D168" i="16" s="1"/>
  <c r="P95" i="16"/>
  <c r="B95" i="16"/>
  <c r="C160" i="16"/>
  <c r="H103" i="16"/>
  <c r="C95" i="16"/>
  <c r="F95" i="16"/>
  <c r="O160" i="16"/>
  <c r="C103" i="16"/>
  <c r="Q95" i="16"/>
  <c r="O95" i="16"/>
  <c r="K95" i="16"/>
  <c r="R98" i="16"/>
  <c r="L103" i="16"/>
  <c r="Q160" i="16"/>
  <c r="E95" i="16"/>
  <c r="R159" i="16"/>
  <c r="N95" i="16"/>
  <c r="M160" i="16"/>
  <c r="H160" i="16"/>
  <c r="I95" i="16"/>
  <c r="R94" i="16"/>
  <c r="D95" i="16"/>
  <c r="H95" i="16"/>
  <c r="R95" i="16" l="1"/>
  <c r="P160" i="16"/>
  <c r="R170" i="16"/>
  <c r="R169" i="16" s="1"/>
  <c r="R104" i="16"/>
  <c r="R103" i="16"/>
  <c r="R163" i="16"/>
  <c r="R168" i="16" s="1"/>
  <c r="R160" i="16"/>
  <c r="Q132" i="29" l="1"/>
  <c r="M132" i="29"/>
  <c r="I132" i="29"/>
  <c r="E132" i="29"/>
  <c r="P132" i="29"/>
  <c r="L132" i="29"/>
  <c r="H132" i="29"/>
  <c r="D132" i="29"/>
  <c r="O132" i="29"/>
  <c r="K132" i="29"/>
  <c r="G132" i="29"/>
  <c r="C132" i="29"/>
  <c r="N132" i="29"/>
  <c r="J132" i="29"/>
  <c r="F132" i="29"/>
  <c r="Q133" i="29"/>
  <c r="M133" i="29"/>
  <c r="I133" i="29"/>
  <c r="E133" i="29"/>
  <c r="P133" i="29"/>
  <c r="L133" i="29"/>
  <c r="H133" i="29"/>
  <c r="D133" i="29"/>
  <c r="O133" i="29"/>
  <c r="K133" i="29"/>
  <c r="G133" i="29"/>
  <c r="C133" i="29"/>
  <c r="N133" i="29"/>
  <c r="J133" i="29"/>
  <c r="F133" i="29"/>
  <c r="Q130" i="29"/>
  <c r="M130" i="29"/>
  <c r="I130" i="29"/>
  <c r="E130" i="29"/>
  <c r="P130" i="29"/>
  <c r="L130" i="29"/>
  <c r="H130" i="29"/>
  <c r="D130" i="29"/>
  <c r="J130" i="29"/>
  <c r="O130" i="29"/>
  <c r="K130" i="29"/>
  <c r="G130" i="29"/>
  <c r="C130" i="29"/>
  <c r="N130" i="29"/>
  <c r="F130" i="29"/>
  <c r="O124" i="29"/>
  <c r="K124" i="29"/>
  <c r="G124" i="29"/>
  <c r="C124" i="29"/>
  <c r="L124" i="29"/>
  <c r="D124" i="29"/>
  <c r="N124" i="29"/>
  <c r="J124" i="29"/>
  <c r="F124" i="29"/>
  <c r="H124" i="29"/>
  <c r="Q124" i="29"/>
  <c r="M124" i="29"/>
  <c r="I124" i="29"/>
  <c r="E124" i="29"/>
  <c r="P124" i="29"/>
  <c r="N125" i="29"/>
  <c r="J125" i="29"/>
  <c r="F125" i="29"/>
  <c r="K125" i="29"/>
  <c r="C125" i="29"/>
  <c r="Q125" i="29"/>
  <c r="M125" i="29"/>
  <c r="I125" i="29"/>
  <c r="E125" i="29"/>
  <c r="P125" i="29"/>
  <c r="L125" i="29"/>
  <c r="H125" i="29"/>
  <c r="D125" i="29"/>
  <c r="O125" i="29"/>
  <c r="G125" i="29"/>
  <c r="Q126" i="29"/>
  <c r="M126" i="29"/>
  <c r="I126" i="29"/>
  <c r="E126" i="29"/>
  <c r="J126" i="29"/>
  <c r="P126" i="29"/>
  <c r="L126" i="29"/>
  <c r="H126" i="29"/>
  <c r="D126" i="29"/>
  <c r="O126" i="29"/>
  <c r="K126" i="29"/>
  <c r="G126" i="29"/>
  <c r="C126" i="29"/>
  <c r="N126" i="29"/>
  <c r="F126" i="29"/>
  <c r="Q119" i="29"/>
  <c r="M119" i="29"/>
  <c r="I119" i="29"/>
  <c r="E119" i="29"/>
  <c r="P119" i="29"/>
  <c r="L119" i="29"/>
  <c r="H119" i="29"/>
  <c r="D119" i="29"/>
  <c r="O119" i="29"/>
  <c r="K119" i="29"/>
  <c r="G119" i="29"/>
  <c r="C119" i="29"/>
  <c r="N119" i="29"/>
  <c r="J119" i="29"/>
  <c r="F119" i="29"/>
  <c r="Q111" i="29"/>
  <c r="M111" i="29"/>
  <c r="I111" i="29"/>
  <c r="E111" i="29"/>
  <c r="P111" i="29"/>
  <c r="L111" i="29"/>
  <c r="H111" i="29"/>
  <c r="D111" i="29"/>
  <c r="N111" i="29"/>
  <c r="J111" i="29"/>
  <c r="F111" i="29"/>
  <c r="O111" i="29"/>
  <c r="K111" i="29"/>
  <c r="G111" i="29"/>
  <c r="C111" i="29"/>
  <c r="N114" i="29"/>
  <c r="J114" i="29"/>
  <c r="F114" i="29"/>
  <c r="Q114" i="29"/>
  <c r="M114" i="29"/>
  <c r="I114" i="29"/>
  <c r="E114" i="29"/>
  <c r="K114" i="29"/>
  <c r="C114" i="29"/>
  <c r="P114" i="29"/>
  <c r="L114" i="29"/>
  <c r="H114" i="29"/>
  <c r="D114" i="29"/>
  <c r="O114" i="29"/>
  <c r="G114" i="29"/>
  <c r="O113" i="29"/>
  <c r="K113" i="29"/>
  <c r="G113" i="29"/>
  <c r="C113" i="29"/>
  <c r="N113" i="29"/>
  <c r="J113" i="29"/>
  <c r="F113" i="29"/>
  <c r="L113" i="29"/>
  <c r="D113" i="29"/>
  <c r="Q113" i="29"/>
  <c r="M113" i="29"/>
  <c r="I113" i="29"/>
  <c r="E113" i="29"/>
  <c r="P113" i="29"/>
  <c r="H113" i="29"/>
  <c r="P112" i="29"/>
  <c r="L112" i="29"/>
  <c r="H112" i="29"/>
  <c r="D112" i="29"/>
  <c r="O112" i="29"/>
  <c r="K112" i="29"/>
  <c r="G112" i="29"/>
  <c r="C112" i="29"/>
  <c r="M112" i="29"/>
  <c r="E112" i="29"/>
  <c r="N112" i="29"/>
  <c r="J112" i="29"/>
  <c r="F112" i="29"/>
  <c r="Q112" i="29"/>
  <c r="I112" i="29"/>
  <c r="Q115" i="29"/>
  <c r="M115" i="29"/>
  <c r="I115" i="29"/>
  <c r="E115" i="29"/>
  <c r="P115" i="29"/>
  <c r="L115" i="29"/>
  <c r="H115" i="29"/>
  <c r="D115" i="29"/>
  <c r="J115" i="29"/>
  <c r="O115" i="29"/>
  <c r="K115" i="29"/>
  <c r="G115" i="29"/>
  <c r="C115" i="29"/>
  <c r="N115" i="29"/>
  <c r="F115" i="29"/>
  <c r="Q109" i="29"/>
  <c r="M109" i="29"/>
  <c r="I109" i="29"/>
  <c r="E109" i="29"/>
  <c r="P109" i="29"/>
  <c r="L109" i="29"/>
  <c r="H109" i="29"/>
  <c r="D109" i="29"/>
  <c r="J109" i="29"/>
  <c r="O109" i="29"/>
  <c r="K109" i="29"/>
  <c r="G109" i="29"/>
  <c r="C109" i="29"/>
  <c r="N109" i="29"/>
  <c r="F109" i="29"/>
  <c r="B133" i="29" l="1"/>
  <c r="R133" i="29" s="1"/>
  <c r="R102" i="29"/>
  <c r="B132" i="29"/>
  <c r="R132" i="29" s="1"/>
  <c r="R101" i="29"/>
  <c r="R99" i="29"/>
  <c r="B130" i="29"/>
  <c r="R130" i="29" s="1"/>
  <c r="B129" i="29"/>
  <c r="B97" i="29"/>
  <c r="R98" i="29"/>
  <c r="D129" i="29"/>
  <c r="D128" i="29" s="1"/>
  <c r="D97" i="29"/>
  <c r="F129" i="29"/>
  <c r="F128" i="29" s="1"/>
  <c r="F97" i="29"/>
  <c r="E129" i="29"/>
  <c r="E128" i="29" s="1"/>
  <c r="E97" i="29"/>
  <c r="N129" i="29"/>
  <c r="N128" i="29" s="1"/>
  <c r="N97" i="29"/>
  <c r="H129" i="29"/>
  <c r="H128" i="29" s="1"/>
  <c r="H97" i="29"/>
  <c r="J129" i="29"/>
  <c r="J128" i="29" s="1"/>
  <c r="J97" i="29"/>
  <c r="I129" i="29"/>
  <c r="I128" i="29" s="1"/>
  <c r="I97" i="29"/>
  <c r="G129" i="29"/>
  <c r="G128" i="29" s="1"/>
  <c r="G97" i="29"/>
  <c r="L129" i="29"/>
  <c r="L128" i="29" s="1"/>
  <c r="L97" i="29"/>
  <c r="C129" i="29"/>
  <c r="C128" i="29" s="1"/>
  <c r="C97" i="29"/>
  <c r="M129" i="29"/>
  <c r="M128" i="29" s="1"/>
  <c r="M97" i="29"/>
  <c r="O129" i="29"/>
  <c r="O128" i="29" s="1"/>
  <c r="O97" i="29"/>
  <c r="P129" i="29"/>
  <c r="P128" i="29" s="1"/>
  <c r="P97" i="29"/>
  <c r="K129" i="29"/>
  <c r="K128" i="29" s="1"/>
  <c r="K97" i="29"/>
  <c r="Q129" i="29"/>
  <c r="Q128" i="29" s="1"/>
  <c r="Q97" i="29"/>
  <c r="E123" i="29"/>
  <c r="E127" i="29" s="1"/>
  <c r="E96" i="29"/>
  <c r="J123" i="29"/>
  <c r="J127" i="29" s="1"/>
  <c r="J96" i="29"/>
  <c r="G123" i="29"/>
  <c r="G127" i="29" s="1"/>
  <c r="G96" i="29"/>
  <c r="D123" i="29"/>
  <c r="D127" i="29" s="1"/>
  <c r="D96" i="29"/>
  <c r="B125" i="29"/>
  <c r="R125" i="29" s="1"/>
  <c r="R94" i="29"/>
  <c r="Q123" i="29"/>
  <c r="Q127" i="29" s="1"/>
  <c r="Q96" i="29"/>
  <c r="N123" i="29"/>
  <c r="N127" i="29" s="1"/>
  <c r="N96" i="29"/>
  <c r="K123" i="29"/>
  <c r="K127" i="29" s="1"/>
  <c r="K96" i="29"/>
  <c r="H123" i="29"/>
  <c r="H127" i="29" s="1"/>
  <c r="H96" i="29"/>
  <c r="B126" i="29"/>
  <c r="R126" i="29" s="1"/>
  <c r="R95" i="29"/>
  <c r="R92" i="29"/>
  <c r="B96" i="29"/>
  <c r="B123" i="29"/>
  <c r="I96" i="29"/>
  <c r="I123" i="29"/>
  <c r="I127" i="29" s="1"/>
  <c r="O96" i="29"/>
  <c r="O123" i="29"/>
  <c r="O127" i="29" s="1"/>
  <c r="L123" i="29"/>
  <c r="L127" i="29" s="1"/>
  <c r="L96" i="29"/>
  <c r="B124" i="29"/>
  <c r="R124" i="29" s="1"/>
  <c r="R93" i="29"/>
  <c r="F123" i="29"/>
  <c r="F127" i="29" s="1"/>
  <c r="F96" i="29"/>
  <c r="C123" i="29"/>
  <c r="C127" i="29" s="1"/>
  <c r="C96" i="29"/>
  <c r="M123" i="29"/>
  <c r="M127" i="29" s="1"/>
  <c r="M96" i="29"/>
  <c r="P123" i="29"/>
  <c r="P127" i="29" s="1"/>
  <c r="P96" i="29"/>
  <c r="B118" i="29"/>
  <c r="R87" i="29"/>
  <c r="B89" i="29"/>
  <c r="C118" i="29"/>
  <c r="C120" i="29" s="1"/>
  <c r="C89" i="29"/>
  <c r="D89" i="29"/>
  <c r="D118" i="29"/>
  <c r="D120" i="29" s="1"/>
  <c r="E118" i="29"/>
  <c r="E120" i="29" s="1"/>
  <c r="E89" i="29"/>
  <c r="B119" i="29"/>
  <c r="R119" i="29" s="1"/>
  <c r="R88" i="29"/>
  <c r="F118" i="29"/>
  <c r="F120" i="29" s="1"/>
  <c r="F89" i="29"/>
  <c r="G118" i="29"/>
  <c r="G120" i="29" s="1"/>
  <c r="G89" i="29"/>
  <c r="H118" i="29"/>
  <c r="H120" i="29" s="1"/>
  <c r="H89" i="29"/>
  <c r="I89" i="29"/>
  <c r="I118" i="29"/>
  <c r="I120" i="29" s="1"/>
  <c r="J118" i="29"/>
  <c r="J120" i="29" s="1"/>
  <c r="J89" i="29"/>
  <c r="K118" i="29"/>
  <c r="K120" i="29" s="1"/>
  <c r="K89" i="29"/>
  <c r="L89" i="29"/>
  <c r="L118" i="29"/>
  <c r="L120" i="29" s="1"/>
  <c r="M118" i="29"/>
  <c r="M120" i="29" s="1"/>
  <c r="M89" i="29"/>
  <c r="N118" i="29"/>
  <c r="N120" i="29" s="1"/>
  <c r="N89" i="29"/>
  <c r="O118" i="29"/>
  <c r="O120" i="29" s="1"/>
  <c r="O89" i="29"/>
  <c r="P118" i="29"/>
  <c r="P120" i="29" s="1"/>
  <c r="P89" i="29"/>
  <c r="Q118" i="29"/>
  <c r="Q120" i="29" s="1"/>
  <c r="Q89" i="29"/>
  <c r="R111" i="29"/>
  <c r="R80" i="29"/>
  <c r="B112" i="29"/>
  <c r="R112" i="29" s="1"/>
  <c r="R81" i="29"/>
  <c r="B115" i="29"/>
  <c r="R115" i="29" s="1"/>
  <c r="R84" i="29"/>
  <c r="B113" i="29"/>
  <c r="R113" i="29" s="1"/>
  <c r="R82" i="29"/>
  <c r="B114" i="29"/>
  <c r="R114" i="29" s="1"/>
  <c r="R83" i="29"/>
  <c r="B109" i="29"/>
  <c r="R109" i="29" s="1"/>
  <c r="R78" i="29"/>
  <c r="P108" i="29"/>
  <c r="P79" i="29"/>
  <c r="P85" i="29" s="1"/>
  <c r="O79" i="29"/>
  <c r="O85" i="29" s="1"/>
  <c r="O108" i="29"/>
  <c r="N108" i="29"/>
  <c r="N79" i="29"/>
  <c r="N85" i="29" s="1"/>
  <c r="Q79" i="29"/>
  <c r="Q85" i="29" s="1"/>
  <c r="Q108" i="29"/>
  <c r="L108" i="29"/>
  <c r="L79" i="29"/>
  <c r="L85" i="29" s="1"/>
  <c r="K108" i="29"/>
  <c r="K79" i="29"/>
  <c r="K85" i="29" s="1"/>
  <c r="J79" i="29"/>
  <c r="J85" i="29" s="1"/>
  <c r="J108" i="29"/>
  <c r="M108" i="29"/>
  <c r="M79" i="29"/>
  <c r="M85" i="29" s="1"/>
  <c r="H108" i="29"/>
  <c r="H79" i="29"/>
  <c r="H85" i="29" s="1"/>
  <c r="G79" i="29"/>
  <c r="G108" i="29"/>
  <c r="F108" i="29"/>
  <c r="F79" i="29"/>
  <c r="F85" i="29" s="1"/>
  <c r="I108" i="29"/>
  <c r="I79" i="29"/>
  <c r="I85" i="29" s="1"/>
  <c r="D108" i="29"/>
  <c r="D79" i="29"/>
  <c r="D85" i="29" s="1"/>
  <c r="C108" i="29"/>
  <c r="C79" i="29"/>
  <c r="C85" i="29" s="1"/>
  <c r="B108" i="29"/>
  <c r="R77" i="29"/>
  <c r="B79" i="29"/>
  <c r="B85" i="29" s="1"/>
  <c r="E79" i="29"/>
  <c r="E85" i="29" s="1"/>
  <c r="E108" i="29"/>
  <c r="K90" i="29" l="1"/>
  <c r="K100" i="29" s="1"/>
  <c r="K103" i="29" s="1"/>
  <c r="R97" i="29"/>
  <c r="B90" i="29"/>
  <c r="B100" i="29" s="1"/>
  <c r="B103" i="29" s="1"/>
  <c r="Q90" i="29"/>
  <c r="Q100" i="29" s="1"/>
  <c r="Q103" i="29" s="1"/>
  <c r="B128" i="29"/>
  <c r="R129" i="29"/>
  <c r="R128" i="29" s="1"/>
  <c r="C90" i="29"/>
  <c r="C100" i="29" s="1"/>
  <c r="C103" i="29" s="1"/>
  <c r="L90" i="29"/>
  <c r="L100" i="29" s="1"/>
  <c r="L103" i="29" s="1"/>
  <c r="B127" i="29"/>
  <c r="R123" i="29"/>
  <c r="R127" i="29" s="1"/>
  <c r="H90" i="29"/>
  <c r="H100" i="29" s="1"/>
  <c r="R96" i="29"/>
  <c r="R89" i="29"/>
  <c r="M90" i="29"/>
  <c r="M100" i="29" s="1"/>
  <c r="B120" i="29"/>
  <c r="R118" i="29"/>
  <c r="R120" i="29" s="1"/>
  <c r="O90" i="29"/>
  <c r="O100" i="29" s="1"/>
  <c r="O103" i="29" s="1"/>
  <c r="E90" i="29"/>
  <c r="E100" i="29" s="1"/>
  <c r="E103" i="29" s="1"/>
  <c r="G85" i="29"/>
  <c r="P90" i="29"/>
  <c r="P100" i="29" s="1"/>
  <c r="P103" i="29" s="1"/>
  <c r="D110" i="29"/>
  <c r="D116" i="29" s="1"/>
  <c r="I110" i="29"/>
  <c r="I116" i="29" s="1"/>
  <c r="F110" i="29"/>
  <c r="F116" i="29" s="1"/>
  <c r="F121" i="29" s="1"/>
  <c r="G110" i="29"/>
  <c r="G116" i="29" s="1"/>
  <c r="J110" i="29"/>
  <c r="J116" i="29" s="1"/>
  <c r="J121" i="29" s="1"/>
  <c r="J131" i="29" s="1"/>
  <c r="J134" i="29" s="1"/>
  <c r="J59" i="7" s="1"/>
  <c r="Q110" i="29"/>
  <c r="Q116" i="29" s="1"/>
  <c r="N110" i="29"/>
  <c r="N116" i="29" s="1"/>
  <c r="N121" i="29" s="1"/>
  <c r="R79" i="29"/>
  <c r="R85" i="29" s="1"/>
  <c r="C110" i="29"/>
  <c r="C116" i="29" s="1"/>
  <c r="H110" i="29"/>
  <c r="H116" i="29" s="1"/>
  <c r="H121" i="29" s="1"/>
  <c r="M110" i="29"/>
  <c r="M116" i="29" s="1"/>
  <c r="K110" i="29"/>
  <c r="K116" i="29" s="1"/>
  <c r="L110" i="29"/>
  <c r="L116" i="29" s="1"/>
  <c r="L121" i="29" s="1"/>
  <c r="B110" i="29"/>
  <c r="B116" i="29" s="1"/>
  <c r="R108" i="29"/>
  <c r="D90" i="29"/>
  <c r="D100" i="29" s="1"/>
  <c r="D103" i="29" s="1"/>
  <c r="I90" i="29"/>
  <c r="I100" i="29" s="1"/>
  <c r="I103" i="29" s="1"/>
  <c r="F90" i="29"/>
  <c r="F100" i="29" s="1"/>
  <c r="F103" i="29" s="1"/>
  <c r="J90" i="29"/>
  <c r="J100" i="29" s="1"/>
  <c r="J103" i="29" s="1"/>
  <c r="N90" i="29"/>
  <c r="N100" i="29" s="1"/>
  <c r="N103" i="29" s="1"/>
  <c r="E110" i="29"/>
  <c r="E116" i="29" s="1"/>
  <c r="O110" i="29"/>
  <c r="O116" i="29" s="1"/>
  <c r="O121" i="29" s="1"/>
  <c r="P110" i="29"/>
  <c r="P116" i="29" s="1"/>
  <c r="R90" i="29" l="1"/>
  <c r="R100" i="29" s="1"/>
  <c r="R103" i="29" s="1"/>
  <c r="B139" i="29" s="1"/>
  <c r="C139" i="29" s="1"/>
  <c r="M103" i="29"/>
  <c r="H103" i="29"/>
  <c r="C121" i="29"/>
  <c r="C131" i="29" s="1"/>
  <c r="C134" i="29" s="1"/>
  <c r="C59" i="7" s="1"/>
  <c r="G121" i="29"/>
  <c r="G131" i="29" s="1"/>
  <c r="G134" i="29" s="1"/>
  <c r="G59" i="7" s="1"/>
  <c r="G90" i="29"/>
  <c r="G100" i="29" s="1"/>
  <c r="G103" i="29" s="1"/>
  <c r="O131" i="29"/>
  <c r="O134" i="29" s="1"/>
  <c r="O59" i="7" s="1"/>
  <c r="E121" i="29"/>
  <c r="E131" i="29" s="1"/>
  <c r="E134" i="29" s="1"/>
  <c r="E59" i="7" s="1"/>
  <c r="K121" i="29"/>
  <c r="K131" i="29" s="1"/>
  <c r="K134" i="29" s="1"/>
  <c r="K59" i="7" s="1"/>
  <c r="H131" i="29"/>
  <c r="H134" i="29" s="1"/>
  <c r="H59" i="7" s="1"/>
  <c r="L131" i="29"/>
  <c r="L134" i="29" s="1"/>
  <c r="L59" i="7" s="1"/>
  <c r="B121" i="29"/>
  <c r="B131" i="29" s="1"/>
  <c r="B134" i="29" s="1"/>
  <c r="M121" i="29"/>
  <c r="P121" i="29"/>
  <c r="P131" i="29" s="1"/>
  <c r="P134" i="29" s="1"/>
  <c r="P59" i="7" s="1"/>
  <c r="R121" i="29"/>
  <c r="N131" i="29"/>
  <c r="N134" i="29" s="1"/>
  <c r="N59" i="7" s="1"/>
  <c r="Q121" i="29"/>
  <c r="Q131" i="29" s="1"/>
  <c r="Q134" i="29" s="1"/>
  <c r="Q59" i="7" s="1"/>
  <c r="F131" i="29"/>
  <c r="F134" i="29" s="1"/>
  <c r="F59" i="7" s="1"/>
  <c r="D121" i="29"/>
  <c r="D131" i="29" s="1"/>
  <c r="D134" i="29" s="1"/>
  <c r="D59" i="7" s="1"/>
  <c r="I121" i="29"/>
  <c r="I131" i="29" s="1"/>
  <c r="I134" i="29" s="1"/>
  <c r="I59" i="7" s="1"/>
  <c r="B59" i="7" l="1"/>
  <c r="R131" i="29"/>
  <c r="R134" i="29" s="1"/>
  <c r="M131" i="29"/>
  <c r="M134" i="29" s="1"/>
  <c r="M59" i="7" l="1"/>
  <c r="B141" i="29"/>
  <c r="C141" i="29" s="1"/>
  <c r="R59" i="7" l="1"/>
  <c r="K30" i="6" l="1"/>
  <c r="J30" i="6"/>
  <c r="C30" i="6"/>
  <c r="G30" i="6"/>
  <c r="E30" i="6"/>
  <c r="L30" i="6"/>
  <c r="H30" i="6"/>
  <c r="O30" i="6"/>
  <c r="N30" i="6"/>
  <c r="D30" i="6"/>
  <c r="Q30" i="6"/>
  <c r="P30" i="6"/>
  <c r="I30" i="6"/>
  <c r="F30" i="6"/>
  <c r="B30" i="6"/>
  <c r="M30" i="6"/>
  <c r="M50" i="8" l="1"/>
  <c r="M101" i="9"/>
  <c r="M45" i="12"/>
  <c r="P50" i="8"/>
  <c r="P101" i="9"/>
  <c r="P45" i="12"/>
  <c r="O50" i="8"/>
  <c r="O45" i="12"/>
  <c r="O101" i="9"/>
  <c r="G45" i="12"/>
  <c r="G101" i="9"/>
  <c r="G50" i="8"/>
  <c r="B45" i="12"/>
  <c r="B101" i="9"/>
  <c r="R30" i="6"/>
  <c r="B50" i="8"/>
  <c r="Q101" i="9"/>
  <c r="Q45" i="12"/>
  <c r="Q50" i="8"/>
  <c r="H45" i="12"/>
  <c r="H101" i="9"/>
  <c r="H50" i="8"/>
  <c r="C50" i="8"/>
  <c r="C101" i="9"/>
  <c r="C45" i="12"/>
  <c r="F50" i="8"/>
  <c r="F45" i="12"/>
  <c r="F101" i="9"/>
  <c r="D50" i="8"/>
  <c r="D45" i="12"/>
  <c r="D101" i="9"/>
  <c r="L45" i="12"/>
  <c r="L50" i="8"/>
  <c r="L101" i="9"/>
  <c r="J50" i="8"/>
  <c r="J45" i="12"/>
  <c r="J101" i="9"/>
  <c r="I50" i="8"/>
  <c r="I45" i="12"/>
  <c r="I101" i="9"/>
  <c r="N45" i="12"/>
  <c r="N101" i="9"/>
  <c r="N50" i="8"/>
  <c r="E50" i="8"/>
  <c r="E45" i="12"/>
  <c r="E101" i="9"/>
  <c r="K101" i="9"/>
  <c r="K45" i="12"/>
  <c r="K50" i="8"/>
  <c r="R50" i="8" l="1"/>
  <c r="R101" i="9"/>
  <c r="R45" i="12"/>
  <c r="B32" i="15" l="1"/>
  <c r="B35" i="15" s="1"/>
  <c r="B152" i="16" l="1"/>
  <c r="B153" i="16"/>
  <c r="B148" i="16"/>
  <c r="F150" i="16"/>
  <c r="L153" i="16"/>
  <c r="L148" i="16"/>
  <c r="H154" i="16"/>
  <c r="D148" i="16"/>
  <c r="N148" i="16"/>
  <c r="C152" i="16"/>
  <c r="I150" i="16"/>
  <c r="P152" i="16"/>
  <c r="O152" i="16"/>
  <c r="J148" i="16"/>
  <c r="D154" i="16"/>
  <c r="P154" i="16"/>
  <c r="H152" i="16"/>
  <c r="E153" i="16"/>
  <c r="F154" i="16"/>
  <c r="M154" i="16"/>
  <c r="Q154" i="16"/>
  <c r="K152" i="16"/>
  <c r="F152" i="16"/>
  <c r="O150" i="16"/>
  <c r="E154" i="16"/>
  <c r="P153" i="16"/>
  <c r="J150" i="16"/>
  <c r="M148" i="16"/>
  <c r="F153" i="16"/>
  <c r="L154" i="16"/>
  <c r="I151" i="16"/>
  <c r="M152" i="16"/>
  <c r="M153" i="16"/>
  <c r="M151" i="16"/>
  <c r="K153" i="16"/>
  <c r="F148" i="16"/>
  <c r="B150" i="16"/>
  <c r="C150" i="16"/>
  <c r="I152" i="16"/>
  <c r="F151" i="16"/>
  <c r="N154" i="16"/>
  <c r="Q150" i="16"/>
  <c r="Q152" i="16"/>
  <c r="C154" i="16"/>
  <c r="N150" i="16"/>
  <c r="L152" i="16"/>
  <c r="E152" i="16"/>
  <c r="O151" i="16"/>
  <c r="N152" i="16"/>
  <c r="G153" i="16"/>
  <c r="L151" i="16"/>
  <c r="N151" i="16"/>
  <c r="C153" i="16"/>
  <c r="R88" i="16"/>
  <c r="Q148" i="16"/>
  <c r="I154" i="16"/>
  <c r="I153" i="16"/>
  <c r="P150" i="16"/>
  <c r="O153" i="16"/>
  <c r="H148" i="16"/>
  <c r="K150" i="16"/>
  <c r="Q153" i="16"/>
  <c r="J153" i="16"/>
  <c r="C151" i="16"/>
  <c r="G148" i="16"/>
  <c r="J152" i="16"/>
  <c r="P151" i="16"/>
  <c r="I148" i="16"/>
  <c r="H153" i="16"/>
  <c r="J154" i="16"/>
  <c r="K151" i="16"/>
  <c r="B154" i="16"/>
  <c r="G154" i="16"/>
  <c r="E151" i="16"/>
  <c r="H150" i="16"/>
  <c r="G150" i="16"/>
  <c r="E148" i="16"/>
  <c r="Q151" i="16"/>
  <c r="K148" i="16"/>
  <c r="D152" i="16"/>
  <c r="P148" i="16"/>
  <c r="J151" i="16"/>
  <c r="B151" i="16"/>
  <c r="R86" i="16"/>
  <c r="D151" i="16"/>
  <c r="H151" i="16"/>
  <c r="R85" i="16"/>
  <c r="C148" i="16"/>
  <c r="D150" i="16"/>
  <c r="G152" i="16"/>
  <c r="G151" i="16"/>
  <c r="N153" i="16"/>
  <c r="R89" i="16"/>
  <c r="E150" i="16"/>
  <c r="R83" i="16"/>
  <c r="M150" i="16"/>
  <c r="O148" i="16"/>
  <c r="K154" i="16"/>
  <c r="O154" i="16"/>
  <c r="L150" i="16"/>
  <c r="D153" i="16"/>
  <c r="R87" i="16"/>
  <c r="R154" i="16" l="1"/>
  <c r="R148" i="16"/>
  <c r="R151" i="16"/>
  <c r="R152" i="16"/>
  <c r="R153" i="16"/>
  <c r="R150" i="16"/>
  <c r="C147" i="16"/>
  <c r="C149" i="16" s="1"/>
  <c r="I147" i="16"/>
  <c r="K147" i="16"/>
  <c r="K149" i="16" s="1"/>
  <c r="K155" i="16" s="1"/>
  <c r="R82" i="16"/>
  <c r="R84" i="16"/>
  <c r="H147" i="16"/>
  <c r="H149" i="16" s="1"/>
  <c r="G147" i="16"/>
  <c r="G149" i="16" s="1"/>
  <c r="L147" i="16"/>
  <c r="L149" i="16" s="1"/>
  <c r="F147" i="16"/>
  <c r="F149" i="16"/>
  <c r="F155" i="16" s="1"/>
  <c r="N147" i="16"/>
  <c r="N149" i="16" s="1"/>
  <c r="J147" i="16"/>
  <c r="Q147" i="16"/>
  <c r="Q149" i="16" s="1"/>
  <c r="E147" i="16"/>
  <c r="D147" i="16"/>
  <c r="D149" i="16" s="1"/>
  <c r="D155" i="16" s="1"/>
  <c r="M147" i="16"/>
  <c r="M149" i="16" s="1"/>
  <c r="O147" i="16"/>
  <c r="O149" i="16" s="1"/>
  <c r="P147" i="16"/>
  <c r="O84" i="16"/>
  <c r="C84" i="16"/>
  <c r="C90" i="16" s="1"/>
  <c r="C96" i="16" s="1"/>
  <c r="B84" i="16"/>
  <c r="F84" i="16"/>
  <c r="D84" i="16"/>
  <c r="N84" i="16"/>
  <c r="Q84" i="16"/>
  <c r="P84" i="16"/>
  <c r="P90" i="16" s="1"/>
  <c r="J84" i="16"/>
  <c r="J90" i="16" s="1"/>
  <c r="G84" i="16"/>
  <c r="G90" i="16" s="1"/>
  <c r="K84" i="16"/>
  <c r="K90" i="16" s="1"/>
  <c r="I84" i="16"/>
  <c r="I90" i="16" s="1"/>
  <c r="H84" i="16"/>
  <c r="M84" i="16"/>
  <c r="M90" i="16" s="1"/>
  <c r="E84" i="16"/>
  <c r="B147" i="16"/>
  <c r="L84" i="16"/>
  <c r="L90" i="16" s="1"/>
  <c r="P149" i="16" l="1"/>
  <c r="P155" i="16" s="1"/>
  <c r="P161" i="16" s="1"/>
  <c r="P172" i="16" s="1"/>
  <c r="P175" i="16" s="1"/>
  <c r="O155" i="16"/>
  <c r="M155" i="16"/>
  <c r="L96" i="16"/>
  <c r="L107" i="16" s="1"/>
  <c r="L110" i="16" s="1"/>
  <c r="N155" i="16"/>
  <c r="N161" i="16" s="1"/>
  <c r="B149" i="16"/>
  <c r="B155" i="16" s="1"/>
  <c r="D90" i="16"/>
  <c r="D96" i="16" s="1"/>
  <c r="H155" i="16"/>
  <c r="C107" i="16"/>
  <c r="C110" i="16" s="1"/>
  <c r="R90" i="16"/>
  <c r="M96" i="16"/>
  <c r="M107" i="16" s="1"/>
  <c r="M110" i="16" s="1"/>
  <c r="F161" i="16"/>
  <c r="F172" i="16" s="1"/>
  <c r="I149" i="16"/>
  <c r="Q90" i="16"/>
  <c r="R147" i="16"/>
  <c r="D161" i="16"/>
  <c r="D172" i="16" s="1"/>
  <c r="D175" i="16" s="1"/>
  <c r="L155" i="16"/>
  <c r="K161" i="16"/>
  <c r="K172" i="16" s="1"/>
  <c r="O90" i="16"/>
  <c r="O161" i="16"/>
  <c r="F90" i="16"/>
  <c r="F96" i="16" s="1"/>
  <c r="F107" i="16" s="1"/>
  <c r="J149" i="16"/>
  <c r="H90" i="16"/>
  <c r="H96" i="16" s="1"/>
  <c r="H107" i="16" s="1"/>
  <c r="G96" i="16"/>
  <c r="G107" i="16" s="1"/>
  <c r="E90" i="16"/>
  <c r="E96" i="16" s="1"/>
  <c r="E149" i="16"/>
  <c r="E155" i="16" s="1"/>
  <c r="B90" i="16"/>
  <c r="G155" i="16"/>
  <c r="G161" i="16" s="1"/>
  <c r="G172" i="16" s="1"/>
  <c r="C155" i="16"/>
  <c r="C161" i="16" s="1"/>
  <c r="C172" i="16" s="1"/>
  <c r="I96" i="16"/>
  <c r="I107" i="16" s="1"/>
  <c r="I110" i="16" s="1"/>
  <c r="Q155" i="16"/>
  <c r="J96" i="16"/>
  <c r="J107" i="16" s="1"/>
  <c r="N90" i="16"/>
  <c r="K96" i="16"/>
  <c r="P96" i="16"/>
  <c r="P107" i="16" s="1"/>
  <c r="D107" i="16" l="1"/>
  <c r="D110" i="16" s="1"/>
  <c r="H161" i="16"/>
  <c r="H172" i="16" s="1"/>
  <c r="H175" i="16" s="1"/>
  <c r="J110" i="16"/>
  <c r="N96" i="16"/>
  <c r="B161" i="16"/>
  <c r="B172" i="16" s="1"/>
  <c r="B175" i="16" s="1"/>
  <c r="B61" i="7" s="1"/>
  <c r="F175" i="16"/>
  <c r="F60" i="7" s="1"/>
  <c r="M161" i="16"/>
  <c r="D60" i="7"/>
  <c r="D61" i="7"/>
  <c r="E107" i="16"/>
  <c r="E110" i="16" s="1"/>
  <c r="E161" i="16"/>
  <c r="E172" i="16" s="1"/>
  <c r="E175" i="16" s="1"/>
  <c r="P61" i="7"/>
  <c r="P60" i="7"/>
  <c r="P110" i="16"/>
  <c r="N172" i="16"/>
  <c r="N175" i="16" s="1"/>
  <c r="H110" i="16"/>
  <c r="F110" i="16"/>
  <c r="O172" i="16"/>
  <c r="O175" i="16" s="1"/>
  <c r="R96" i="16"/>
  <c r="R107" i="16" s="1"/>
  <c r="R110" i="16" s="1"/>
  <c r="B180" i="16" s="1"/>
  <c r="C180" i="16" s="1"/>
  <c r="C175" i="16"/>
  <c r="G175" i="16"/>
  <c r="G110" i="16"/>
  <c r="Q161" i="16"/>
  <c r="Q172" i="16" s="1"/>
  <c r="Q175" i="16" s="1"/>
  <c r="Q96" i="16"/>
  <c r="Q107" i="16" s="1"/>
  <c r="B96" i="16"/>
  <c r="B107" i="16" s="1"/>
  <c r="I155" i="16"/>
  <c r="I161" i="16" s="1"/>
  <c r="K175" i="16"/>
  <c r="J155" i="16"/>
  <c r="J161" i="16" s="1"/>
  <c r="J172" i="16" s="1"/>
  <c r="J175" i="16" s="1"/>
  <c r="K107" i="16"/>
  <c r="K110" i="16" s="1"/>
  <c r="R149" i="16"/>
  <c r="R155" i="16" s="1"/>
  <c r="R161" i="16" s="1"/>
  <c r="O96" i="16"/>
  <c r="L161" i="16"/>
  <c r="H60" i="7" l="1"/>
  <c r="H61" i="7"/>
  <c r="B60" i="7"/>
  <c r="M172" i="16"/>
  <c r="M175" i="16" s="1"/>
  <c r="F61" i="7"/>
  <c r="N107" i="16"/>
  <c r="N110" i="16" s="1"/>
  <c r="I172" i="16"/>
  <c r="I175" i="16" s="1"/>
  <c r="L172" i="16"/>
  <c r="L175" i="16" s="1"/>
  <c r="J61" i="7"/>
  <c r="J60" i="7"/>
  <c r="E61" i="7"/>
  <c r="E60" i="7"/>
  <c r="Q60" i="7"/>
  <c r="Q61" i="7"/>
  <c r="N60" i="7"/>
  <c r="N61" i="7"/>
  <c r="O107" i="16"/>
  <c r="O110" i="16" s="1"/>
  <c r="Q110" i="16"/>
  <c r="R172" i="16"/>
  <c r="R175" i="16" s="1"/>
  <c r="G61" i="7"/>
  <c r="G60" i="7"/>
  <c r="O61" i="7"/>
  <c r="O60" i="7"/>
  <c r="B110" i="16"/>
  <c r="C61" i="7"/>
  <c r="C60" i="7"/>
  <c r="K61" i="7"/>
  <c r="K60" i="7"/>
  <c r="L60" i="7" l="1"/>
  <c r="L61" i="7"/>
  <c r="M61" i="7"/>
  <c r="M60" i="7"/>
  <c r="B182" i="16"/>
  <c r="C182" i="16" s="1"/>
  <c r="I61" i="7"/>
  <c r="I60" i="7"/>
  <c r="R61" i="7" l="1"/>
  <c r="R60" i="7"/>
  <c r="M31" i="6" l="1"/>
  <c r="M26" i="28" s="1"/>
  <c r="M27" i="28" s="1"/>
  <c r="P31" i="6"/>
  <c r="P26" i="28" s="1"/>
  <c r="P27" i="28" s="1"/>
  <c r="F31" i="6"/>
  <c r="F26" i="28" s="1"/>
  <c r="F27" i="28" s="1"/>
  <c r="B31" i="6"/>
  <c r="D31" i="6"/>
  <c r="D26" i="28" s="1"/>
  <c r="D27" i="28" s="1"/>
  <c r="H31" i="6"/>
  <c r="H26" i="28" s="1"/>
  <c r="H27" i="28" s="1"/>
  <c r="Q31" i="6"/>
  <c r="Q26" i="28" s="1"/>
  <c r="Q27" i="28" s="1"/>
  <c r="E31" i="6"/>
  <c r="E26" i="28" s="1"/>
  <c r="E27" i="28" s="1"/>
  <c r="C31" i="6"/>
  <c r="C26" i="28" s="1"/>
  <c r="C27" i="28" s="1"/>
  <c r="J31" i="6"/>
  <c r="J26" i="28" s="1"/>
  <c r="J27" i="28" s="1"/>
  <c r="G31" i="6"/>
  <c r="G26" i="28" s="1"/>
  <c r="G27" i="28" s="1"/>
  <c r="K31" i="6"/>
  <c r="K26" i="28" s="1"/>
  <c r="K27" i="28" s="1"/>
  <c r="O31" i="6"/>
  <c r="O26" i="28" s="1"/>
  <c r="O27" i="28" s="1"/>
  <c r="L31" i="6"/>
  <c r="L26" i="28" s="1"/>
  <c r="L27" i="28" s="1"/>
  <c r="N31" i="6"/>
  <c r="N26" i="28" s="1"/>
  <c r="N27" i="28" s="1"/>
  <c r="M32" i="6"/>
  <c r="P32" i="6"/>
  <c r="H32" i="6"/>
  <c r="F32" i="6"/>
  <c r="D32" i="6"/>
  <c r="B32" i="6"/>
  <c r="O32" i="6"/>
  <c r="N32" i="6"/>
  <c r="E32" i="6"/>
  <c r="Q32" i="6"/>
  <c r="C32" i="6"/>
  <c r="K32" i="6"/>
  <c r="G32" i="6"/>
  <c r="L32" i="6"/>
  <c r="J32" i="6"/>
  <c r="I32" i="6"/>
  <c r="I31" i="6"/>
  <c r="I26" i="28" s="1"/>
  <c r="I27" i="28" s="1"/>
  <c r="O35" i="6" l="1"/>
  <c r="O36" i="28"/>
  <c r="O38" i="28" s="1"/>
  <c r="O36" i="6" s="1"/>
  <c r="O113" i="15" s="1"/>
  <c r="C46" i="12"/>
  <c r="C110" i="15"/>
  <c r="C51" i="8"/>
  <c r="C77" i="28"/>
  <c r="C102" i="9"/>
  <c r="Q77" i="28"/>
  <c r="Q46" i="12"/>
  <c r="Q110" i="15"/>
  <c r="Q51" i="8"/>
  <c r="Q102" i="9"/>
  <c r="G77" i="28"/>
  <c r="G51" i="8"/>
  <c r="G102" i="9"/>
  <c r="G46" i="12"/>
  <c r="G110" i="15"/>
  <c r="J36" i="28"/>
  <c r="J38" i="28" s="1"/>
  <c r="J36" i="6" s="1"/>
  <c r="J113" i="15" s="1"/>
  <c r="J35" i="6"/>
  <c r="N46" i="12"/>
  <c r="N110" i="15"/>
  <c r="N77" i="28"/>
  <c r="N102" i="9"/>
  <c r="N51" i="8"/>
  <c r="O110" i="15"/>
  <c r="O46" i="12"/>
  <c r="O102" i="9"/>
  <c r="O51" i="8"/>
  <c r="O77" i="28"/>
  <c r="H35" i="6"/>
  <c r="H36" i="28"/>
  <c r="H38" i="28" s="1"/>
  <c r="H36" i="6" s="1"/>
  <c r="H113" i="15" s="1"/>
  <c r="D35" i="6"/>
  <c r="D36" i="28"/>
  <c r="D38" i="28" s="1"/>
  <c r="D36" i="6" s="1"/>
  <c r="D113" i="15" s="1"/>
  <c r="E35" i="6"/>
  <c r="E36" i="28"/>
  <c r="E38" i="28" s="1"/>
  <c r="E36" i="6" s="1"/>
  <c r="E113" i="15" s="1"/>
  <c r="B110" i="15"/>
  <c r="B102" i="9"/>
  <c r="B77" i="28"/>
  <c r="B46" i="12"/>
  <c r="R32" i="6"/>
  <c r="B51" i="8"/>
  <c r="D46" i="12"/>
  <c r="D51" i="8"/>
  <c r="D77" i="28"/>
  <c r="D110" i="15"/>
  <c r="D102" i="9"/>
  <c r="B26" i="28"/>
  <c r="R31" i="6"/>
  <c r="K102" i="9"/>
  <c r="K46" i="12"/>
  <c r="K77" i="28"/>
  <c r="K51" i="8"/>
  <c r="K110" i="15"/>
  <c r="F35" i="6"/>
  <c r="F36" i="28"/>
  <c r="F38" i="28" s="1"/>
  <c r="F36" i="6" s="1"/>
  <c r="F113" i="15" s="1"/>
  <c r="K35" i="6"/>
  <c r="K36" i="28"/>
  <c r="K38" i="28" s="1"/>
  <c r="K36" i="6" s="1"/>
  <c r="K113" i="15" s="1"/>
  <c r="P36" i="28"/>
  <c r="P38" i="28" s="1"/>
  <c r="P36" i="6" s="1"/>
  <c r="P113" i="15" s="1"/>
  <c r="P35" i="6"/>
  <c r="L36" i="28"/>
  <c r="L38" i="28" s="1"/>
  <c r="L36" i="6" s="1"/>
  <c r="L113" i="15" s="1"/>
  <c r="L35" i="6"/>
  <c r="G35" i="6"/>
  <c r="G36" i="28"/>
  <c r="G38" i="28" s="1"/>
  <c r="G36" i="6" s="1"/>
  <c r="G113" i="15" s="1"/>
  <c r="E51" i="8"/>
  <c r="E102" i="9"/>
  <c r="E77" i="28"/>
  <c r="E110" i="15"/>
  <c r="E46" i="12"/>
  <c r="C36" i="28"/>
  <c r="C38" i="28" s="1"/>
  <c r="C36" i="6" s="1"/>
  <c r="C113" i="15" s="1"/>
  <c r="C35" i="6"/>
  <c r="Q36" i="28"/>
  <c r="Q38" i="28" s="1"/>
  <c r="Q36" i="6" s="1"/>
  <c r="Q113" i="15" s="1"/>
  <c r="Q35" i="6"/>
  <c r="F77" i="28"/>
  <c r="F102" i="9"/>
  <c r="F51" i="8"/>
  <c r="F110" i="15"/>
  <c r="F46" i="12"/>
  <c r="I35" i="6"/>
  <c r="I36" i="28"/>
  <c r="I38" i="28" s="1"/>
  <c r="I36" i="6" s="1"/>
  <c r="I113" i="15" s="1"/>
  <c r="H110" i="15"/>
  <c r="H102" i="9"/>
  <c r="H77" i="28"/>
  <c r="H46" i="12"/>
  <c r="H51" i="8"/>
  <c r="I46" i="12"/>
  <c r="I102" i="9"/>
  <c r="I110" i="15"/>
  <c r="I51" i="8"/>
  <c r="I77" i="28"/>
  <c r="P102" i="9"/>
  <c r="P77" i="28"/>
  <c r="P110" i="15"/>
  <c r="P51" i="8"/>
  <c r="P46" i="12"/>
  <c r="J102" i="9"/>
  <c r="J51" i="8"/>
  <c r="J46" i="12"/>
  <c r="J77" i="28"/>
  <c r="J110" i="15"/>
  <c r="M77" i="28"/>
  <c r="M46" i="12"/>
  <c r="M102" i="9"/>
  <c r="M110" i="15"/>
  <c r="M51" i="8"/>
  <c r="L51" i="8"/>
  <c r="L77" i="28"/>
  <c r="L46" i="12"/>
  <c r="L102" i="9"/>
  <c r="L110" i="15"/>
  <c r="N35" i="6"/>
  <c r="N36" i="28"/>
  <c r="N38" i="28" s="1"/>
  <c r="N36" i="6" s="1"/>
  <c r="N113" i="15" s="1"/>
  <c r="M36" i="28"/>
  <c r="M38" i="28" s="1"/>
  <c r="M36" i="6" s="1"/>
  <c r="M113" i="15" s="1"/>
  <c r="M35" i="6"/>
  <c r="F74" i="28" l="1"/>
  <c r="F78" i="28" s="1"/>
  <c r="F38" i="6" s="1"/>
  <c r="F112" i="15"/>
  <c r="R102" i="9"/>
  <c r="R77" i="28"/>
  <c r="K112" i="15"/>
  <c r="K74" i="28"/>
  <c r="K78" i="28" s="1"/>
  <c r="K38" i="6" s="1"/>
  <c r="R51" i="8"/>
  <c r="R110" i="15"/>
  <c r="G74" i="28"/>
  <c r="G78" i="28" s="1"/>
  <c r="G38" i="6" s="1"/>
  <c r="G112" i="15"/>
  <c r="E112" i="15"/>
  <c r="E74" i="28"/>
  <c r="E78" i="28" s="1"/>
  <c r="E38" i="6" s="1"/>
  <c r="L74" i="28"/>
  <c r="L78" i="28" s="1"/>
  <c r="L38" i="6" s="1"/>
  <c r="L112" i="15"/>
  <c r="B27" i="28"/>
  <c r="R26" i="28"/>
  <c r="J74" i="28"/>
  <c r="J78" i="28" s="1"/>
  <c r="J38" i="6" s="1"/>
  <c r="J112" i="15"/>
  <c r="I112" i="15"/>
  <c r="I74" i="28"/>
  <c r="I78" i="28" s="1"/>
  <c r="I38" i="6" s="1"/>
  <c r="D74" i="28"/>
  <c r="D78" i="28" s="1"/>
  <c r="D38" i="6" s="1"/>
  <c r="D112" i="15"/>
  <c r="C112" i="15"/>
  <c r="C74" i="28"/>
  <c r="C78" i="28" s="1"/>
  <c r="C38" i="6" s="1"/>
  <c r="P74" i="28"/>
  <c r="P78" i="28" s="1"/>
  <c r="P38" i="6" s="1"/>
  <c r="P112" i="15"/>
  <c r="N112" i="15"/>
  <c r="N74" i="28"/>
  <c r="N78" i="28" s="1"/>
  <c r="N38" i="6" s="1"/>
  <c r="R46" i="12"/>
  <c r="H74" i="28"/>
  <c r="H78" i="28" s="1"/>
  <c r="H38" i="6" s="1"/>
  <c r="H112" i="15"/>
  <c r="Q74" i="28"/>
  <c r="Q78" i="28" s="1"/>
  <c r="Q38" i="6" s="1"/>
  <c r="Q112" i="15"/>
  <c r="M112" i="15"/>
  <c r="M74" i="28"/>
  <c r="M78" i="28" s="1"/>
  <c r="M38" i="6" s="1"/>
  <c r="O112" i="15"/>
  <c r="O74" i="28"/>
  <c r="O78" i="28" s="1"/>
  <c r="O38" i="6" s="1"/>
  <c r="N114" i="15" l="1"/>
  <c r="N103" i="9"/>
  <c r="N47" i="12"/>
  <c r="N52" i="8"/>
  <c r="J114" i="15"/>
  <c r="J47" i="12"/>
  <c r="J103" i="9"/>
  <c r="J52" i="8"/>
  <c r="H47" i="12"/>
  <c r="H114" i="15"/>
  <c r="H52" i="8"/>
  <c r="H103" i="9"/>
  <c r="L47" i="12"/>
  <c r="L103" i="9"/>
  <c r="L52" i="8"/>
  <c r="L114" i="15"/>
  <c r="G52" i="8"/>
  <c r="G47" i="12"/>
  <c r="G114" i="15"/>
  <c r="G103" i="9"/>
  <c r="O52" i="8"/>
  <c r="O47" i="12"/>
  <c r="O114" i="15"/>
  <c r="O103" i="9"/>
  <c r="K114" i="15"/>
  <c r="K47" i="12"/>
  <c r="K52" i="8"/>
  <c r="K103" i="9"/>
  <c r="P114" i="15"/>
  <c r="P52" i="8"/>
  <c r="P47" i="12"/>
  <c r="P103" i="9"/>
  <c r="C103" i="9"/>
  <c r="C47" i="12"/>
  <c r="C52" i="8"/>
  <c r="C114" i="15"/>
  <c r="Q114" i="15"/>
  <c r="Q103" i="9"/>
  <c r="Q47" i="12"/>
  <c r="Q52" i="8"/>
  <c r="B36" i="28"/>
  <c r="B35" i="6"/>
  <c r="R27" i="28"/>
  <c r="M52" i="8"/>
  <c r="M47" i="12"/>
  <c r="M103" i="9"/>
  <c r="M114" i="15"/>
  <c r="E47" i="12"/>
  <c r="E52" i="8"/>
  <c r="E103" i="9"/>
  <c r="E114" i="15"/>
  <c r="D52" i="8"/>
  <c r="D47" i="12"/>
  <c r="D103" i="9"/>
  <c r="D114" i="15"/>
  <c r="I47" i="12"/>
  <c r="I103" i="9"/>
  <c r="I52" i="8"/>
  <c r="I114" i="15"/>
  <c r="F103" i="9"/>
  <c r="F47" i="12"/>
  <c r="F52" i="8"/>
  <c r="F114" i="15"/>
  <c r="R77" i="16" l="1"/>
  <c r="R35" i="6"/>
  <c r="B112" i="15"/>
  <c r="B74" i="28"/>
  <c r="B38" i="28"/>
  <c r="R36" i="28"/>
  <c r="R74" i="28" l="1"/>
  <c r="B78" i="28"/>
  <c r="R112" i="15"/>
  <c r="R38" i="28"/>
  <c r="B36" i="6"/>
  <c r="B113" i="15" l="1"/>
  <c r="R36" i="6"/>
  <c r="R78" i="28"/>
  <c r="B38" i="6"/>
  <c r="B52" i="8" l="1"/>
  <c r="B47" i="12"/>
  <c r="R38" i="6"/>
  <c r="B114" i="15"/>
  <c r="R114" i="15" s="1"/>
  <c r="B103" i="9"/>
  <c r="R113" i="15"/>
  <c r="R103" i="9" l="1"/>
  <c r="B138" i="9" a="1"/>
  <c r="B142" i="9" a="1"/>
  <c r="B134" i="9" a="1"/>
  <c r="B126" i="9" a="1"/>
  <c r="B132" i="9" a="1"/>
  <c r="B116" i="9" a="1"/>
  <c r="B125" i="9" a="1"/>
  <c r="B115" i="9" a="1"/>
  <c r="B145" i="9" a="1"/>
  <c r="B137" i="9" a="1"/>
  <c r="B128" i="9" a="1"/>
  <c r="B130" i="9" a="1"/>
  <c r="B118" i="9" a="1"/>
  <c r="B148" i="9" a="1"/>
  <c r="B129" i="9" a="1"/>
  <c r="B122" i="9" a="1"/>
  <c r="B147" i="9" a="1"/>
  <c r="B117" i="9" a="1"/>
  <c r="B143" i="9" a="1"/>
  <c r="B114" i="9" a="1"/>
  <c r="B120" i="9" a="1"/>
  <c r="B127" i="9" a="1"/>
  <c r="B131" i="9" a="1"/>
  <c r="B135" i="9" a="1"/>
  <c r="B149" i="9" a="1"/>
  <c r="B112" i="9" a="1"/>
  <c r="B136" i="9" a="1"/>
  <c r="B139" i="9" a="1"/>
  <c r="B140" i="9" a="1"/>
  <c r="B124" i="9" a="1"/>
  <c r="R47" i="12"/>
  <c r="B61" i="12" a="1"/>
  <c r="B55" i="12" a="1"/>
  <c r="B63" i="12" a="1"/>
  <c r="B59" i="12" a="1"/>
  <c r="B57" i="12" a="1"/>
  <c r="B58" i="12" a="1"/>
  <c r="B56" i="12" a="1"/>
  <c r="B53" i="12" a="1"/>
  <c r="R52" i="8"/>
  <c r="B101" i="8" a="1"/>
  <c r="B99" i="8" a="1"/>
  <c r="B98" i="8" a="1"/>
  <c r="B103" i="8" a="1"/>
  <c r="B97" i="8" a="1"/>
  <c r="B100" i="8" a="1"/>
  <c r="B106" i="8" a="1"/>
  <c r="B107" i="8" a="1"/>
  <c r="B95" i="8" a="1"/>
  <c r="O53" i="12" l="1"/>
  <c r="M53" i="12"/>
  <c r="F53" i="12"/>
  <c r="K53" i="12"/>
  <c r="J53" i="12"/>
  <c r="C53" i="12"/>
  <c r="L53" i="12"/>
  <c r="Q53" i="12"/>
  <c r="I53" i="12"/>
  <c r="N53" i="12"/>
  <c r="P53" i="12"/>
  <c r="E53" i="12"/>
  <c r="D53" i="12"/>
  <c r="B53" i="12"/>
  <c r="H53" i="12"/>
  <c r="G53" i="12"/>
  <c r="J149" i="9"/>
  <c r="P149" i="9"/>
  <c r="O149" i="9"/>
  <c r="C149" i="9"/>
  <c r="H149" i="9"/>
  <c r="L149" i="9"/>
  <c r="K149" i="9"/>
  <c r="D149" i="9"/>
  <c r="N149" i="9"/>
  <c r="Q149" i="9"/>
  <c r="E149" i="9"/>
  <c r="M149" i="9"/>
  <c r="I149" i="9"/>
  <c r="G149" i="9"/>
  <c r="F149" i="9"/>
  <c r="B149" i="9"/>
  <c r="I128" i="9"/>
  <c r="O128" i="9"/>
  <c r="N128" i="9"/>
  <c r="E128" i="9"/>
  <c r="P128" i="9"/>
  <c r="G128" i="9"/>
  <c r="C128" i="9"/>
  <c r="Q128" i="9"/>
  <c r="F128" i="9"/>
  <c r="J128" i="9"/>
  <c r="M128" i="9"/>
  <c r="H128" i="9"/>
  <c r="L128" i="9"/>
  <c r="D128" i="9"/>
  <c r="K128" i="9"/>
  <c r="B128" i="9"/>
  <c r="J56" i="12"/>
  <c r="J72" i="12" s="1"/>
  <c r="H56" i="12"/>
  <c r="H72" i="12" s="1"/>
  <c r="B56" i="12"/>
  <c r="L56" i="12"/>
  <c r="L72" i="12" s="1"/>
  <c r="O56" i="12"/>
  <c r="O72" i="12" s="1"/>
  <c r="K56" i="12"/>
  <c r="K72" i="12" s="1"/>
  <c r="N56" i="12"/>
  <c r="N72" i="12" s="1"/>
  <c r="M56" i="12"/>
  <c r="M72" i="12" s="1"/>
  <c r="D56" i="12"/>
  <c r="D72" i="12" s="1"/>
  <c r="Q56" i="12"/>
  <c r="Q72" i="12" s="1"/>
  <c r="G56" i="12"/>
  <c r="G72" i="12" s="1"/>
  <c r="I56" i="12"/>
  <c r="I72" i="12" s="1"/>
  <c r="F56" i="12"/>
  <c r="F72" i="12" s="1"/>
  <c r="C56" i="12"/>
  <c r="C72" i="12" s="1"/>
  <c r="P56" i="12"/>
  <c r="P72" i="12" s="1"/>
  <c r="E56" i="12"/>
  <c r="E72" i="12" s="1"/>
  <c r="L59" i="12"/>
  <c r="L75" i="12" s="1"/>
  <c r="O59" i="12"/>
  <c r="O75" i="12" s="1"/>
  <c r="D59" i="12"/>
  <c r="D75" i="12" s="1"/>
  <c r="K59" i="12"/>
  <c r="K75" i="12" s="1"/>
  <c r="B59" i="12"/>
  <c r="H59" i="12"/>
  <c r="H75" i="12" s="1"/>
  <c r="P59" i="12"/>
  <c r="P75" i="12" s="1"/>
  <c r="C59" i="12"/>
  <c r="C75" i="12" s="1"/>
  <c r="M59" i="12"/>
  <c r="M75" i="12" s="1"/>
  <c r="J59" i="12"/>
  <c r="J75" i="12" s="1"/>
  <c r="G59" i="12"/>
  <c r="G75" i="12" s="1"/>
  <c r="Q59" i="12"/>
  <c r="Q75" i="12" s="1"/>
  <c r="I59" i="12"/>
  <c r="I75" i="12" s="1"/>
  <c r="E59" i="12"/>
  <c r="E75" i="12" s="1"/>
  <c r="F59" i="12"/>
  <c r="F75" i="12" s="1"/>
  <c r="N59" i="12"/>
  <c r="N75" i="12" s="1"/>
  <c r="G120" i="9"/>
  <c r="L120" i="9"/>
  <c r="Q120" i="9"/>
  <c r="D120" i="9"/>
  <c r="M120" i="9"/>
  <c r="I120" i="9"/>
  <c r="K120" i="9"/>
  <c r="J120" i="9"/>
  <c r="B120" i="9"/>
  <c r="E120" i="9"/>
  <c r="P120" i="9"/>
  <c r="H120" i="9"/>
  <c r="F120" i="9"/>
  <c r="C120" i="9"/>
  <c r="N120" i="9"/>
  <c r="O120" i="9"/>
  <c r="N125" i="9"/>
  <c r="O125" i="9"/>
  <c r="D125" i="9"/>
  <c r="E125" i="9"/>
  <c r="M125" i="9"/>
  <c r="L125" i="9"/>
  <c r="P125" i="9"/>
  <c r="J125" i="9"/>
  <c r="F125" i="9"/>
  <c r="C125" i="9"/>
  <c r="Q125" i="9"/>
  <c r="K125" i="9"/>
  <c r="B125" i="9"/>
  <c r="G125" i="9"/>
  <c r="H125" i="9"/>
  <c r="I125" i="9"/>
  <c r="I95" i="8"/>
  <c r="C95" i="8"/>
  <c r="M95" i="8"/>
  <c r="N95" i="8"/>
  <c r="F95" i="8"/>
  <c r="E95" i="8"/>
  <c r="K95" i="8"/>
  <c r="H95" i="8"/>
  <c r="Q95" i="8"/>
  <c r="J95" i="8"/>
  <c r="B95" i="8"/>
  <c r="O95" i="8"/>
  <c r="G95" i="8"/>
  <c r="D95" i="8"/>
  <c r="P95" i="8"/>
  <c r="L95" i="8"/>
  <c r="E131" i="9"/>
  <c r="D131" i="9"/>
  <c r="N131" i="9"/>
  <c r="I131" i="9"/>
  <c r="J131" i="9"/>
  <c r="M131" i="9"/>
  <c r="O131" i="9"/>
  <c r="L131" i="9"/>
  <c r="Q131" i="9"/>
  <c r="P131" i="9"/>
  <c r="F131" i="9"/>
  <c r="B131" i="9"/>
  <c r="H131" i="9"/>
  <c r="G131" i="9"/>
  <c r="K131" i="9"/>
  <c r="C131" i="9"/>
  <c r="H57" i="12"/>
  <c r="H73" i="12" s="1"/>
  <c r="D57" i="12"/>
  <c r="D73" i="12" s="1"/>
  <c r="M57" i="12"/>
  <c r="M73" i="12" s="1"/>
  <c r="J57" i="12"/>
  <c r="J73" i="12" s="1"/>
  <c r="I57" i="12"/>
  <c r="I73" i="12" s="1"/>
  <c r="Q57" i="12"/>
  <c r="Q73" i="12" s="1"/>
  <c r="B57" i="12"/>
  <c r="L57" i="12"/>
  <c r="L73" i="12" s="1"/>
  <c r="P57" i="12"/>
  <c r="P73" i="12" s="1"/>
  <c r="C57" i="12"/>
  <c r="C73" i="12" s="1"/>
  <c r="N57" i="12"/>
  <c r="N73" i="12" s="1"/>
  <c r="F57" i="12"/>
  <c r="F73" i="12" s="1"/>
  <c r="G57" i="12"/>
  <c r="G73" i="12" s="1"/>
  <c r="K57" i="12"/>
  <c r="K73" i="12" s="1"/>
  <c r="E57" i="12"/>
  <c r="E73" i="12" s="1"/>
  <c r="O57" i="12"/>
  <c r="O73" i="12" s="1"/>
  <c r="P63" i="12"/>
  <c r="P79" i="12" s="1"/>
  <c r="Q63" i="12"/>
  <c r="Q79" i="12" s="1"/>
  <c r="L63" i="12"/>
  <c r="L79" i="12" s="1"/>
  <c r="E63" i="12"/>
  <c r="E79" i="12" s="1"/>
  <c r="B63" i="12"/>
  <c r="H63" i="12"/>
  <c r="H79" i="12" s="1"/>
  <c r="J63" i="12"/>
  <c r="J79" i="12" s="1"/>
  <c r="G63" i="12"/>
  <c r="G79" i="12" s="1"/>
  <c r="I63" i="12"/>
  <c r="I79" i="12" s="1"/>
  <c r="C63" i="12"/>
  <c r="C79" i="12" s="1"/>
  <c r="F63" i="12"/>
  <c r="F79" i="12" s="1"/>
  <c r="M63" i="12"/>
  <c r="M79" i="12" s="1"/>
  <c r="O63" i="12"/>
  <c r="O79" i="12" s="1"/>
  <c r="N63" i="12"/>
  <c r="N79" i="12" s="1"/>
  <c r="K63" i="12"/>
  <c r="K79" i="12" s="1"/>
  <c r="D63" i="12"/>
  <c r="D79" i="12" s="1"/>
  <c r="E98" i="8"/>
  <c r="E117" i="8" s="1"/>
  <c r="B98" i="8"/>
  <c r="M98" i="8"/>
  <c r="M117" i="8" s="1"/>
  <c r="I98" i="8"/>
  <c r="I117" i="8" s="1"/>
  <c r="J98" i="8"/>
  <c r="J117" i="8" s="1"/>
  <c r="P98" i="8"/>
  <c r="P117" i="8" s="1"/>
  <c r="G98" i="8"/>
  <c r="G117" i="8" s="1"/>
  <c r="F98" i="8"/>
  <c r="F117" i="8" s="1"/>
  <c r="Q98" i="8"/>
  <c r="Q117" i="8" s="1"/>
  <c r="N98" i="8"/>
  <c r="N117" i="8" s="1"/>
  <c r="K98" i="8"/>
  <c r="K117" i="8" s="1"/>
  <c r="H98" i="8"/>
  <c r="H117" i="8" s="1"/>
  <c r="L98" i="8"/>
  <c r="L117" i="8" s="1"/>
  <c r="O98" i="8"/>
  <c r="O117" i="8" s="1"/>
  <c r="D98" i="8"/>
  <c r="D117" i="8" s="1"/>
  <c r="C98" i="8"/>
  <c r="C117" i="8" s="1"/>
  <c r="K55" i="12"/>
  <c r="M55" i="12"/>
  <c r="G55" i="12"/>
  <c r="C55" i="12"/>
  <c r="D55" i="12"/>
  <c r="B55" i="12"/>
  <c r="N55" i="12"/>
  <c r="F55" i="12"/>
  <c r="E55" i="12"/>
  <c r="H55" i="12"/>
  <c r="P55" i="12"/>
  <c r="O55" i="12"/>
  <c r="Q55" i="12"/>
  <c r="L55" i="12"/>
  <c r="J55" i="12"/>
  <c r="I55" i="12"/>
  <c r="I143" i="9"/>
  <c r="H143" i="9"/>
  <c r="J143" i="9"/>
  <c r="D143" i="9"/>
  <c r="O143" i="9"/>
  <c r="F143" i="9"/>
  <c r="P143" i="9"/>
  <c r="C143" i="9"/>
  <c r="K143" i="9"/>
  <c r="N143" i="9"/>
  <c r="B143" i="9"/>
  <c r="M143" i="9"/>
  <c r="L143" i="9"/>
  <c r="E143" i="9"/>
  <c r="G143" i="9"/>
  <c r="Q143" i="9"/>
  <c r="L132" i="9"/>
  <c r="N132" i="9"/>
  <c r="E132" i="9"/>
  <c r="F132" i="9"/>
  <c r="K132" i="9"/>
  <c r="P132" i="9"/>
  <c r="D132" i="9"/>
  <c r="I132" i="9"/>
  <c r="B132" i="9"/>
  <c r="Q132" i="9"/>
  <c r="M132" i="9"/>
  <c r="C132" i="9"/>
  <c r="H132" i="9"/>
  <c r="J132" i="9"/>
  <c r="G132" i="9"/>
  <c r="O132" i="9"/>
  <c r="H58" i="12"/>
  <c r="H74" i="12" s="1"/>
  <c r="I58" i="12"/>
  <c r="I74" i="12" s="1"/>
  <c r="N58" i="12"/>
  <c r="N74" i="12" s="1"/>
  <c r="E58" i="12"/>
  <c r="E74" i="12" s="1"/>
  <c r="O58" i="12"/>
  <c r="O74" i="12" s="1"/>
  <c r="M58" i="12"/>
  <c r="M74" i="12" s="1"/>
  <c r="F58" i="12"/>
  <c r="F74" i="12" s="1"/>
  <c r="Q58" i="12"/>
  <c r="Q74" i="12" s="1"/>
  <c r="P58" i="12"/>
  <c r="P74" i="12" s="1"/>
  <c r="L58" i="12"/>
  <c r="L74" i="12" s="1"/>
  <c r="D58" i="12"/>
  <c r="D74" i="12" s="1"/>
  <c r="B58" i="12"/>
  <c r="G58" i="12"/>
  <c r="G74" i="12" s="1"/>
  <c r="K58" i="12"/>
  <c r="K74" i="12" s="1"/>
  <c r="J58" i="12"/>
  <c r="J74" i="12" s="1"/>
  <c r="C58" i="12"/>
  <c r="C74" i="12" s="1"/>
  <c r="O114" i="9"/>
  <c r="K114" i="9"/>
  <c r="P114" i="9"/>
  <c r="E114" i="9"/>
  <c r="N114" i="9"/>
  <c r="J114" i="9"/>
  <c r="B114" i="9"/>
  <c r="H114" i="9"/>
  <c r="D114" i="9"/>
  <c r="L114" i="9"/>
  <c r="G114" i="9"/>
  <c r="Q114" i="9"/>
  <c r="I114" i="9"/>
  <c r="M114" i="9"/>
  <c r="C114" i="9"/>
  <c r="F114" i="9"/>
  <c r="P126" i="9"/>
  <c r="M126" i="9"/>
  <c r="H126" i="9"/>
  <c r="C126" i="9"/>
  <c r="D126" i="9"/>
  <c r="J126" i="9"/>
  <c r="G126" i="9"/>
  <c r="K126" i="9"/>
  <c r="I126" i="9"/>
  <c r="B126" i="9"/>
  <c r="L126" i="9"/>
  <c r="E126" i="9"/>
  <c r="Q126" i="9"/>
  <c r="F126" i="9"/>
  <c r="N126" i="9"/>
  <c r="O126" i="9"/>
  <c r="G135" i="9"/>
  <c r="H135" i="9"/>
  <c r="P135" i="9"/>
  <c r="D135" i="9"/>
  <c r="F135" i="9"/>
  <c r="J135" i="9"/>
  <c r="O135" i="9"/>
  <c r="C135" i="9"/>
  <c r="E135" i="9"/>
  <c r="M135" i="9"/>
  <c r="Q135" i="9"/>
  <c r="B135" i="9"/>
  <c r="I135" i="9"/>
  <c r="N135" i="9"/>
  <c r="K135" i="9"/>
  <c r="L135" i="9"/>
  <c r="E100" i="8"/>
  <c r="E119" i="8" s="1"/>
  <c r="F100" i="8"/>
  <c r="F119" i="8" s="1"/>
  <c r="H100" i="8"/>
  <c r="H119" i="8" s="1"/>
  <c r="G100" i="8"/>
  <c r="G119" i="8" s="1"/>
  <c r="N100" i="8"/>
  <c r="N119" i="8" s="1"/>
  <c r="I100" i="8"/>
  <c r="I119" i="8" s="1"/>
  <c r="P100" i="8"/>
  <c r="P119" i="8" s="1"/>
  <c r="J100" i="8"/>
  <c r="J119" i="8" s="1"/>
  <c r="B100" i="8"/>
  <c r="Q100" i="8"/>
  <c r="Q119" i="8" s="1"/>
  <c r="D100" i="8"/>
  <c r="D119" i="8" s="1"/>
  <c r="L100" i="8"/>
  <c r="L119" i="8" s="1"/>
  <c r="K100" i="8"/>
  <c r="K119" i="8" s="1"/>
  <c r="C100" i="8"/>
  <c r="C119" i="8" s="1"/>
  <c r="M100" i="8"/>
  <c r="M119" i="8" s="1"/>
  <c r="O100" i="8"/>
  <c r="O119" i="8" s="1"/>
  <c r="Q97" i="8"/>
  <c r="J97" i="8"/>
  <c r="K97" i="8"/>
  <c r="H97" i="8"/>
  <c r="B97" i="8"/>
  <c r="N97" i="8"/>
  <c r="C97" i="8"/>
  <c r="F97" i="8"/>
  <c r="M97" i="8"/>
  <c r="L97" i="8"/>
  <c r="I97" i="8"/>
  <c r="O97" i="8"/>
  <c r="E97" i="8"/>
  <c r="G97" i="8"/>
  <c r="D97" i="8"/>
  <c r="P97" i="8"/>
  <c r="E101" i="8"/>
  <c r="E120" i="8" s="1"/>
  <c r="G101" i="8"/>
  <c r="G120" i="8" s="1"/>
  <c r="F101" i="8"/>
  <c r="F120" i="8" s="1"/>
  <c r="M101" i="8"/>
  <c r="M120" i="8" s="1"/>
  <c r="O101" i="8"/>
  <c r="O120" i="8" s="1"/>
  <c r="I101" i="8"/>
  <c r="I120" i="8" s="1"/>
  <c r="K101" i="8"/>
  <c r="K120" i="8" s="1"/>
  <c r="L101" i="8"/>
  <c r="L120" i="8" s="1"/>
  <c r="N101" i="8"/>
  <c r="N120" i="8" s="1"/>
  <c r="B101" i="8"/>
  <c r="J101" i="8"/>
  <c r="J120" i="8" s="1"/>
  <c r="Q101" i="8"/>
  <c r="Q120" i="8" s="1"/>
  <c r="P101" i="8"/>
  <c r="P120" i="8" s="1"/>
  <c r="H101" i="8"/>
  <c r="H120" i="8" s="1"/>
  <c r="C101" i="8"/>
  <c r="C120" i="8" s="1"/>
  <c r="D101" i="8"/>
  <c r="D120" i="8" s="1"/>
  <c r="H147" i="9"/>
  <c r="O147" i="9"/>
  <c r="J147" i="9"/>
  <c r="C147" i="9"/>
  <c r="Q147" i="9"/>
  <c r="F147" i="9"/>
  <c r="B147" i="9"/>
  <c r="E147" i="9"/>
  <c r="P147" i="9"/>
  <c r="G147" i="9"/>
  <c r="D147" i="9"/>
  <c r="M147" i="9"/>
  <c r="L147" i="9"/>
  <c r="I147" i="9"/>
  <c r="N147" i="9"/>
  <c r="K147" i="9"/>
  <c r="Q134" i="9"/>
  <c r="E134" i="9"/>
  <c r="C134" i="9"/>
  <c r="L134" i="9"/>
  <c r="G134" i="9"/>
  <c r="F134" i="9"/>
  <c r="M134" i="9"/>
  <c r="H134" i="9"/>
  <c r="J134" i="9"/>
  <c r="K134" i="9"/>
  <c r="N134" i="9"/>
  <c r="P134" i="9"/>
  <c r="B134" i="9"/>
  <c r="D134" i="9"/>
  <c r="I134" i="9"/>
  <c r="O134" i="9"/>
  <c r="O107" i="8"/>
  <c r="O126" i="8" s="1"/>
  <c r="E107" i="8"/>
  <c r="E126" i="8" s="1"/>
  <c r="L107" i="8"/>
  <c r="L126" i="8" s="1"/>
  <c r="J107" i="8"/>
  <c r="J126" i="8" s="1"/>
  <c r="F107" i="8"/>
  <c r="F126" i="8" s="1"/>
  <c r="H107" i="8"/>
  <c r="H126" i="8" s="1"/>
  <c r="G107" i="8"/>
  <c r="G126" i="8" s="1"/>
  <c r="I107" i="8"/>
  <c r="I126" i="8" s="1"/>
  <c r="P107" i="8"/>
  <c r="P126" i="8" s="1"/>
  <c r="Q107" i="8"/>
  <c r="Q126" i="8" s="1"/>
  <c r="C107" i="8"/>
  <c r="C126" i="8" s="1"/>
  <c r="B107" i="8"/>
  <c r="D107" i="8"/>
  <c r="D126" i="8" s="1"/>
  <c r="K107" i="8"/>
  <c r="K126" i="8" s="1"/>
  <c r="M107" i="8"/>
  <c r="M126" i="8" s="1"/>
  <c r="N107" i="8"/>
  <c r="N126" i="8" s="1"/>
  <c r="H127" i="9"/>
  <c r="Q127" i="9"/>
  <c r="F127" i="9"/>
  <c r="G127" i="9"/>
  <c r="D127" i="9"/>
  <c r="K127" i="9"/>
  <c r="B127" i="9"/>
  <c r="I127" i="9"/>
  <c r="C127" i="9"/>
  <c r="P127" i="9"/>
  <c r="L127" i="9"/>
  <c r="M127" i="9"/>
  <c r="J127" i="9"/>
  <c r="N127" i="9"/>
  <c r="O127" i="9"/>
  <c r="E127" i="9"/>
  <c r="K117" i="9"/>
  <c r="M117" i="9"/>
  <c r="J117" i="9"/>
  <c r="F117" i="9"/>
  <c r="N117" i="9"/>
  <c r="G117" i="9"/>
  <c r="D117" i="9"/>
  <c r="I117" i="9"/>
  <c r="C117" i="9"/>
  <c r="B117" i="9"/>
  <c r="O117" i="9"/>
  <c r="E117" i="9"/>
  <c r="P117" i="9"/>
  <c r="Q117" i="9"/>
  <c r="H117" i="9"/>
  <c r="L117" i="9"/>
  <c r="C122" i="9"/>
  <c r="Q122" i="9"/>
  <c r="F122" i="9"/>
  <c r="E122" i="9"/>
  <c r="D122" i="9"/>
  <c r="M122" i="9"/>
  <c r="N122" i="9"/>
  <c r="O122" i="9"/>
  <c r="B122" i="9"/>
  <c r="K122" i="9"/>
  <c r="J122" i="9"/>
  <c r="L122" i="9"/>
  <c r="H122" i="9"/>
  <c r="P122" i="9"/>
  <c r="G122" i="9"/>
  <c r="I122" i="9"/>
  <c r="L142" i="9"/>
  <c r="M142" i="9"/>
  <c r="N142" i="9"/>
  <c r="B142" i="9"/>
  <c r="J142" i="9"/>
  <c r="I142" i="9"/>
  <c r="P142" i="9"/>
  <c r="E142" i="9"/>
  <c r="H142" i="9"/>
  <c r="K142" i="9"/>
  <c r="Q142" i="9"/>
  <c r="O142" i="9"/>
  <c r="F142" i="9"/>
  <c r="C142" i="9"/>
  <c r="G142" i="9"/>
  <c r="D142" i="9"/>
  <c r="C145" i="9"/>
  <c r="P145" i="9"/>
  <c r="M145" i="9"/>
  <c r="K145" i="9"/>
  <c r="J145" i="9"/>
  <c r="F145" i="9"/>
  <c r="D145" i="9"/>
  <c r="I145" i="9"/>
  <c r="G145" i="9"/>
  <c r="B145" i="9"/>
  <c r="O145" i="9"/>
  <c r="Q145" i="9"/>
  <c r="L145" i="9"/>
  <c r="E145" i="9"/>
  <c r="N145" i="9"/>
  <c r="H145" i="9"/>
  <c r="F116" i="9"/>
  <c r="K116" i="9"/>
  <c r="J116" i="9"/>
  <c r="M116" i="9"/>
  <c r="D116" i="9"/>
  <c r="B116" i="9"/>
  <c r="I116" i="9"/>
  <c r="L116" i="9"/>
  <c r="G116" i="9"/>
  <c r="C116" i="9"/>
  <c r="N116" i="9"/>
  <c r="O116" i="9"/>
  <c r="H116" i="9"/>
  <c r="Q116" i="9"/>
  <c r="P116" i="9"/>
  <c r="E116" i="9"/>
  <c r="H129" i="9"/>
  <c r="O129" i="9"/>
  <c r="P129" i="9"/>
  <c r="I129" i="9"/>
  <c r="N129" i="9"/>
  <c r="E129" i="9"/>
  <c r="C129" i="9"/>
  <c r="M129" i="9"/>
  <c r="B129" i="9"/>
  <c r="F129" i="9"/>
  <c r="D129" i="9"/>
  <c r="G129" i="9"/>
  <c r="Q129" i="9"/>
  <c r="K129" i="9"/>
  <c r="J129" i="9"/>
  <c r="L129" i="9"/>
  <c r="G138" i="9"/>
  <c r="D138" i="9"/>
  <c r="I138" i="9"/>
  <c r="P138" i="9"/>
  <c r="C138" i="9"/>
  <c r="L138" i="9"/>
  <c r="M138" i="9"/>
  <c r="Q138" i="9"/>
  <c r="N138" i="9"/>
  <c r="O138" i="9"/>
  <c r="J138" i="9"/>
  <c r="F138" i="9"/>
  <c r="H138" i="9"/>
  <c r="E138" i="9"/>
  <c r="K138" i="9"/>
  <c r="B138" i="9"/>
  <c r="L112" i="9"/>
  <c r="H112" i="9"/>
  <c r="G112" i="9"/>
  <c r="K112" i="9"/>
  <c r="J112" i="9"/>
  <c r="F112" i="9"/>
  <c r="E112" i="9"/>
  <c r="I112" i="9"/>
  <c r="D112" i="9"/>
  <c r="Q112" i="9"/>
  <c r="P112" i="9"/>
  <c r="B112" i="9"/>
  <c r="N112" i="9"/>
  <c r="O112" i="9"/>
  <c r="M112" i="9"/>
  <c r="C112" i="9"/>
  <c r="N106" i="8"/>
  <c r="Q106" i="8"/>
  <c r="C106" i="8"/>
  <c r="D106" i="8"/>
  <c r="L106" i="8"/>
  <c r="M106" i="8"/>
  <c r="P106" i="8"/>
  <c r="F106" i="8"/>
  <c r="B106" i="8"/>
  <c r="J106" i="8"/>
  <c r="O106" i="8"/>
  <c r="I106" i="8"/>
  <c r="G106" i="8"/>
  <c r="E106" i="8"/>
  <c r="H106" i="8"/>
  <c r="K106" i="8"/>
  <c r="O61" i="12"/>
  <c r="O77" i="12" s="1"/>
  <c r="J61" i="12"/>
  <c r="J77" i="12" s="1"/>
  <c r="C61" i="12"/>
  <c r="C77" i="12" s="1"/>
  <c r="P61" i="12"/>
  <c r="P77" i="12" s="1"/>
  <c r="F61" i="12"/>
  <c r="F77" i="12" s="1"/>
  <c r="N61" i="12"/>
  <c r="N77" i="12" s="1"/>
  <c r="D61" i="12"/>
  <c r="D77" i="12" s="1"/>
  <c r="H61" i="12"/>
  <c r="H77" i="12" s="1"/>
  <c r="Q61" i="12"/>
  <c r="Q77" i="12" s="1"/>
  <c r="G61" i="12"/>
  <c r="G77" i="12" s="1"/>
  <c r="E61" i="12"/>
  <c r="E77" i="12" s="1"/>
  <c r="B61" i="12"/>
  <c r="L61" i="12"/>
  <c r="L77" i="12" s="1"/>
  <c r="M61" i="12"/>
  <c r="M77" i="12" s="1"/>
  <c r="I61" i="12"/>
  <c r="I77" i="12" s="1"/>
  <c r="K61" i="12"/>
  <c r="K77" i="12" s="1"/>
  <c r="C148" i="9"/>
  <c r="I148" i="9"/>
  <c r="L148" i="9"/>
  <c r="B148" i="9"/>
  <c r="N148" i="9"/>
  <c r="D148" i="9"/>
  <c r="K148" i="9"/>
  <c r="M148" i="9"/>
  <c r="H148" i="9"/>
  <c r="P148" i="9"/>
  <c r="E148" i="9"/>
  <c r="F148" i="9"/>
  <c r="O148" i="9"/>
  <c r="Q148" i="9"/>
  <c r="J148" i="9"/>
  <c r="G148" i="9"/>
  <c r="M130" i="9"/>
  <c r="G130" i="9"/>
  <c r="I130" i="9"/>
  <c r="K130" i="9"/>
  <c r="O130" i="9"/>
  <c r="L130" i="9"/>
  <c r="H130" i="9"/>
  <c r="Q130" i="9"/>
  <c r="C130" i="9"/>
  <c r="J130" i="9"/>
  <c r="N130" i="9"/>
  <c r="P130" i="9"/>
  <c r="D130" i="9"/>
  <c r="B130" i="9"/>
  <c r="F130" i="9"/>
  <c r="E130" i="9"/>
  <c r="F137" i="9"/>
  <c r="H137" i="9"/>
  <c r="I137" i="9"/>
  <c r="N137" i="9"/>
  <c r="J137" i="9"/>
  <c r="L137" i="9"/>
  <c r="K137" i="9"/>
  <c r="E137" i="9"/>
  <c r="M137" i="9"/>
  <c r="O137" i="9"/>
  <c r="D137" i="9"/>
  <c r="C137" i="9"/>
  <c r="G137" i="9"/>
  <c r="B137" i="9"/>
  <c r="P137" i="9"/>
  <c r="Q137" i="9"/>
  <c r="C115" i="9"/>
  <c r="B115" i="9"/>
  <c r="Q115" i="9"/>
  <c r="L115" i="9"/>
  <c r="I115" i="9"/>
  <c r="D115" i="9"/>
  <c r="P115" i="9"/>
  <c r="K115" i="9"/>
  <c r="J115" i="9"/>
  <c r="H115" i="9"/>
  <c r="E115" i="9"/>
  <c r="O115" i="9"/>
  <c r="G115" i="9"/>
  <c r="F115" i="9"/>
  <c r="N115" i="9"/>
  <c r="M115" i="9"/>
  <c r="I103" i="8"/>
  <c r="I122" i="8" s="1"/>
  <c r="Q103" i="8"/>
  <c r="Q122" i="8" s="1"/>
  <c r="O103" i="8"/>
  <c r="O122" i="8" s="1"/>
  <c r="N103" i="8"/>
  <c r="N122" i="8" s="1"/>
  <c r="J103" i="8"/>
  <c r="J122" i="8" s="1"/>
  <c r="B103" i="8"/>
  <c r="H103" i="8"/>
  <c r="H122" i="8" s="1"/>
  <c r="L103" i="8"/>
  <c r="L122" i="8" s="1"/>
  <c r="F103" i="8"/>
  <c r="F122" i="8" s="1"/>
  <c r="P103" i="8"/>
  <c r="P122" i="8" s="1"/>
  <c r="G103" i="8"/>
  <c r="G122" i="8" s="1"/>
  <c r="K103" i="8"/>
  <c r="K122" i="8" s="1"/>
  <c r="M103" i="8"/>
  <c r="M122" i="8" s="1"/>
  <c r="D103" i="8"/>
  <c r="D122" i="8" s="1"/>
  <c r="C103" i="8"/>
  <c r="C122" i="8" s="1"/>
  <c r="E103" i="8"/>
  <c r="E122" i="8" s="1"/>
  <c r="H99" i="8"/>
  <c r="H118" i="8" s="1"/>
  <c r="C99" i="8"/>
  <c r="C118" i="8" s="1"/>
  <c r="D99" i="8"/>
  <c r="D118" i="8" s="1"/>
  <c r="M99" i="8"/>
  <c r="M118" i="8" s="1"/>
  <c r="Q99" i="8"/>
  <c r="Q118" i="8" s="1"/>
  <c r="P99" i="8"/>
  <c r="P118" i="8" s="1"/>
  <c r="K99" i="8"/>
  <c r="K118" i="8" s="1"/>
  <c r="O99" i="8"/>
  <c r="O118" i="8" s="1"/>
  <c r="F99" i="8"/>
  <c r="F118" i="8" s="1"/>
  <c r="B99" i="8"/>
  <c r="N99" i="8"/>
  <c r="N118" i="8" s="1"/>
  <c r="L99" i="8"/>
  <c r="L118" i="8" s="1"/>
  <c r="G99" i="8"/>
  <c r="G118" i="8" s="1"/>
  <c r="I99" i="8"/>
  <c r="I118" i="8" s="1"/>
  <c r="J99" i="8"/>
  <c r="J118" i="8" s="1"/>
  <c r="E99" i="8"/>
  <c r="E118" i="8" s="1"/>
  <c r="B124" i="9"/>
  <c r="F124" i="9"/>
  <c r="P124" i="9"/>
  <c r="J124" i="9"/>
  <c r="C124" i="9"/>
  <c r="H124" i="9"/>
  <c r="M124" i="9"/>
  <c r="G124" i="9"/>
  <c r="D124" i="9"/>
  <c r="O124" i="9"/>
  <c r="E124" i="9"/>
  <c r="I124" i="9"/>
  <c r="N124" i="9"/>
  <c r="K124" i="9"/>
  <c r="Q124" i="9"/>
  <c r="L124" i="9"/>
  <c r="M140" i="9"/>
  <c r="G140" i="9"/>
  <c r="D140" i="9"/>
  <c r="C140" i="9"/>
  <c r="P140" i="9"/>
  <c r="E140" i="9"/>
  <c r="H140" i="9"/>
  <c r="N140" i="9"/>
  <c r="L140" i="9"/>
  <c r="B140" i="9"/>
  <c r="F140" i="9"/>
  <c r="K140" i="9"/>
  <c r="I140" i="9"/>
  <c r="J140" i="9"/>
  <c r="Q140" i="9"/>
  <c r="O140" i="9"/>
  <c r="E139" i="9"/>
  <c r="N139" i="9"/>
  <c r="H139" i="9"/>
  <c r="D139" i="9"/>
  <c r="B139" i="9"/>
  <c r="G139" i="9"/>
  <c r="O139" i="9"/>
  <c r="K139" i="9"/>
  <c r="P139" i="9"/>
  <c r="F139" i="9"/>
  <c r="I139" i="9"/>
  <c r="M139" i="9"/>
  <c r="L139" i="9"/>
  <c r="C139" i="9"/>
  <c r="Q139" i="9"/>
  <c r="J139" i="9"/>
  <c r="F136" i="9"/>
  <c r="J136" i="9"/>
  <c r="C136" i="9"/>
  <c r="D136" i="9"/>
  <c r="L136" i="9"/>
  <c r="O136" i="9"/>
  <c r="M136" i="9"/>
  <c r="Q136" i="9"/>
  <c r="H136" i="9"/>
  <c r="G136" i="9"/>
  <c r="N136" i="9"/>
  <c r="B136" i="9"/>
  <c r="I136" i="9"/>
  <c r="K136" i="9"/>
  <c r="E136" i="9"/>
  <c r="P136" i="9"/>
  <c r="J118" i="9"/>
  <c r="I118" i="9"/>
  <c r="Q118" i="9"/>
  <c r="P118" i="9"/>
  <c r="E118" i="9"/>
  <c r="D118" i="9"/>
  <c r="O118" i="9"/>
  <c r="M118" i="9"/>
  <c r="C118" i="9"/>
  <c r="L118" i="9"/>
  <c r="H118" i="9"/>
  <c r="G118" i="9"/>
  <c r="N118" i="9"/>
  <c r="K118" i="9"/>
  <c r="B118" i="9"/>
  <c r="F118" i="9"/>
  <c r="B77" i="12" l="1"/>
  <c r="R77" i="12" s="1"/>
  <c r="R61" i="12"/>
  <c r="R145" i="9"/>
  <c r="P50" i="7"/>
  <c r="I71" i="12"/>
  <c r="I76" i="12" s="1"/>
  <c r="I60" i="12"/>
  <c r="O133" i="9"/>
  <c r="E150" i="9"/>
  <c r="B117" i="8"/>
  <c r="R117" i="8" s="1"/>
  <c r="R98" i="8"/>
  <c r="R99" i="8"/>
  <c r="B118" i="8"/>
  <c r="R118" i="8" s="1"/>
  <c r="L133" i="9"/>
  <c r="B122" i="8"/>
  <c r="R122" i="8" s="1"/>
  <c r="R103" i="8"/>
  <c r="K133" i="9"/>
  <c r="K108" i="8"/>
  <c r="K125" i="8"/>
  <c r="K127" i="8" s="1"/>
  <c r="Q108" i="8"/>
  <c r="Q125" i="8"/>
  <c r="Q127" i="8" s="1"/>
  <c r="C144" i="9"/>
  <c r="C51" i="7" s="1"/>
  <c r="I50" i="7"/>
  <c r="Q50" i="7"/>
  <c r="M150" i="9"/>
  <c r="P102" i="8"/>
  <c r="P104" i="8" s="1"/>
  <c r="P116" i="8"/>
  <c r="P121" i="8" s="1"/>
  <c r="J116" i="8"/>
  <c r="J121" i="8" s="1"/>
  <c r="J102" i="8"/>
  <c r="J104" i="8" s="1"/>
  <c r="L119" i="9"/>
  <c r="L121" i="9" s="1"/>
  <c r="L49" i="7" s="1"/>
  <c r="B74" i="12"/>
  <c r="R74" i="12" s="1"/>
  <c r="R58" i="12"/>
  <c r="C60" i="12"/>
  <c r="C62" i="12" s="1"/>
  <c r="C64" i="12" s="1"/>
  <c r="C71" i="12"/>
  <c r="C76" i="12" s="1"/>
  <c r="R131" i="9"/>
  <c r="D114" i="8"/>
  <c r="B69" i="12"/>
  <c r="R53" i="12"/>
  <c r="M60" i="12"/>
  <c r="M71" i="12"/>
  <c r="M76" i="12" s="1"/>
  <c r="R114" i="9"/>
  <c r="B119" i="9"/>
  <c r="B121" i="9" s="1"/>
  <c r="B49" i="7" s="1"/>
  <c r="R125" i="9"/>
  <c r="R116" i="9"/>
  <c r="N69" i="12"/>
  <c r="R118" i="9"/>
  <c r="R139" i="9"/>
  <c r="D133" i="9"/>
  <c r="O108" i="8"/>
  <c r="O125" i="8"/>
  <c r="O127" i="8" s="1"/>
  <c r="H144" i="9"/>
  <c r="H51" i="7" s="1"/>
  <c r="J50" i="7"/>
  <c r="R147" i="9"/>
  <c r="B150" i="9"/>
  <c r="I116" i="8"/>
  <c r="I121" i="8" s="1"/>
  <c r="I102" i="8"/>
  <c r="I104" i="8" s="1"/>
  <c r="N119" i="9"/>
  <c r="R132" i="9"/>
  <c r="R143" i="9"/>
  <c r="Q60" i="12"/>
  <c r="Q71" i="12"/>
  <c r="Q76" i="12" s="1"/>
  <c r="Q114" i="8"/>
  <c r="R56" i="12"/>
  <c r="B72" i="12"/>
  <c r="R72" i="12" s="1"/>
  <c r="I69" i="12"/>
  <c r="N125" i="8"/>
  <c r="N127" i="8" s="1"/>
  <c r="N108" i="8"/>
  <c r="F144" i="9"/>
  <c r="F51" i="7" s="1"/>
  <c r="D119" i="9"/>
  <c r="D121" i="9" s="1"/>
  <c r="D49" i="7" s="1"/>
  <c r="B75" i="12"/>
  <c r="R75" i="12" s="1"/>
  <c r="R59" i="12"/>
  <c r="H119" i="9"/>
  <c r="J60" i="12"/>
  <c r="J71" i="12"/>
  <c r="J76" i="12" s="1"/>
  <c r="K60" i="12"/>
  <c r="K62" i="12" s="1"/>
  <c r="K71" i="12"/>
  <c r="K76" i="12" s="1"/>
  <c r="R63" i="12"/>
  <c r="B79" i="12"/>
  <c r="R79" i="12" s="1"/>
  <c r="R57" i="12"/>
  <c r="B73" i="12"/>
  <c r="R73" i="12" s="1"/>
  <c r="G133" i="9"/>
  <c r="J125" i="8"/>
  <c r="J127" i="8" s="1"/>
  <c r="J108" i="8"/>
  <c r="F150" i="9"/>
  <c r="O60" i="12"/>
  <c r="O62" i="12" s="1"/>
  <c r="O64" i="12" s="1"/>
  <c r="O71" i="12"/>
  <c r="O76" i="12" s="1"/>
  <c r="Q69" i="12"/>
  <c r="Q62" i="12"/>
  <c r="Q64" i="12" s="1"/>
  <c r="M133" i="9"/>
  <c r="R106" i="8"/>
  <c r="B108" i="8"/>
  <c r="B125" i="8"/>
  <c r="P144" i="9"/>
  <c r="P51" i="7" s="1"/>
  <c r="R122" i="9"/>
  <c r="B50" i="7"/>
  <c r="Q150" i="9"/>
  <c r="M116" i="8"/>
  <c r="M121" i="8" s="1"/>
  <c r="M102" i="8"/>
  <c r="M104" i="8" s="1"/>
  <c r="P119" i="9"/>
  <c r="P121" i="9" s="1"/>
  <c r="P49" i="7" s="1"/>
  <c r="P60" i="12"/>
  <c r="P62" i="12" s="1"/>
  <c r="P64" i="12" s="1"/>
  <c r="P71" i="12"/>
  <c r="P76" i="12" s="1"/>
  <c r="K114" i="8"/>
  <c r="L69" i="12"/>
  <c r="G60" i="12"/>
  <c r="G62" i="12" s="1"/>
  <c r="G64" i="12" s="1"/>
  <c r="G71" i="12"/>
  <c r="G76" i="12" s="1"/>
  <c r="G114" i="8"/>
  <c r="D69" i="12"/>
  <c r="R140" i="9"/>
  <c r="I133" i="9"/>
  <c r="G150" i="9"/>
  <c r="G116" i="8"/>
  <c r="G121" i="8" s="1"/>
  <c r="G102" i="8"/>
  <c r="G104" i="8" s="1"/>
  <c r="E69" i="12"/>
  <c r="E133" i="9"/>
  <c r="P150" i="9"/>
  <c r="R115" i="9"/>
  <c r="O116" i="8"/>
  <c r="O121" i="8" s="1"/>
  <c r="O102" i="8"/>
  <c r="O104" i="8" s="1"/>
  <c r="J119" i="9"/>
  <c r="J121" i="9" s="1"/>
  <c r="R135" i="9"/>
  <c r="F119" i="9"/>
  <c r="F121" i="9" s="1"/>
  <c r="F49" i="7" s="1"/>
  <c r="K119" i="9"/>
  <c r="H71" i="12"/>
  <c r="H76" i="12" s="1"/>
  <c r="H60" i="12"/>
  <c r="H62" i="12" s="1"/>
  <c r="H64" i="12" s="1"/>
  <c r="E114" i="8"/>
  <c r="R128" i="9"/>
  <c r="C69" i="12"/>
  <c r="H50" i="7"/>
  <c r="I108" i="8"/>
  <c r="I125" i="8"/>
  <c r="I127" i="8" s="1"/>
  <c r="R138" i="9"/>
  <c r="L50" i="7"/>
  <c r="C133" i="9"/>
  <c r="P125" i="8"/>
  <c r="P127" i="8" s="1"/>
  <c r="P108" i="8"/>
  <c r="J144" i="9"/>
  <c r="J51" i="7" s="1"/>
  <c r="N50" i="7"/>
  <c r="J150" i="9"/>
  <c r="C116" i="8"/>
  <c r="C121" i="8" s="1"/>
  <c r="C102" i="8"/>
  <c r="C104" i="8" s="1"/>
  <c r="R100" i="8"/>
  <c r="B119" i="8"/>
  <c r="R119" i="8" s="1"/>
  <c r="C119" i="9"/>
  <c r="C121" i="9" s="1"/>
  <c r="O119" i="9"/>
  <c r="E71" i="12"/>
  <c r="E76" i="12" s="1"/>
  <c r="E60" i="12"/>
  <c r="E62" i="12" s="1"/>
  <c r="E64" i="12" s="1"/>
  <c r="F114" i="8"/>
  <c r="R120" i="9"/>
  <c r="J69" i="12"/>
  <c r="J62" i="12"/>
  <c r="J64" i="12" s="1"/>
  <c r="C50" i="7"/>
  <c r="Q116" i="8"/>
  <c r="Q121" i="8" s="1"/>
  <c r="Q102" i="8"/>
  <c r="Q104" i="8" s="1"/>
  <c r="E108" i="8"/>
  <c r="E125" i="8"/>
  <c r="E127" i="8" s="1"/>
  <c r="G125" i="8"/>
  <c r="G127" i="8" s="1"/>
  <c r="G108" i="8"/>
  <c r="K144" i="9"/>
  <c r="K51" i="7" s="1"/>
  <c r="L71" i="12"/>
  <c r="L76" i="12" s="1"/>
  <c r="L60" i="12"/>
  <c r="L62" i="12" s="1"/>
  <c r="J114" i="8"/>
  <c r="L116" i="8"/>
  <c r="L121" i="8" s="1"/>
  <c r="L102" i="8"/>
  <c r="L104" i="8" s="1"/>
  <c r="E119" i="9"/>
  <c r="E121" i="9" s="1"/>
  <c r="E49" i="7" s="1"/>
  <c r="F108" i="8"/>
  <c r="F125" i="8"/>
  <c r="F127" i="8" s="1"/>
  <c r="I144" i="9"/>
  <c r="I51" i="7" s="1"/>
  <c r="R117" i="9"/>
  <c r="C150" i="9"/>
  <c r="R136" i="9"/>
  <c r="J133" i="9"/>
  <c r="R130" i="9"/>
  <c r="M108" i="8"/>
  <c r="M125" i="8"/>
  <c r="M127" i="8" s="1"/>
  <c r="R142" i="9"/>
  <c r="R144" i="9" s="1"/>
  <c r="B144" i="9"/>
  <c r="B51" i="7" s="1"/>
  <c r="M50" i="7"/>
  <c r="R107" i="8"/>
  <c r="B126" i="8"/>
  <c r="R126" i="8" s="1"/>
  <c r="K150" i="9"/>
  <c r="O150" i="9"/>
  <c r="N102" i="8"/>
  <c r="N104" i="8" s="1"/>
  <c r="N116" i="8"/>
  <c r="N121" i="8" s="1"/>
  <c r="M119" i="9"/>
  <c r="M121" i="9" s="1"/>
  <c r="M49" i="7" s="1"/>
  <c r="F71" i="12"/>
  <c r="F76" i="12" s="1"/>
  <c r="F60" i="12"/>
  <c r="N114" i="8"/>
  <c r="R149" i="9"/>
  <c r="K69" i="12"/>
  <c r="O114" i="8"/>
  <c r="H114" i="8"/>
  <c r="H133" i="9"/>
  <c r="R137" i="9"/>
  <c r="R148" i="9"/>
  <c r="O50" i="7"/>
  <c r="F102" i="8"/>
  <c r="F104" i="8" s="1"/>
  <c r="F116" i="8"/>
  <c r="F121" i="8" s="1"/>
  <c r="P133" i="9"/>
  <c r="L125" i="8"/>
  <c r="L127" i="8" s="1"/>
  <c r="L108" i="8"/>
  <c r="N144" i="9"/>
  <c r="N51" i="7" s="1"/>
  <c r="D50" i="7"/>
  <c r="R134" i="9"/>
  <c r="N150" i="9"/>
  <c r="H150" i="9"/>
  <c r="B102" i="8"/>
  <c r="B104" i="8" s="1"/>
  <c r="B116" i="8"/>
  <c r="R97" i="8"/>
  <c r="I119" i="9"/>
  <c r="I121" i="9" s="1"/>
  <c r="I49" i="7" s="1"/>
  <c r="N60" i="12"/>
  <c r="N71" i="12"/>
  <c r="N76" i="12" s="1"/>
  <c r="M114" i="8"/>
  <c r="F69" i="12"/>
  <c r="H108" i="8"/>
  <c r="H125" i="8"/>
  <c r="H127" i="8" s="1"/>
  <c r="G50" i="7"/>
  <c r="D150" i="9"/>
  <c r="O144" i="9"/>
  <c r="O51" i="7" s="1"/>
  <c r="E102" i="8"/>
  <c r="E116" i="8"/>
  <c r="E121" i="8" s="1"/>
  <c r="P69" i="12"/>
  <c r="R112" i="9"/>
  <c r="D108" i="8"/>
  <c r="D125" i="8"/>
  <c r="D127" i="8" s="1"/>
  <c r="D144" i="9"/>
  <c r="D51" i="7" s="1"/>
  <c r="M144" i="9"/>
  <c r="M51" i="7" s="1"/>
  <c r="E50" i="7"/>
  <c r="I150" i="9"/>
  <c r="H102" i="8"/>
  <c r="H104" i="8" s="1"/>
  <c r="H116" i="8"/>
  <c r="H121" i="8" s="1"/>
  <c r="B71" i="12"/>
  <c r="R55" i="12"/>
  <c r="B60" i="12"/>
  <c r="L114" i="8"/>
  <c r="C114" i="8"/>
  <c r="G69" i="12"/>
  <c r="M69" i="12"/>
  <c r="N133" i="9"/>
  <c r="D102" i="8"/>
  <c r="D104" i="8" s="1"/>
  <c r="D116" i="8"/>
  <c r="D121" i="8" s="1"/>
  <c r="Q144" i="9"/>
  <c r="Q51" i="7" s="1"/>
  <c r="R95" i="8"/>
  <c r="B114" i="8"/>
  <c r="B120" i="8"/>
  <c r="R120" i="8" s="1"/>
  <c r="R101" i="8"/>
  <c r="E144" i="9"/>
  <c r="E51" i="7" s="1"/>
  <c r="K50" i="7"/>
  <c r="F133" i="9"/>
  <c r="R126" i="9"/>
  <c r="Q119" i="9"/>
  <c r="Q133" i="9"/>
  <c r="R124" i="9"/>
  <c r="B133" i="9"/>
  <c r="C125" i="8"/>
  <c r="C127" i="8" s="1"/>
  <c r="C108" i="8"/>
  <c r="R129" i="9"/>
  <c r="G144" i="9"/>
  <c r="G51" i="7" s="1"/>
  <c r="L144" i="9"/>
  <c r="L51" i="7" s="1"/>
  <c r="F50" i="7"/>
  <c r="R127" i="9"/>
  <c r="L150" i="9"/>
  <c r="K116" i="8"/>
  <c r="K121" i="8" s="1"/>
  <c r="K102" i="8"/>
  <c r="K104" i="8" s="1"/>
  <c r="G119" i="9"/>
  <c r="G121" i="9" s="1"/>
  <c r="D71" i="12"/>
  <c r="D76" i="12" s="1"/>
  <c r="D60" i="12"/>
  <c r="D62" i="12" s="1"/>
  <c r="P114" i="8"/>
  <c r="I114" i="8"/>
  <c r="H69" i="12"/>
  <c r="O69" i="12"/>
  <c r="M109" i="8" l="1"/>
  <c r="K64" i="12"/>
  <c r="C109" i="8"/>
  <c r="J109" i="8"/>
  <c r="B109" i="8"/>
  <c r="O121" i="9"/>
  <c r="O49" i="7" s="1"/>
  <c r="O52" i="7" s="1"/>
  <c r="O109" i="8"/>
  <c r="D109" i="8"/>
  <c r="R108" i="8"/>
  <c r="L109" i="8"/>
  <c r="I151" i="9"/>
  <c r="P109" i="8"/>
  <c r="R60" i="12"/>
  <c r="R62" i="12" s="1"/>
  <c r="R64" i="12" s="1"/>
  <c r="B85" i="12" s="1"/>
  <c r="C85" i="12" s="1"/>
  <c r="F109" i="8"/>
  <c r="M151" i="9"/>
  <c r="E104" i="8"/>
  <c r="E109" i="8" s="1"/>
  <c r="P52" i="7"/>
  <c r="F151" i="9"/>
  <c r="Q109" i="8"/>
  <c r="Q121" i="9"/>
  <c r="Q49" i="7" s="1"/>
  <c r="Q52" i="7" s="1"/>
  <c r="D64" i="12"/>
  <c r="H109" i="8"/>
  <c r="N109" i="8"/>
  <c r="L52" i="7"/>
  <c r="G49" i="7"/>
  <c r="G52" i="7" s="1"/>
  <c r="G151" i="9"/>
  <c r="J49" i="7"/>
  <c r="J52" i="7" s="1"/>
  <c r="J151" i="9"/>
  <c r="C49" i="7"/>
  <c r="C52" i="7" s="1"/>
  <c r="C151" i="9"/>
  <c r="E123" i="8"/>
  <c r="E128" i="8" s="1"/>
  <c r="Q123" i="8"/>
  <c r="Q45" i="7" s="1"/>
  <c r="H123" i="8"/>
  <c r="H128" i="8" s="1"/>
  <c r="N123" i="8"/>
  <c r="N128" i="8" s="1"/>
  <c r="J123" i="8"/>
  <c r="J45" i="7" s="1"/>
  <c r="L151" i="9"/>
  <c r="P151" i="9"/>
  <c r="R125" i="8"/>
  <c r="R127" i="8" s="1"/>
  <c r="B127" i="8"/>
  <c r="K78" i="12"/>
  <c r="K80" i="12" s="1"/>
  <c r="K47" i="7" s="1"/>
  <c r="F123" i="8"/>
  <c r="F45" i="7" s="1"/>
  <c r="L64" i="12"/>
  <c r="Q78" i="12"/>
  <c r="Q80" i="12" s="1"/>
  <c r="Q47" i="7" s="1"/>
  <c r="I78" i="12"/>
  <c r="I80" i="12" s="1"/>
  <c r="I47" i="7" s="1"/>
  <c r="R150" i="9"/>
  <c r="N121" i="9"/>
  <c r="N49" i="7" s="1"/>
  <c r="N52" i="7" s="1"/>
  <c r="D123" i="8"/>
  <c r="D45" i="7" s="1"/>
  <c r="M62" i="12"/>
  <c r="M64" i="12" s="1"/>
  <c r="M78" i="12"/>
  <c r="M80" i="12" s="1"/>
  <c r="M47" i="7" s="1"/>
  <c r="I52" i="7"/>
  <c r="L78" i="12"/>
  <c r="L80" i="12" s="1"/>
  <c r="L47" i="7" s="1"/>
  <c r="I62" i="12"/>
  <c r="I64" i="12" s="1"/>
  <c r="I109" i="8"/>
  <c r="B76" i="12"/>
  <c r="R71" i="12"/>
  <c r="R76" i="12" s="1"/>
  <c r="F78" i="12"/>
  <c r="F80" i="12" s="1"/>
  <c r="F47" i="7" s="1"/>
  <c r="C78" i="12"/>
  <c r="C80" i="12" s="1"/>
  <c r="C47" i="7" s="1"/>
  <c r="G123" i="8"/>
  <c r="G45" i="7" s="1"/>
  <c r="H78" i="12"/>
  <c r="H80" i="12" s="1"/>
  <c r="H47" i="7" s="1"/>
  <c r="H121" i="9"/>
  <c r="H49" i="7" s="1"/>
  <c r="H52" i="7" s="1"/>
  <c r="E52" i="7"/>
  <c r="D78" i="12"/>
  <c r="D80" i="12" s="1"/>
  <c r="D47" i="7" s="1"/>
  <c r="G78" i="12"/>
  <c r="G80" i="12" s="1"/>
  <c r="G47" i="7" s="1"/>
  <c r="D52" i="7"/>
  <c r="G109" i="8"/>
  <c r="R119" i="9"/>
  <c r="R121" i="9" s="1"/>
  <c r="B62" i="12"/>
  <c r="B64" i="12" s="1"/>
  <c r="B52" i="7"/>
  <c r="M52" i="7"/>
  <c r="R50" i="7"/>
  <c r="E151" i="9"/>
  <c r="D151" i="9"/>
  <c r="B151" i="9"/>
  <c r="F62" i="12"/>
  <c r="F64" i="12" s="1"/>
  <c r="R51" i="7"/>
  <c r="J78" i="12"/>
  <c r="J80" i="12" s="1"/>
  <c r="J47" i="7" s="1"/>
  <c r="N78" i="12"/>
  <c r="N80" i="12" s="1"/>
  <c r="N47" i="7" s="1"/>
  <c r="K121" i="9"/>
  <c r="K49" i="7" s="1"/>
  <c r="K52" i="7" s="1"/>
  <c r="M123" i="8"/>
  <c r="M45" i="7" s="1"/>
  <c r="P78" i="12"/>
  <c r="P80" i="12" s="1"/>
  <c r="P47" i="7" s="1"/>
  <c r="R133" i="9"/>
  <c r="K109" i="8"/>
  <c r="N62" i="12"/>
  <c r="N64" i="12" s="1"/>
  <c r="R69" i="12"/>
  <c r="R114" i="8"/>
  <c r="R102" i="8"/>
  <c r="O123" i="8"/>
  <c r="O128" i="8" s="1"/>
  <c r="E78" i="12"/>
  <c r="E80" i="12" s="1"/>
  <c r="E47" i="7" s="1"/>
  <c r="L123" i="8"/>
  <c r="L128" i="8" s="1"/>
  <c r="I123" i="8"/>
  <c r="I128" i="8" s="1"/>
  <c r="P123" i="8"/>
  <c r="P45" i="7" s="1"/>
  <c r="O78" i="12"/>
  <c r="O80" i="12" s="1"/>
  <c r="O47" i="7" s="1"/>
  <c r="F52" i="7"/>
  <c r="C123" i="8"/>
  <c r="C45" i="7" s="1"/>
  <c r="R116" i="8"/>
  <c r="R121" i="8" s="1"/>
  <c r="B121" i="8"/>
  <c r="B123" i="8" s="1"/>
  <c r="K123" i="8"/>
  <c r="K128" i="8" s="1"/>
  <c r="Q151" i="9" l="1"/>
  <c r="R151" i="9"/>
  <c r="K45" i="7"/>
  <c r="J128" i="8"/>
  <c r="B128" i="8"/>
  <c r="E45" i="7"/>
  <c r="O151" i="9"/>
  <c r="I45" i="7"/>
  <c r="G128" i="8"/>
  <c r="D128" i="8"/>
  <c r="Q128" i="8"/>
  <c r="O45" i="7"/>
  <c r="H151" i="9"/>
  <c r="M128" i="8"/>
  <c r="R49" i="7"/>
  <c r="R52" i="7" s="1"/>
  <c r="F25" i="6" s="1"/>
  <c r="F105" i="9" s="1"/>
  <c r="R104" i="8"/>
  <c r="R109" i="8" s="1"/>
  <c r="B133" i="8" s="1"/>
  <c r="C133" i="8" s="1"/>
  <c r="R123" i="8"/>
  <c r="R128" i="8" s="1"/>
  <c r="R78" i="12"/>
  <c r="R80" i="12" s="1"/>
  <c r="H45" i="7"/>
  <c r="N45" i="7"/>
  <c r="B45" i="7"/>
  <c r="B78" i="12"/>
  <c r="B80" i="12" s="1"/>
  <c r="F128" i="8"/>
  <c r="L45" i="7"/>
  <c r="K151" i="9"/>
  <c r="P128" i="8"/>
  <c r="C128" i="8"/>
  <c r="D25" i="6"/>
  <c r="D105" i="9" s="1"/>
  <c r="N151" i="9"/>
  <c r="Q25" i="6" l="1"/>
  <c r="Q105" i="9" s="1"/>
  <c r="G25" i="6"/>
  <c r="G105" i="9" s="1"/>
  <c r="B135" i="8"/>
  <c r="C135" i="8" s="1"/>
  <c r="K25" i="6"/>
  <c r="K105" i="9" s="1"/>
  <c r="I25" i="6"/>
  <c r="I105" i="9" s="1"/>
  <c r="M25" i="6"/>
  <c r="M105" i="9" s="1"/>
  <c r="B47" i="7"/>
  <c r="B87" i="12"/>
  <c r="C87" i="12" s="1"/>
  <c r="B25" i="6"/>
  <c r="J25" i="6"/>
  <c r="J105" i="9" s="1"/>
  <c r="E25" i="6"/>
  <c r="E105" i="9" s="1"/>
  <c r="P25" i="6"/>
  <c r="P105" i="9" s="1"/>
  <c r="L25" i="6"/>
  <c r="L105" i="9" s="1"/>
  <c r="O25" i="6"/>
  <c r="O105" i="9" s="1"/>
  <c r="R45" i="7"/>
  <c r="B22" i="6" s="1"/>
  <c r="H25" i="6"/>
  <c r="H105" i="9" s="1"/>
  <c r="N25" i="6"/>
  <c r="N105" i="9" s="1"/>
  <c r="C25" i="6"/>
  <c r="C105" i="9" s="1"/>
  <c r="S71" i="8"/>
  <c r="S21" i="8"/>
  <c r="I22" i="6" l="1"/>
  <c r="I119" i="15" s="1"/>
  <c r="C22" i="6"/>
  <c r="C119" i="15" s="1"/>
  <c r="O22" i="6"/>
  <c r="O119" i="15" s="1"/>
  <c r="F22" i="6"/>
  <c r="F119" i="15" s="1"/>
  <c r="K22" i="6"/>
  <c r="K119" i="15" s="1"/>
  <c r="P22" i="6"/>
  <c r="P119" i="15" s="1"/>
  <c r="J22" i="6"/>
  <c r="J119" i="15" s="1"/>
  <c r="Q22" i="6"/>
  <c r="Q119" i="15" s="1"/>
  <c r="D22" i="6"/>
  <c r="D119" i="15" s="1"/>
  <c r="G22" i="6"/>
  <c r="G119" i="15" s="1"/>
  <c r="E22" i="6"/>
  <c r="E119" i="15" s="1"/>
  <c r="M22" i="6"/>
  <c r="M119" i="15" s="1"/>
  <c r="R25" i="6"/>
  <c r="B105" i="9"/>
  <c r="N22" i="6"/>
  <c r="N119" i="15" s="1"/>
  <c r="H22" i="6"/>
  <c r="H119" i="15" s="1"/>
  <c r="B119" i="15"/>
  <c r="L22" i="6"/>
  <c r="L119" i="15" s="1"/>
  <c r="R47" i="7"/>
  <c r="B24" i="6" s="1"/>
  <c r="B166" i="9" l="1" a="1"/>
  <c r="B172" i="9" a="1"/>
  <c r="B182" i="9" a="1"/>
  <c r="B187" i="9" a="1"/>
  <c r="B193" i="9" a="1"/>
  <c r="B161" i="9" a="1"/>
  <c r="B158" i="9" a="1"/>
  <c r="B175" i="9" a="1"/>
  <c r="B170" i="9" a="1"/>
  <c r="B173" i="9" a="1"/>
  <c r="B181" i="9" a="1"/>
  <c r="B191" i="9" a="1"/>
  <c r="R105" i="9"/>
  <c r="B189" i="9" a="1"/>
  <c r="B184" i="9" a="1"/>
  <c r="B192" i="9" a="1"/>
  <c r="B159" i="9" a="1"/>
  <c r="B180" i="9" a="1"/>
  <c r="B176" i="9" a="1"/>
  <c r="B186" i="9" a="1"/>
  <c r="B174" i="9" a="1"/>
  <c r="B164" i="9" a="1"/>
  <c r="B156" i="9" a="1"/>
  <c r="B162" i="9" a="1"/>
  <c r="B171" i="9" a="1"/>
  <c r="B178" i="9" a="1"/>
  <c r="B168" i="9" a="1"/>
  <c r="B160" i="9" a="1"/>
  <c r="B179" i="9" a="1"/>
  <c r="B169" i="9" a="1"/>
  <c r="B183" i="9" a="1"/>
  <c r="B120" i="15"/>
  <c r="R22" i="6"/>
  <c r="E24" i="6"/>
  <c r="E120" i="15" s="1"/>
  <c r="N24" i="6"/>
  <c r="N120" i="15" s="1"/>
  <c r="J24" i="6"/>
  <c r="J120" i="15" s="1"/>
  <c r="H24" i="6"/>
  <c r="H120" i="15" s="1"/>
  <c r="O24" i="6"/>
  <c r="O120" i="15" s="1"/>
  <c r="G24" i="6"/>
  <c r="G120" i="15" s="1"/>
  <c r="L24" i="6"/>
  <c r="L120" i="15" s="1"/>
  <c r="P24" i="6"/>
  <c r="P120" i="15" s="1"/>
  <c r="M24" i="6"/>
  <c r="M120" i="15" s="1"/>
  <c r="K24" i="6"/>
  <c r="K120" i="15" s="1"/>
  <c r="I24" i="6"/>
  <c r="I120" i="15" s="1"/>
  <c r="Q24" i="6"/>
  <c r="Q120" i="15" s="1"/>
  <c r="C24" i="6"/>
  <c r="C120" i="15" s="1"/>
  <c r="D24" i="6"/>
  <c r="D120" i="15" s="1"/>
  <c r="F24" i="6"/>
  <c r="F120" i="15" s="1"/>
  <c r="R119" i="15"/>
  <c r="B155" i="15" a="1"/>
  <c r="B128" i="15" a="1"/>
  <c r="B144" i="15" a="1"/>
  <c r="B135" i="15" a="1"/>
  <c r="B146" i="15" a="1"/>
  <c r="B148" i="15" a="1"/>
  <c r="B132" i="15" a="1"/>
  <c r="B152" i="15" a="1"/>
  <c r="B138" i="15" a="1"/>
  <c r="B140" i="15" a="1"/>
  <c r="B151" i="15" a="1"/>
  <c r="B134" i="15" a="1"/>
  <c r="B131" i="15" a="1"/>
  <c r="B147" i="15" a="1"/>
  <c r="B145" i="15" a="1"/>
  <c r="B133" i="15" a="1"/>
  <c r="B139" i="15" a="1"/>
  <c r="B154" i="15" a="1"/>
  <c r="B129" i="15" a="1"/>
  <c r="N189" i="9" l="1"/>
  <c r="I189" i="9"/>
  <c r="P189" i="9"/>
  <c r="B189" i="9"/>
  <c r="D189" i="9"/>
  <c r="L189" i="9"/>
  <c r="E189" i="9"/>
  <c r="O189" i="9"/>
  <c r="F189" i="9"/>
  <c r="M189" i="9"/>
  <c r="Q189" i="9"/>
  <c r="C189" i="9"/>
  <c r="J189" i="9"/>
  <c r="K189" i="9"/>
  <c r="G189" i="9"/>
  <c r="H189" i="9"/>
  <c r="M168" i="9"/>
  <c r="Q168" i="9"/>
  <c r="F168" i="9"/>
  <c r="J168" i="9"/>
  <c r="L168" i="9"/>
  <c r="H168" i="9"/>
  <c r="O168" i="9"/>
  <c r="K168" i="9"/>
  <c r="D168" i="9"/>
  <c r="N168" i="9"/>
  <c r="P168" i="9"/>
  <c r="E168" i="9"/>
  <c r="G168" i="9"/>
  <c r="C168" i="9"/>
  <c r="B168" i="9"/>
  <c r="I168" i="9"/>
  <c r="H156" i="9"/>
  <c r="Q156" i="9"/>
  <c r="M156" i="9"/>
  <c r="K156" i="9"/>
  <c r="F156" i="9"/>
  <c r="I156" i="9"/>
  <c r="E156" i="9"/>
  <c r="O156" i="9"/>
  <c r="B156" i="9"/>
  <c r="G156" i="9"/>
  <c r="P156" i="9"/>
  <c r="J156" i="9"/>
  <c r="N156" i="9"/>
  <c r="D156" i="9"/>
  <c r="C156" i="9"/>
  <c r="L156" i="9"/>
  <c r="J170" i="9"/>
  <c r="H170" i="9"/>
  <c r="F170" i="9"/>
  <c r="K170" i="9"/>
  <c r="L170" i="9"/>
  <c r="E170" i="9"/>
  <c r="N170" i="9"/>
  <c r="M170" i="9"/>
  <c r="B170" i="9"/>
  <c r="Q170" i="9"/>
  <c r="O170" i="9"/>
  <c r="P170" i="9"/>
  <c r="D170" i="9"/>
  <c r="I170" i="9"/>
  <c r="G170" i="9"/>
  <c r="C170" i="9"/>
  <c r="P160" i="9"/>
  <c r="E160" i="9"/>
  <c r="D160" i="9"/>
  <c r="F160" i="9"/>
  <c r="K160" i="9"/>
  <c r="I160" i="9"/>
  <c r="N160" i="9"/>
  <c r="J160" i="9"/>
  <c r="Q160" i="9"/>
  <c r="C160" i="9"/>
  <c r="M160" i="9"/>
  <c r="H160" i="9"/>
  <c r="L160" i="9"/>
  <c r="O160" i="9"/>
  <c r="B160" i="9"/>
  <c r="G160" i="9"/>
  <c r="F154" i="15"/>
  <c r="G154" i="15"/>
  <c r="B154" i="15"/>
  <c r="E154" i="15"/>
  <c r="L154" i="15"/>
  <c r="Q154" i="15"/>
  <c r="N154" i="15"/>
  <c r="H154" i="15"/>
  <c r="M154" i="15"/>
  <c r="D154" i="15"/>
  <c r="P154" i="15"/>
  <c r="O154" i="15"/>
  <c r="I154" i="15"/>
  <c r="J154" i="15"/>
  <c r="C154" i="15"/>
  <c r="K154" i="15"/>
  <c r="D191" i="9"/>
  <c r="H191" i="9"/>
  <c r="O191" i="9"/>
  <c r="J191" i="9"/>
  <c r="C191" i="9"/>
  <c r="P191" i="9"/>
  <c r="K191" i="9"/>
  <c r="F191" i="9"/>
  <c r="B191" i="9"/>
  <c r="I191" i="9"/>
  <c r="M191" i="9"/>
  <c r="N191" i="9"/>
  <c r="L191" i="9"/>
  <c r="Q191" i="9"/>
  <c r="G191" i="9"/>
  <c r="E191" i="9"/>
  <c r="Q133" i="15"/>
  <c r="L133" i="15"/>
  <c r="G133" i="15"/>
  <c r="K133" i="15"/>
  <c r="P133" i="15"/>
  <c r="O133" i="15"/>
  <c r="H133" i="15"/>
  <c r="B133" i="15"/>
  <c r="I133" i="15"/>
  <c r="J133" i="15"/>
  <c r="M133" i="15"/>
  <c r="C133" i="15"/>
  <c r="E133" i="15"/>
  <c r="F133" i="15"/>
  <c r="D133" i="15"/>
  <c r="N133" i="15"/>
  <c r="H155" i="15"/>
  <c r="L155" i="15"/>
  <c r="J155" i="15"/>
  <c r="E155" i="15"/>
  <c r="O155" i="15"/>
  <c r="B155" i="15"/>
  <c r="M155" i="15"/>
  <c r="Q155" i="15"/>
  <c r="D155" i="15"/>
  <c r="C155" i="15"/>
  <c r="K155" i="15"/>
  <c r="N155" i="15"/>
  <c r="F155" i="15"/>
  <c r="G155" i="15"/>
  <c r="P155" i="15"/>
  <c r="I155" i="15"/>
  <c r="M131" i="15"/>
  <c r="L131" i="15"/>
  <c r="J131" i="15"/>
  <c r="G131" i="15"/>
  <c r="F131" i="15"/>
  <c r="Q131" i="15"/>
  <c r="I131" i="15"/>
  <c r="N131" i="15"/>
  <c r="K131" i="15"/>
  <c r="O131" i="15"/>
  <c r="D131" i="15"/>
  <c r="P131" i="15"/>
  <c r="C131" i="15"/>
  <c r="H131" i="15"/>
  <c r="E131" i="15"/>
  <c r="B131" i="15"/>
  <c r="L174" i="9"/>
  <c r="M174" i="9"/>
  <c r="B174" i="9"/>
  <c r="K174" i="9"/>
  <c r="P174" i="9"/>
  <c r="E174" i="9"/>
  <c r="H174" i="9"/>
  <c r="Q174" i="9"/>
  <c r="N174" i="9"/>
  <c r="I174" i="9"/>
  <c r="F174" i="9"/>
  <c r="O174" i="9"/>
  <c r="J174" i="9"/>
  <c r="C174" i="9"/>
  <c r="D174" i="9"/>
  <c r="G174" i="9"/>
  <c r="G158" i="9"/>
  <c r="Q158" i="9"/>
  <c r="N158" i="9"/>
  <c r="I158" i="9"/>
  <c r="M158" i="9"/>
  <c r="K158" i="9"/>
  <c r="O158" i="9"/>
  <c r="H158" i="9"/>
  <c r="C158" i="9"/>
  <c r="P158" i="9"/>
  <c r="F158" i="9"/>
  <c r="J158" i="9"/>
  <c r="L158" i="9"/>
  <c r="B158" i="9"/>
  <c r="E158" i="9"/>
  <c r="D158" i="9"/>
  <c r="B148" i="15"/>
  <c r="Q148" i="15"/>
  <c r="I148" i="15"/>
  <c r="C148" i="15"/>
  <c r="K148" i="15"/>
  <c r="L148" i="15"/>
  <c r="F148" i="15"/>
  <c r="G148" i="15"/>
  <c r="N148" i="15"/>
  <c r="P148" i="15"/>
  <c r="D148" i="15"/>
  <c r="J148" i="15"/>
  <c r="E148" i="15"/>
  <c r="O148" i="15"/>
  <c r="H148" i="15"/>
  <c r="M148" i="15"/>
  <c r="H139" i="15"/>
  <c r="I139" i="15"/>
  <c r="B139" i="15"/>
  <c r="C139" i="15"/>
  <c r="Q139" i="15"/>
  <c r="E139" i="15"/>
  <c r="N139" i="15"/>
  <c r="O139" i="15"/>
  <c r="K139" i="15"/>
  <c r="J139" i="15"/>
  <c r="L139" i="15"/>
  <c r="M139" i="15"/>
  <c r="P139" i="15"/>
  <c r="F139" i="15"/>
  <c r="G139" i="15"/>
  <c r="D139" i="15"/>
  <c r="O181" i="9"/>
  <c r="B181" i="9"/>
  <c r="E181" i="9"/>
  <c r="G181" i="9"/>
  <c r="I181" i="9"/>
  <c r="M181" i="9"/>
  <c r="L181" i="9"/>
  <c r="D181" i="9"/>
  <c r="C181" i="9"/>
  <c r="J181" i="9"/>
  <c r="H181" i="9"/>
  <c r="Q181" i="9"/>
  <c r="P181" i="9"/>
  <c r="K181" i="9"/>
  <c r="F181" i="9"/>
  <c r="N181" i="9"/>
  <c r="L173" i="9"/>
  <c r="G173" i="9"/>
  <c r="O173" i="9"/>
  <c r="E173" i="9"/>
  <c r="K173" i="9"/>
  <c r="C173" i="9"/>
  <c r="J173" i="9"/>
  <c r="F173" i="9"/>
  <c r="M173" i="9"/>
  <c r="Q173" i="9"/>
  <c r="P173" i="9"/>
  <c r="N173" i="9"/>
  <c r="H173" i="9"/>
  <c r="I173" i="9"/>
  <c r="B173" i="9"/>
  <c r="D173" i="9"/>
  <c r="O164" i="9"/>
  <c r="H164" i="9"/>
  <c r="I164" i="9"/>
  <c r="N164" i="9"/>
  <c r="E164" i="9"/>
  <c r="C164" i="9"/>
  <c r="B164" i="9"/>
  <c r="J164" i="9"/>
  <c r="K164" i="9"/>
  <c r="M164" i="9"/>
  <c r="G164" i="9"/>
  <c r="L164" i="9"/>
  <c r="F164" i="9"/>
  <c r="P164" i="9"/>
  <c r="D164" i="9"/>
  <c r="Q164" i="9"/>
  <c r="J186" i="9"/>
  <c r="M186" i="9"/>
  <c r="O186" i="9"/>
  <c r="Q186" i="9"/>
  <c r="P186" i="9"/>
  <c r="L186" i="9"/>
  <c r="D186" i="9"/>
  <c r="H186" i="9"/>
  <c r="G186" i="9"/>
  <c r="B186" i="9"/>
  <c r="C186" i="9"/>
  <c r="N186" i="9"/>
  <c r="E186" i="9"/>
  <c r="F186" i="9"/>
  <c r="I186" i="9"/>
  <c r="K186" i="9"/>
  <c r="D161" i="9"/>
  <c r="G161" i="9"/>
  <c r="H161" i="9"/>
  <c r="I161" i="9"/>
  <c r="K161" i="9"/>
  <c r="Q161" i="9"/>
  <c r="F161" i="9"/>
  <c r="P161" i="9"/>
  <c r="C161" i="9"/>
  <c r="J161" i="9"/>
  <c r="M161" i="9"/>
  <c r="L161" i="9"/>
  <c r="O161" i="9"/>
  <c r="B161" i="9"/>
  <c r="N161" i="9"/>
  <c r="E161" i="9"/>
  <c r="Q178" i="9"/>
  <c r="O178" i="9"/>
  <c r="J178" i="9"/>
  <c r="D178" i="9"/>
  <c r="C178" i="9"/>
  <c r="F178" i="9"/>
  <c r="L178" i="9"/>
  <c r="I178" i="9"/>
  <c r="P178" i="9"/>
  <c r="N178" i="9"/>
  <c r="M178" i="9"/>
  <c r="H178" i="9"/>
  <c r="K178" i="9"/>
  <c r="B178" i="9"/>
  <c r="E178" i="9"/>
  <c r="G178" i="9"/>
  <c r="E171" i="9"/>
  <c r="Q171" i="9"/>
  <c r="P171" i="9"/>
  <c r="J171" i="9"/>
  <c r="I171" i="9"/>
  <c r="G171" i="9"/>
  <c r="C171" i="9"/>
  <c r="O171" i="9"/>
  <c r="F171" i="9"/>
  <c r="K171" i="9"/>
  <c r="D171" i="9"/>
  <c r="M171" i="9"/>
  <c r="B171" i="9"/>
  <c r="N171" i="9"/>
  <c r="L171" i="9"/>
  <c r="H171" i="9"/>
  <c r="B162" i="9"/>
  <c r="L162" i="9"/>
  <c r="G162" i="9"/>
  <c r="O162" i="9"/>
  <c r="M162" i="9"/>
  <c r="Q162" i="9"/>
  <c r="N162" i="9"/>
  <c r="I162" i="9"/>
  <c r="C162" i="9"/>
  <c r="J162" i="9"/>
  <c r="F162" i="9"/>
  <c r="E162" i="9"/>
  <c r="D162" i="9"/>
  <c r="K162" i="9"/>
  <c r="H162" i="9"/>
  <c r="P162" i="9"/>
  <c r="Q151" i="15"/>
  <c r="H151" i="15"/>
  <c r="P151" i="15"/>
  <c r="N151" i="15"/>
  <c r="M151" i="15"/>
  <c r="K151" i="15"/>
  <c r="I151" i="15"/>
  <c r="D151" i="15"/>
  <c r="B151" i="15"/>
  <c r="G151" i="15"/>
  <c r="E151" i="15"/>
  <c r="C151" i="15"/>
  <c r="O151" i="15"/>
  <c r="L151" i="15"/>
  <c r="J151" i="15"/>
  <c r="F151" i="15"/>
  <c r="R120" i="15"/>
  <c r="K176" i="9"/>
  <c r="C176" i="9"/>
  <c r="G176" i="9"/>
  <c r="B176" i="9"/>
  <c r="J176" i="9"/>
  <c r="L176" i="9"/>
  <c r="Q176" i="9"/>
  <c r="M176" i="9"/>
  <c r="D176" i="9"/>
  <c r="F176" i="9"/>
  <c r="N176" i="9"/>
  <c r="I176" i="9"/>
  <c r="E176" i="9"/>
  <c r="H176" i="9"/>
  <c r="P176" i="9"/>
  <c r="O176" i="9"/>
  <c r="C193" i="9"/>
  <c r="B193" i="9"/>
  <c r="N193" i="9"/>
  <c r="F193" i="9"/>
  <c r="D193" i="9"/>
  <c r="M193" i="9"/>
  <c r="Q193" i="9"/>
  <c r="O193" i="9"/>
  <c r="L193" i="9"/>
  <c r="E193" i="9"/>
  <c r="J193" i="9"/>
  <c r="G193" i="9"/>
  <c r="K193" i="9"/>
  <c r="I193" i="9"/>
  <c r="P193" i="9"/>
  <c r="H193" i="9"/>
  <c r="I140" i="15"/>
  <c r="K140" i="15"/>
  <c r="Q140" i="15"/>
  <c r="C140" i="15"/>
  <c r="E140" i="15"/>
  <c r="B140" i="15"/>
  <c r="O140" i="15"/>
  <c r="H140" i="15"/>
  <c r="N140" i="15"/>
  <c r="P140" i="15"/>
  <c r="F140" i="15"/>
  <c r="J140" i="15"/>
  <c r="D140" i="15"/>
  <c r="G140" i="15"/>
  <c r="M140" i="15"/>
  <c r="L140" i="15"/>
  <c r="R24" i="6"/>
  <c r="K180" i="9"/>
  <c r="M180" i="9"/>
  <c r="I180" i="9"/>
  <c r="O180" i="9"/>
  <c r="C180" i="9"/>
  <c r="F180" i="9"/>
  <c r="G180" i="9"/>
  <c r="J180" i="9"/>
  <c r="P180" i="9"/>
  <c r="N180" i="9"/>
  <c r="Q180" i="9"/>
  <c r="L180" i="9"/>
  <c r="E180" i="9"/>
  <c r="B180" i="9"/>
  <c r="H180" i="9"/>
  <c r="D180" i="9"/>
  <c r="M187" i="9"/>
  <c r="L187" i="9"/>
  <c r="D187" i="9"/>
  <c r="E187" i="9"/>
  <c r="C187" i="9"/>
  <c r="O187" i="9"/>
  <c r="P187" i="9"/>
  <c r="Q187" i="9"/>
  <c r="K187" i="9"/>
  <c r="G187" i="9"/>
  <c r="F187" i="9"/>
  <c r="I187" i="9"/>
  <c r="N187" i="9"/>
  <c r="B187" i="9"/>
  <c r="H187" i="9"/>
  <c r="J187" i="9"/>
  <c r="J147" i="15"/>
  <c r="E147" i="15"/>
  <c r="P147" i="15"/>
  <c r="O147" i="15"/>
  <c r="F147" i="15"/>
  <c r="K147" i="15"/>
  <c r="L147" i="15"/>
  <c r="C147" i="15"/>
  <c r="D147" i="15"/>
  <c r="Q147" i="15"/>
  <c r="G147" i="15"/>
  <c r="I147" i="15"/>
  <c r="B147" i="15"/>
  <c r="H147" i="15"/>
  <c r="N147" i="15"/>
  <c r="M147" i="15"/>
  <c r="L183" i="9"/>
  <c r="H183" i="9"/>
  <c r="C183" i="9"/>
  <c r="E183" i="9"/>
  <c r="F183" i="9"/>
  <c r="N183" i="9"/>
  <c r="K183" i="9"/>
  <c r="P183" i="9"/>
  <c r="M183" i="9"/>
  <c r="G183" i="9"/>
  <c r="D183" i="9"/>
  <c r="Q183" i="9"/>
  <c r="J183" i="9"/>
  <c r="O183" i="9"/>
  <c r="I183" i="9"/>
  <c r="B183" i="9"/>
  <c r="O159" i="9"/>
  <c r="P159" i="9"/>
  <c r="I159" i="9"/>
  <c r="H159" i="9"/>
  <c r="E159" i="9"/>
  <c r="D159" i="9"/>
  <c r="F159" i="9"/>
  <c r="C159" i="9"/>
  <c r="N159" i="9"/>
  <c r="K159" i="9"/>
  <c r="Q159" i="9"/>
  <c r="J159" i="9"/>
  <c r="M159" i="9"/>
  <c r="L159" i="9"/>
  <c r="G159" i="9"/>
  <c r="B159" i="9"/>
  <c r="F182" i="9"/>
  <c r="K182" i="9"/>
  <c r="O182" i="9"/>
  <c r="I182" i="9"/>
  <c r="G182" i="9"/>
  <c r="P182" i="9"/>
  <c r="M182" i="9"/>
  <c r="J182" i="9"/>
  <c r="E182" i="9"/>
  <c r="C182" i="9"/>
  <c r="D182" i="9"/>
  <c r="N182" i="9"/>
  <c r="Q182" i="9"/>
  <c r="H182" i="9"/>
  <c r="L182" i="9"/>
  <c r="B182" i="9"/>
  <c r="I146" i="15"/>
  <c r="C146" i="15"/>
  <c r="E146" i="15"/>
  <c r="L146" i="15"/>
  <c r="K146" i="15"/>
  <c r="Q146" i="15"/>
  <c r="J146" i="15"/>
  <c r="B146" i="15"/>
  <c r="G146" i="15"/>
  <c r="N146" i="15"/>
  <c r="D146" i="15"/>
  <c r="O146" i="15"/>
  <c r="F146" i="15"/>
  <c r="M146" i="15"/>
  <c r="H146" i="15"/>
  <c r="P146" i="15"/>
  <c r="K134" i="15"/>
  <c r="D134" i="15"/>
  <c r="Q134" i="15"/>
  <c r="M134" i="15"/>
  <c r="H134" i="15"/>
  <c r="F134" i="15"/>
  <c r="G134" i="15"/>
  <c r="I134" i="15"/>
  <c r="J134" i="15"/>
  <c r="N134" i="15"/>
  <c r="C134" i="15"/>
  <c r="E134" i="15"/>
  <c r="L134" i="15"/>
  <c r="B134" i="15"/>
  <c r="P134" i="15"/>
  <c r="O134" i="15"/>
  <c r="L152" i="15"/>
  <c r="Q152" i="15"/>
  <c r="M152" i="15"/>
  <c r="K152" i="15"/>
  <c r="G152" i="15"/>
  <c r="H152" i="15"/>
  <c r="D152" i="15"/>
  <c r="E152" i="15"/>
  <c r="J152" i="15"/>
  <c r="N152" i="15"/>
  <c r="B152" i="15"/>
  <c r="P152" i="15"/>
  <c r="F152" i="15"/>
  <c r="O152" i="15"/>
  <c r="I152" i="15"/>
  <c r="C152" i="15"/>
  <c r="I169" i="9"/>
  <c r="F169" i="9"/>
  <c r="B169" i="9"/>
  <c r="N169" i="9"/>
  <c r="L169" i="9"/>
  <c r="E169" i="9"/>
  <c r="H169" i="9"/>
  <c r="C169" i="9"/>
  <c r="D169" i="9"/>
  <c r="K169" i="9"/>
  <c r="G169" i="9"/>
  <c r="J169" i="9"/>
  <c r="Q169" i="9"/>
  <c r="M169" i="9"/>
  <c r="O169" i="9"/>
  <c r="P169" i="9"/>
  <c r="G172" i="9"/>
  <c r="B172" i="9"/>
  <c r="Q172" i="9"/>
  <c r="D172" i="9"/>
  <c r="I172" i="9"/>
  <c r="J172" i="9"/>
  <c r="H172" i="9"/>
  <c r="F172" i="9"/>
  <c r="P172" i="9"/>
  <c r="K172" i="9"/>
  <c r="O172" i="9"/>
  <c r="N172" i="9"/>
  <c r="L172" i="9"/>
  <c r="M172" i="9"/>
  <c r="E172" i="9"/>
  <c r="C172" i="9"/>
  <c r="E129" i="15"/>
  <c r="F129" i="15"/>
  <c r="J129" i="15"/>
  <c r="C129" i="15"/>
  <c r="H129" i="15"/>
  <c r="O129" i="15"/>
  <c r="K129" i="15"/>
  <c r="P129" i="15"/>
  <c r="D129" i="15"/>
  <c r="L129" i="15"/>
  <c r="M129" i="15"/>
  <c r="I129" i="15"/>
  <c r="Q129" i="15"/>
  <c r="B129" i="15"/>
  <c r="N129" i="15"/>
  <c r="G129" i="15"/>
  <c r="O135" i="15"/>
  <c r="M135" i="15"/>
  <c r="I135" i="15"/>
  <c r="B135" i="15"/>
  <c r="P135" i="15"/>
  <c r="N135" i="15"/>
  <c r="D135" i="15"/>
  <c r="H135" i="15"/>
  <c r="C135" i="15"/>
  <c r="G135" i="15"/>
  <c r="E135" i="15"/>
  <c r="F135" i="15"/>
  <c r="L135" i="15"/>
  <c r="Q135" i="15"/>
  <c r="K135" i="15"/>
  <c r="J135" i="15"/>
  <c r="N144" i="15"/>
  <c r="G144" i="15"/>
  <c r="Q144" i="15"/>
  <c r="H144" i="15"/>
  <c r="I144" i="15"/>
  <c r="F144" i="15"/>
  <c r="J144" i="15"/>
  <c r="L144" i="15"/>
  <c r="P144" i="15"/>
  <c r="O144" i="15"/>
  <c r="M144" i="15"/>
  <c r="B144" i="15"/>
  <c r="E144" i="15"/>
  <c r="D144" i="15"/>
  <c r="C144" i="15"/>
  <c r="K144" i="15"/>
  <c r="G128" i="15"/>
  <c r="K128" i="15"/>
  <c r="M128" i="15"/>
  <c r="F128" i="15"/>
  <c r="D128" i="15"/>
  <c r="O128" i="15"/>
  <c r="L128" i="15"/>
  <c r="N128" i="15"/>
  <c r="H128" i="15"/>
  <c r="Q128" i="15"/>
  <c r="E128" i="15"/>
  <c r="P128" i="15"/>
  <c r="J128" i="15"/>
  <c r="C128" i="15"/>
  <c r="B128" i="15"/>
  <c r="I128" i="15"/>
  <c r="G145" i="15"/>
  <c r="H145" i="15"/>
  <c r="N145" i="15"/>
  <c r="L145" i="15"/>
  <c r="K145" i="15"/>
  <c r="C145" i="15"/>
  <c r="M145" i="15"/>
  <c r="D145" i="15"/>
  <c r="B145" i="15"/>
  <c r="J145" i="15"/>
  <c r="P145" i="15"/>
  <c r="I145" i="15"/>
  <c r="F145" i="15"/>
  <c r="Q145" i="15"/>
  <c r="E145" i="15"/>
  <c r="O145" i="15"/>
  <c r="Q175" i="9"/>
  <c r="C175" i="9"/>
  <c r="D175" i="9"/>
  <c r="M175" i="9"/>
  <c r="H175" i="9"/>
  <c r="F175" i="9"/>
  <c r="G175" i="9"/>
  <c r="L175" i="9"/>
  <c r="P175" i="9"/>
  <c r="I175" i="9"/>
  <c r="K175" i="9"/>
  <c r="N175" i="9"/>
  <c r="B175" i="9"/>
  <c r="E175" i="9"/>
  <c r="O175" i="9"/>
  <c r="J175" i="9"/>
  <c r="D138" i="15"/>
  <c r="I138" i="15"/>
  <c r="K138" i="15"/>
  <c r="O138" i="15"/>
  <c r="H138" i="15"/>
  <c r="E138" i="15"/>
  <c r="G138" i="15"/>
  <c r="F138" i="15"/>
  <c r="M138" i="15"/>
  <c r="C138" i="15"/>
  <c r="Q138" i="15"/>
  <c r="B138" i="15"/>
  <c r="N138" i="15"/>
  <c r="L138" i="15"/>
  <c r="J138" i="15"/>
  <c r="P138" i="15"/>
  <c r="J192" i="9"/>
  <c r="G192" i="9"/>
  <c r="I192" i="9"/>
  <c r="P192" i="9"/>
  <c r="E192" i="9"/>
  <c r="N192" i="9"/>
  <c r="K192" i="9"/>
  <c r="C192" i="9"/>
  <c r="Q192" i="9"/>
  <c r="H192" i="9"/>
  <c r="O192" i="9"/>
  <c r="F192" i="9"/>
  <c r="B192" i="9"/>
  <c r="L192" i="9"/>
  <c r="D192" i="9"/>
  <c r="M192" i="9"/>
  <c r="O132" i="15"/>
  <c r="I132" i="15"/>
  <c r="G132" i="15"/>
  <c r="Q132" i="15"/>
  <c r="K132" i="15"/>
  <c r="B132" i="15"/>
  <c r="M132" i="15"/>
  <c r="E132" i="15"/>
  <c r="P132" i="15"/>
  <c r="J132" i="15"/>
  <c r="C132" i="15"/>
  <c r="L132" i="15"/>
  <c r="N132" i="15"/>
  <c r="F132" i="15"/>
  <c r="D132" i="15"/>
  <c r="H132" i="15"/>
  <c r="K179" i="9"/>
  <c r="F179" i="9"/>
  <c r="I179" i="9"/>
  <c r="O179" i="9"/>
  <c r="B179" i="9"/>
  <c r="Q179" i="9"/>
  <c r="M179" i="9"/>
  <c r="E179" i="9"/>
  <c r="P179" i="9"/>
  <c r="H179" i="9"/>
  <c r="C179" i="9"/>
  <c r="N179" i="9"/>
  <c r="G179" i="9"/>
  <c r="L179" i="9"/>
  <c r="D179" i="9"/>
  <c r="J179" i="9"/>
  <c r="L184" i="9"/>
  <c r="Q184" i="9"/>
  <c r="J184" i="9"/>
  <c r="K184" i="9"/>
  <c r="F184" i="9"/>
  <c r="C184" i="9"/>
  <c r="I184" i="9"/>
  <c r="H184" i="9"/>
  <c r="D184" i="9"/>
  <c r="O184" i="9"/>
  <c r="P184" i="9"/>
  <c r="G184" i="9"/>
  <c r="B184" i="9"/>
  <c r="M184" i="9"/>
  <c r="N184" i="9"/>
  <c r="E184" i="9"/>
  <c r="D166" i="9"/>
  <c r="E166" i="9"/>
  <c r="C166" i="9"/>
  <c r="B166" i="9"/>
  <c r="I166" i="9"/>
  <c r="G166" i="9"/>
  <c r="N166" i="9"/>
  <c r="P166" i="9"/>
  <c r="O166" i="9"/>
  <c r="H166" i="9"/>
  <c r="L166" i="9"/>
  <c r="M166" i="9"/>
  <c r="J166" i="9"/>
  <c r="F166" i="9"/>
  <c r="K166" i="9"/>
  <c r="Q166" i="9"/>
  <c r="D188" i="9" l="1"/>
  <c r="P177" i="9"/>
  <c r="H130" i="15"/>
  <c r="H136" i="15" s="1"/>
  <c r="G150" i="15"/>
  <c r="Q194" i="9"/>
  <c r="K150" i="15"/>
  <c r="B163" i="9"/>
  <c r="B165" i="9" s="1"/>
  <c r="R158" i="9"/>
  <c r="H141" i="15"/>
  <c r="R145" i="15"/>
  <c r="E130" i="15"/>
  <c r="E136" i="15" s="1"/>
  <c r="E62" i="7" s="1"/>
  <c r="E149" i="15"/>
  <c r="R193" i="9"/>
  <c r="R176" i="9"/>
  <c r="C150" i="15"/>
  <c r="H188" i="9"/>
  <c r="K163" i="9"/>
  <c r="E194" i="9"/>
  <c r="H194" i="9"/>
  <c r="E177" i="9"/>
  <c r="E150" i="15"/>
  <c r="G194" i="9"/>
  <c r="N130" i="15"/>
  <c r="P188" i="9"/>
  <c r="L194" i="9"/>
  <c r="R169" i="9"/>
  <c r="R178" i="9"/>
  <c r="Q188" i="9"/>
  <c r="D163" i="9"/>
  <c r="Q163" i="9"/>
  <c r="N194" i="9"/>
  <c r="K177" i="9"/>
  <c r="R166" i="9"/>
  <c r="L141" i="15"/>
  <c r="O130" i="15"/>
  <c r="O136" i="15" s="1"/>
  <c r="O62" i="7" s="1"/>
  <c r="L149" i="15"/>
  <c r="R146" i="15"/>
  <c r="I150" i="15"/>
  <c r="O188" i="9"/>
  <c r="E163" i="9"/>
  <c r="E165" i="9" s="1"/>
  <c r="G163" i="9"/>
  <c r="R174" i="9"/>
  <c r="M194" i="9"/>
  <c r="R160" i="9"/>
  <c r="O177" i="9"/>
  <c r="R156" i="9"/>
  <c r="K141" i="15"/>
  <c r="I141" i="15"/>
  <c r="O149" i="15"/>
  <c r="R129" i="15"/>
  <c r="R171" i="9"/>
  <c r="B141" i="15"/>
  <c r="R138" i="15"/>
  <c r="F130" i="15"/>
  <c r="F149" i="15"/>
  <c r="M150" i="15"/>
  <c r="I188" i="9"/>
  <c r="J188" i="9"/>
  <c r="L163" i="9"/>
  <c r="L165" i="9" s="1"/>
  <c r="R191" i="9"/>
  <c r="B194" i="9"/>
  <c r="L177" i="9"/>
  <c r="Q130" i="15"/>
  <c r="M163" i="9"/>
  <c r="R154" i="15"/>
  <c r="N177" i="9"/>
  <c r="R179" i="9"/>
  <c r="Q141" i="15"/>
  <c r="R175" i="9"/>
  <c r="M130" i="15"/>
  <c r="M136" i="15" s="1"/>
  <c r="M62" i="7" s="1"/>
  <c r="I149" i="15"/>
  <c r="R147" i="15"/>
  <c r="R140" i="15"/>
  <c r="N150" i="15"/>
  <c r="F188" i="9"/>
  <c r="J163" i="9"/>
  <c r="J165" i="9" s="1"/>
  <c r="R131" i="15"/>
  <c r="F194" i="9"/>
  <c r="Q165" i="9"/>
  <c r="J177" i="9"/>
  <c r="M149" i="15"/>
  <c r="R172" i="9"/>
  <c r="N163" i="9"/>
  <c r="N165" i="9" s="1"/>
  <c r="R192" i="9"/>
  <c r="J141" i="15"/>
  <c r="L130" i="15"/>
  <c r="P149" i="15"/>
  <c r="D130" i="15"/>
  <c r="R161" i="9"/>
  <c r="K188" i="9"/>
  <c r="M188" i="9"/>
  <c r="R187" i="9"/>
  <c r="P150" i="15"/>
  <c r="E188" i="9"/>
  <c r="F163" i="9"/>
  <c r="K194" i="9"/>
  <c r="F177" i="9"/>
  <c r="R183" i="9"/>
  <c r="B150" i="15"/>
  <c r="R151" i="15"/>
  <c r="R148" i="15"/>
  <c r="D177" i="9"/>
  <c r="N141" i="15"/>
  <c r="M141" i="15"/>
  <c r="R128" i="15"/>
  <c r="B130" i="15"/>
  <c r="G130" i="15"/>
  <c r="G136" i="15" s="1"/>
  <c r="Q149" i="15"/>
  <c r="F150" i="15"/>
  <c r="H150" i="15"/>
  <c r="N188" i="9"/>
  <c r="P163" i="9"/>
  <c r="P165" i="9" s="1"/>
  <c r="P194" i="9"/>
  <c r="D165" i="9"/>
  <c r="I177" i="9"/>
  <c r="Q177" i="9"/>
  <c r="R189" i="9"/>
  <c r="R164" i="9"/>
  <c r="H177" i="9"/>
  <c r="R132" i="15"/>
  <c r="F141" i="15"/>
  <c r="C130" i="15"/>
  <c r="C136" i="15" s="1"/>
  <c r="C62" i="7" s="1"/>
  <c r="K149" i="15"/>
  <c r="G149" i="15"/>
  <c r="R135" i="15"/>
  <c r="R134" i="15"/>
  <c r="R180" i="9"/>
  <c r="J150" i="15"/>
  <c r="Q150" i="15"/>
  <c r="C188" i="9"/>
  <c r="R173" i="9"/>
  <c r="C163" i="9"/>
  <c r="C165" i="9" s="1"/>
  <c r="C194" i="9"/>
  <c r="R168" i="9"/>
  <c r="B177" i="9"/>
  <c r="M177" i="9"/>
  <c r="D194" i="9"/>
  <c r="P141" i="15"/>
  <c r="D141" i="15"/>
  <c r="J149" i="15"/>
  <c r="R155" i="15"/>
  <c r="C141" i="15"/>
  <c r="I130" i="15"/>
  <c r="I136" i="15" s="1"/>
  <c r="I62" i="7" s="1"/>
  <c r="K130" i="15"/>
  <c r="K136" i="15" s="1"/>
  <c r="K62" i="7" s="1"/>
  <c r="H149" i="15"/>
  <c r="L150" i="15"/>
  <c r="B188" i="9"/>
  <c r="R186" i="9"/>
  <c r="R181" i="9"/>
  <c r="H163" i="9"/>
  <c r="J194" i="9"/>
  <c r="C177" i="9"/>
  <c r="O141" i="15"/>
  <c r="R144" i="15"/>
  <c r="B149" i="15"/>
  <c r="R159" i="9"/>
  <c r="L188" i="9"/>
  <c r="I163" i="9"/>
  <c r="D150" i="15"/>
  <c r="R133" i="15"/>
  <c r="I194" i="9"/>
  <c r="R184" i="9"/>
  <c r="G141" i="15"/>
  <c r="J130" i="15"/>
  <c r="C149" i="15"/>
  <c r="N149" i="15"/>
  <c r="R152" i="15"/>
  <c r="E141" i="15"/>
  <c r="P130" i="15"/>
  <c r="D149" i="15"/>
  <c r="R182" i="9"/>
  <c r="O150" i="15"/>
  <c r="R162" i="9"/>
  <c r="G188" i="9"/>
  <c r="R139" i="15"/>
  <c r="O163" i="9"/>
  <c r="O165" i="9" s="1"/>
  <c r="O194" i="9"/>
  <c r="R170" i="9"/>
  <c r="G177" i="9"/>
  <c r="E195" i="9" l="1"/>
  <c r="E53" i="7" s="1"/>
  <c r="J195" i="9"/>
  <c r="J53" i="7" s="1"/>
  <c r="D195" i="9"/>
  <c r="D53" i="7" s="1"/>
  <c r="I142" i="15"/>
  <c r="I153" i="15" s="1"/>
  <c r="I156" i="15" s="1"/>
  <c r="R194" i="9"/>
  <c r="R188" i="9"/>
  <c r="H62" i="7"/>
  <c r="H142" i="15"/>
  <c r="H153" i="15" s="1"/>
  <c r="O195" i="9"/>
  <c r="O53" i="7" s="1"/>
  <c r="B195" i="9"/>
  <c r="B53" i="7" s="1"/>
  <c r="R177" i="9"/>
  <c r="N195" i="9"/>
  <c r="N53" i="7" s="1"/>
  <c r="I165" i="9"/>
  <c r="I195" i="9" s="1"/>
  <c r="I53" i="7" s="1"/>
  <c r="L195" i="9"/>
  <c r="L53" i="7" s="1"/>
  <c r="C195" i="9"/>
  <c r="C53" i="7" s="1"/>
  <c r="Q195" i="9"/>
  <c r="Q53" i="7" s="1"/>
  <c r="M142" i="15"/>
  <c r="M153" i="15" s="1"/>
  <c r="K165" i="9"/>
  <c r="K195" i="9" s="1"/>
  <c r="K53" i="7" s="1"/>
  <c r="G62" i="7"/>
  <c r="G142" i="15"/>
  <c r="H165" i="9"/>
  <c r="H195" i="9" s="1"/>
  <c r="H53" i="7" s="1"/>
  <c r="J136" i="15"/>
  <c r="Q136" i="15"/>
  <c r="Q62" i="7" s="1"/>
  <c r="N136" i="15"/>
  <c r="D136" i="15"/>
  <c r="D62" i="7" s="1"/>
  <c r="L136" i="15"/>
  <c r="L142" i="15" s="1"/>
  <c r="R149" i="15"/>
  <c r="C142" i="15"/>
  <c r="C153" i="15" s="1"/>
  <c r="O142" i="15"/>
  <c r="O153" i="15" s="1"/>
  <c r="F136" i="15"/>
  <c r="F62" i="7" s="1"/>
  <c r="G165" i="9"/>
  <c r="G195" i="9" s="1"/>
  <c r="G53" i="7" s="1"/>
  <c r="E142" i="15"/>
  <c r="B136" i="15"/>
  <c r="B62" i="7" s="1"/>
  <c r="R150" i="15"/>
  <c r="R163" i="9"/>
  <c r="R165" i="9" s="1"/>
  <c r="K142" i="15"/>
  <c r="K153" i="15" s="1"/>
  <c r="F165" i="9"/>
  <c r="F195" i="9" s="1"/>
  <c r="F53" i="7" s="1"/>
  <c r="R141" i="15"/>
  <c r="P136" i="15"/>
  <c r="M165" i="9"/>
  <c r="M195" i="9" s="1"/>
  <c r="M53" i="7" s="1"/>
  <c r="R130" i="15"/>
  <c r="R136" i="15" s="1"/>
  <c r="P195" i="9"/>
  <c r="P53" i="7" s="1"/>
  <c r="R142" i="15" l="1"/>
  <c r="H156" i="15"/>
  <c r="K156" i="15"/>
  <c r="M156" i="15"/>
  <c r="O156" i="15"/>
  <c r="B142" i="15"/>
  <c r="B153" i="15" s="1"/>
  <c r="B156" i="15" s="1"/>
  <c r="Q142" i="15"/>
  <c r="Q153" i="15" s="1"/>
  <c r="J142" i="15"/>
  <c r="J153" i="15" s="1"/>
  <c r="J156" i="15" s="1"/>
  <c r="R153" i="15"/>
  <c r="R156" i="15" s="1"/>
  <c r="G153" i="15"/>
  <c r="G156" i="15" s="1"/>
  <c r="R53" i="7"/>
  <c r="P26" i="6" s="1"/>
  <c r="C156" i="15"/>
  <c r="N62" i="7"/>
  <c r="N142" i="15"/>
  <c r="N153" i="15" s="1"/>
  <c r="L62" i="7"/>
  <c r="F142" i="15"/>
  <c r="F153" i="15" s="1"/>
  <c r="F156" i="15" s="1"/>
  <c r="P62" i="7"/>
  <c r="J62" i="7"/>
  <c r="L153" i="15"/>
  <c r="L156" i="15" s="1"/>
  <c r="E153" i="15"/>
  <c r="E156" i="15" s="1"/>
  <c r="P142" i="15"/>
  <c r="R195" i="9"/>
  <c r="D142" i="15"/>
  <c r="D153" i="15" s="1"/>
  <c r="Q156" i="15" l="1"/>
  <c r="P153" i="15"/>
  <c r="P156" i="15" s="1"/>
  <c r="R62" i="7"/>
  <c r="N33" i="6" s="1"/>
  <c r="N107" i="9" s="1"/>
  <c r="I26" i="6"/>
  <c r="B26" i="6"/>
  <c r="J26" i="6"/>
  <c r="K26" i="6"/>
  <c r="O26" i="6"/>
  <c r="L26" i="6"/>
  <c r="E26" i="6"/>
  <c r="D26" i="6"/>
  <c r="N26" i="6"/>
  <c r="C26" i="6"/>
  <c r="Q26" i="6"/>
  <c r="P122" i="15"/>
  <c r="P106" i="9"/>
  <c r="D156" i="15"/>
  <c r="H26" i="6"/>
  <c r="F26" i="6"/>
  <c r="M26" i="6"/>
  <c r="G26" i="6"/>
  <c r="N156" i="15"/>
  <c r="B33" i="6" l="1"/>
  <c r="Q33" i="6"/>
  <c r="Q107" i="9" s="1"/>
  <c r="H33" i="6"/>
  <c r="H107" i="9" s="1"/>
  <c r="E33" i="6"/>
  <c r="E107" i="9" s="1"/>
  <c r="D33" i="6"/>
  <c r="D107" i="9" s="1"/>
  <c r="F33" i="6"/>
  <c r="F107" i="9" s="1"/>
  <c r="I33" i="6"/>
  <c r="I107" i="9" s="1"/>
  <c r="M33" i="6"/>
  <c r="M107" i="9" s="1"/>
  <c r="G33" i="6"/>
  <c r="G107" i="9" s="1"/>
  <c r="O33" i="6"/>
  <c r="O107" i="9" s="1"/>
  <c r="L33" i="6"/>
  <c r="L107" i="9" s="1"/>
  <c r="C33" i="6"/>
  <c r="C107" i="9" s="1"/>
  <c r="K33" i="6"/>
  <c r="K107" i="9" s="1"/>
  <c r="P33" i="6"/>
  <c r="P107" i="9" s="1"/>
  <c r="J33" i="6"/>
  <c r="J107" i="9" s="1"/>
  <c r="L106" i="9"/>
  <c r="L122" i="15"/>
  <c r="C122" i="15"/>
  <c r="C106" i="9"/>
  <c r="Q106" i="9"/>
  <c r="Q122" i="15"/>
  <c r="B107" i="9"/>
  <c r="N122" i="15"/>
  <c r="N106" i="9"/>
  <c r="D106" i="9"/>
  <c r="D122" i="15"/>
  <c r="E122" i="15"/>
  <c r="E106" i="9"/>
  <c r="G106" i="9"/>
  <c r="G122" i="15"/>
  <c r="M122" i="15"/>
  <c r="M106" i="9"/>
  <c r="O122" i="15"/>
  <c r="O106" i="9"/>
  <c r="F106" i="9"/>
  <c r="F122" i="15"/>
  <c r="K122" i="15"/>
  <c r="K106" i="9"/>
  <c r="J106" i="9"/>
  <c r="J122" i="15"/>
  <c r="H122" i="15"/>
  <c r="H106" i="9"/>
  <c r="B106" i="9"/>
  <c r="R26" i="6"/>
  <c r="B122" i="15"/>
  <c r="I122" i="15"/>
  <c r="I106" i="9"/>
  <c r="R107" i="9" l="1"/>
  <c r="R33" i="6"/>
  <c r="R122" i="15"/>
  <c r="R106" i="9"/>
  <c r="B206" i="9" s="1" a="1"/>
  <c r="B202" i="9" l="1" a="1"/>
  <c r="B231" i="9" a="1"/>
  <c r="L231" i="9" s="1"/>
  <c r="L275" i="9" s="1"/>
  <c r="B218" i="9" a="1"/>
  <c r="F218" i="9" s="1"/>
  <c r="F262" i="9" s="1"/>
  <c r="B226" i="9" a="1"/>
  <c r="G226" i="9" s="1"/>
  <c r="G270" i="9" s="1"/>
  <c r="B233" i="9" a="1"/>
  <c r="K233" i="9" s="1"/>
  <c r="K277" i="9" s="1"/>
  <c r="B200" i="9" a="1"/>
  <c r="I200" i="9" s="1"/>
  <c r="B208" i="9" a="1"/>
  <c r="M208" i="9" s="1"/>
  <c r="M252" i="9" s="1"/>
  <c r="B215" i="9" a="1"/>
  <c r="G215" i="9" s="1"/>
  <c r="G259" i="9" s="1"/>
  <c r="B217" i="9" a="1"/>
  <c r="Q217" i="9" s="1"/>
  <c r="Q261" i="9" s="1"/>
  <c r="B220" i="9" a="1"/>
  <c r="L220" i="9" s="1"/>
  <c r="L264" i="9" s="1"/>
  <c r="B223" i="9" a="1"/>
  <c r="P223" i="9" s="1"/>
  <c r="P267" i="9" s="1"/>
  <c r="B204" i="9" a="1"/>
  <c r="O204" i="9" s="1"/>
  <c r="O248" i="9" s="1"/>
  <c r="B214" i="9" a="1"/>
  <c r="E214" i="9" s="1"/>
  <c r="E258" i="9" s="1"/>
  <c r="B210" i="9" a="1"/>
  <c r="J210" i="9" s="1"/>
  <c r="J254" i="9" s="1"/>
  <c r="B219" i="9" a="1"/>
  <c r="K219" i="9" s="1"/>
  <c r="K263" i="9" s="1"/>
  <c r="B213" i="9" a="1"/>
  <c r="L213" i="9" s="1"/>
  <c r="L257" i="9" s="1"/>
  <c r="B222" i="9" a="1"/>
  <c r="K222" i="9" s="1"/>
  <c r="K266" i="9" s="1"/>
  <c r="B225" i="9" a="1"/>
  <c r="G225" i="9" s="1"/>
  <c r="G269" i="9" s="1"/>
  <c r="B236" i="9" a="1"/>
  <c r="D236" i="9" s="1"/>
  <c r="D280" i="9" s="1"/>
  <c r="B237" i="9" a="1"/>
  <c r="F237" i="9" s="1"/>
  <c r="F281" i="9" s="1"/>
  <c r="B203" i="9" a="1"/>
  <c r="B203" i="9" s="1"/>
  <c r="B227" i="9" a="1"/>
  <c r="Q227" i="9" s="1"/>
  <c r="Q271" i="9" s="1"/>
  <c r="B230" i="9" a="1"/>
  <c r="L230" i="9" s="1"/>
  <c r="B205" i="9" a="1"/>
  <c r="D205" i="9" s="1"/>
  <c r="D249" i="9" s="1"/>
  <c r="B228" i="9" a="1"/>
  <c r="B228" i="9" s="1"/>
  <c r="B212" i="9" a="1"/>
  <c r="I212" i="9" s="1"/>
  <c r="B235" i="9" a="1"/>
  <c r="F235" i="9" s="1"/>
  <c r="J206" i="9"/>
  <c r="J250" i="9" s="1"/>
  <c r="H206" i="9"/>
  <c r="H250" i="9" s="1"/>
  <c r="D206" i="9"/>
  <c r="D250" i="9" s="1"/>
  <c r="E206" i="9"/>
  <c r="E250" i="9" s="1"/>
  <c r="K206" i="9"/>
  <c r="K250" i="9" s="1"/>
  <c r="G206" i="9"/>
  <c r="G250" i="9" s="1"/>
  <c r="O206" i="9"/>
  <c r="O250" i="9" s="1"/>
  <c r="L206" i="9"/>
  <c r="L250" i="9" s="1"/>
  <c r="M206" i="9"/>
  <c r="M250" i="9" s="1"/>
  <c r="Q206" i="9"/>
  <c r="Q250" i="9" s="1"/>
  <c r="I206" i="9"/>
  <c r="I250" i="9" s="1"/>
  <c r="N206" i="9"/>
  <c r="N250" i="9" s="1"/>
  <c r="C206" i="9"/>
  <c r="C250" i="9" s="1"/>
  <c r="B206" i="9"/>
  <c r="P206" i="9"/>
  <c r="P250" i="9" s="1"/>
  <c r="F206" i="9"/>
  <c r="F250" i="9" s="1"/>
  <c r="B218" i="9"/>
  <c r="E218" i="9"/>
  <c r="E262" i="9" s="1"/>
  <c r="L218" i="9"/>
  <c r="L262" i="9" s="1"/>
  <c r="O218" i="9"/>
  <c r="O262" i="9" s="1"/>
  <c r="G218" i="9"/>
  <c r="G262" i="9" s="1"/>
  <c r="C218" i="9"/>
  <c r="C262" i="9" s="1"/>
  <c r="H218" i="9"/>
  <c r="H262" i="9" s="1"/>
  <c r="K218" i="9"/>
  <c r="K262" i="9" s="1"/>
  <c r="D226" i="9"/>
  <c r="D270" i="9" s="1"/>
  <c r="I226" i="9"/>
  <c r="I270" i="9" s="1"/>
  <c r="Q226" i="9"/>
  <c r="Q270" i="9" s="1"/>
  <c r="E233" i="9"/>
  <c r="E277" i="9" s="1"/>
  <c r="N233" i="9"/>
  <c r="N277" i="9" s="1"/>
  <c r="O213" i="9"/>
  <c r="O257" i="9" s="1"/>
  <c r="F213" i="9"/>
  <c r="F257" i="9" s="1"/>
  <c r="P213" i="9"/>
  <c r="P257" i="9" s="1"/>
  <c r="E213" i="9"/>
  <c r="E257" i="9" s="1"/>
  <c r="C213" i="9"/>
  <c r="C257" i="9" s="1"/>
  <c r="D213" i="9"/>
  <c r="D257" i="9" s="1"/>
  <c r="J213" i="9"/>
  <c r="J257" i="9" s="1"/>
  <c r="N213" i="9"/>
  <c r="N257" i="9" s="1"/>
  <c r="B213" i="9"/>
  <c r="M213" i="9"/>
  <c r="M257" i="9" s="1"/>
  <c r="G213" i="9"/>
  <c r="G257" i="9" s="1"/>
  <c r="Q213" i="9"/>
  <c r="Q257" i="9" s="1"/>
  <c r="M231" i="9"/>
  <c r="M275" i="9" s="1"/>
  <c r="G231" i="9"/>
  <c r="G275" i="9" s="1"/>
  <c r="F231" i="9"/>
  <c r="F275" i="9" s="1"/>
  <c r="K231" i="9"/>
  <c r="K275" i="9" s="1"/>
  <c r="N231" i="9"/>
  <c r="N275" i="9" s="1"/>
  <c r="B231" i="9"/>
  <c r="C231" i="9"/>
  <c r="C275" i="9" s="1"/>
  <c r="E231" i="9"/>
  <c r="E275" i="9" s="1"/>
  <c r="Q231" i="9"/>
  <c r="Q275" i="9" s="1"/>
  <c r="O231" i="9"/>
  <c r="O275" i="9" s="1"/>
  <c r="D231" i="9"/>
  <c r="D275" i="9" s="1"/>
  <c r="H231" i="9"/>
  <c r="H275" i="9" s="1"/>
  <c r="J231" i="9"/>
  <c r="J275" i="9" s="1"/>
  <c r="P231" i="9"/>
  <c r="P275" i="9" s="1"/>
  <c r="L222" i="9"/>
  <c r="L266" i="9" s="1"/>
  <c r="H222" i="9"/>
  <c r="H266" i="9" s="1"/>
  <c r="C222" i="9"/>
  <c r="C266" i="9" s="1"/>
  <c r="D222" i="9"/>
  <c r="D266" i="9" s="1"/>
  <c r="I222" i="9"/>
  <c r="I266" i="9" s="1"/>
  <c r="J222" i="9"/>
  <c r="J266" i="9" s="1"/>
  <c r="M222" i="9"/>
  <c r="M266" i="9" s="1"/>
  <c r="P202" i="9"/>
  <c r="J202" i="9"/>
  <c r="D202" i="9"/>
  <c r="F202" i="9"/>
  <c r="O202" i="9"/>
  <c r="M202" i="9"/>
  <c r="G202" i="9"/>
  <c r="E202" i="9"/>
  <c r="B202" i="9"/>
  <c r="I202" i="9"/>
  <c r="Q202" i="9"/>
  <c r="L202" i="9"/>
  <c r="N202" i="9"/>
  <c r="K202" i="9"/>
  <c r="C202" i="9"/>
  <c r="H202" i="9"/>
  <c r="B225" i="9"/>
  <c r="P225" i="9"/>
  <c r="P269" i="9" s="1"/>
  <c r="I225" i="9"/>
  <c r="I269" i="9" s="1"/>
  <c r="B216" i="9" a="1"/>
  <c r="B224" i="9" a="1"/>
  <c r="Q225" i="9" l="1"/>
  <c r="Q269" i="9" s="1"/>
  <c r="P222" i="9"/>
  <c r="P266" i="9" s="1"/>
  <c r="L225" i="9"/>
  <c r="L269" i="9" s="1"/>
  <c r="E225" i="9"/>
  <c r="E269" i="9" s="1"/>
  <c r="E222" i="9"/>
  <c r="E266" i="9" s="1"/>
  <c r="I231" i="9"/>
  <c r="I275" i="9" s="1"/>
  <c r="I213" i="9"/>
  <c r="I257" i="9" s="1"/>
  <c r="H213" i="9"/>
  <c r="H257" i="9" s="1"/>
  <c r="K213" i="9"/>
  <c r="K257" i="9" s="1"/>
  <c r="D233" i="9"/>
  <c r="D277" i="9" s="1"/>
  <c r="B237" i="9"/>
  <c r="B281" i="9" s="1"/>
  <c r="H233" i="9"/>
  <c r="H277" i="9" s="1"/>
  <c r="N225" i="9"/>
  <c r="N269" i="9" s="1"/>
  <c r="G222" i="9"/>
  <c r="G266" i="9" s="1"/>
  <c r="P218" i="9"/>
  <c r="P262" i="9" s="1"/>
  <c r="J225" i="9"/>
  <c r="J269" i="9" s="1"/>
  <c r="F225" i="9"/>
  <c r="F269" i="9" s="1"/>
  <c r="N222" i="9"/>
  <c r="N266" i="9" s="1"/>
  <c r="Q218" i="9"/>
  <c r="Q262" i="9" s="1"/>
  <c r="M225" i="9"/>
  <c r="M269" i="9" s="1"/>
  <c r="B222" i="9"/>
  <c r="B266" i="9" s="1"/>
  <c r="C208" i="9"/>
  <c r="C252" i="9" s="1"/>
  <c r="O208" i="9"/>
  <c r="O252" i="9" s="1"/>
  <c r="P208" i="9"/>
  <c r="P252" i="9" s="1"/>
  <c r="J208" i="9"/>
  <c r="J252" i="9" s="1"/>
  <c r="L236" i="9"/>
  <c r="L280" i="9" s="1"/>
  <c r="O222" i="9"/>
  <c r="O266" i="9" s="1"/>
  <c r="E237" i="9"/>
  <c r="E281" i="9" s="1"/>
  <c r="L226" i="9"/>
  <c r="L270" i="9" s="1"/>
  <c r="J218" i="9"/>
  <c r="J262" i="9" s="1"/>
  <c r="K226" i="9"/>
  <c r="K270" i="9" s="1"/>
  <c r="N227" i="9"/>
  <c r="N271" i="9" s="1"/>
  <c r="F208" i="9"/>
  <c r="F252" i="9" s="1"/>
  <c r="N203" i="9"/>
  <c r="N247" i="9" s="1"/>
  <c r="L203" i="9"/>
  <c r="L247" i="9" s="1"/>
  <c r="J227" i="9"/>
  <c r="J271" i="9" s="1"/>
  <c r="K203" i="9"/>
  <c r="K247" i="9" s="1"/>
  <c r="C203" i="9"/>
  <c r="C247" i="9" s="1"/>
  <c r="H225" i="9"/>
  <c r="H269" i="9" s="1"/>
  <c r="Q222" i="9"/>
  <c r="Q266" i="9" s="1"/>
  <c r="F226" i="9"/>
  <c r="F270" i="9" s="1"/>
  <c r="I218" i="9"/>
  <c r="I262" i="9" s="1"/>
  <c r="P236" i="9"/>
  <c r="P280" i="9" s="1"/>
  <c r="O225" i="9"/>
  <c r="O269" i="9" s="1"/>
  <c r="O233" i="9"/>
  <c r="O277" i="9" s="1"/>
  <c r="O226" i="9"/>
  <c r="O270" i="9" s="1"/>
  <c r="K225" i="9"/>
  <c r="K269" i="9" s="1"/>
  <c r="F222" i="9"/>
  <c r="F266" i="9" s="1"/>
  <c r="B208" i="9"/>
  <c r="H226" i="9"/>
  <c r="H270" i="9" s="1"/>
  <c r="M218" i="9"/>
  <c r="M262" i="9" s="1"/>
  <c r="K237" i="9"/>
  <c r="K281" i="9" s="1"/>
  <c r="D237" i="9"/>
  <c r="D281" i="9" s="1"/>
  <c r="K227" i="9"/>
  <c r="K271" i="9" s="1"/>
  <c r="E227" i="9"/>
  <c r="E271" i="9" s="1"/>
  <c r="G203" i="9"/>
  <c r="G247" i="9" s="1"/>
  <c r="F200" i="9"/>
  <c r="F244" i="9" s="1"/>
  <c r="G237" i="9"/>
  <c r="G281" i="9" s="1"/>
  <c r="B200" i="9"/>
  <c r="B244" i="9" s="1"/>
  <c r="O237" i="9"/>
  <c r="O281" i="9" s="1"/>
  <c r="E236" i="9"/>
  <c r="E280" i="9" s="1"/>
  <c r="N218" i="9"/>
  <c r="N262" i="9" s="1"/>
  <c r="O200" i="9"/>
  <c r="O244" i="9" s="1"/>
  <c r="M236" i="9"/>
  <c r="M280" i="9" s="1"/>
  <c r="H200" i="9"/>
  <c r="H244" i="9" s="1"/>
  <c r="N237" i="9"/>
  <c r="N281" i="9" s="1"/>
  <c r="L233" i="9"/>
  <c r="L277" i="9" s="1"/>
  <c r="Q236" i="9"/>
  <c r="Q280" i="9" s="1"/>
  <c r="C200" i="9"/>
  <c r="C244" i="9" s="1"/>
  <c r="E208" i="9"/>
  <c r="E252" i="9" s="1"/>
  <c r="M220" i="9"/>
  <c r="M264" i="9" s="1"/>
  <c r="O236" i="9"/>
  <c r="O280" i="9" s="1"/>
  <c r="M203" i="9"/>
  <c r="M247" i="9" s="1"/>
  <c r="H203" i="9"/>
  <c r="H247" i="9" s="1"/>
  <c r="G208" i="9"/>
  <c r="G252" i="9" s="1"/>
  <c r="G236" i="9"/>
  <c r="G280" i="9" s="1"/>
  <c r="O223" i="9"/>
  <c r="O267" i="9" s="1"/>
  <c r="Q205" i="9"/>
  <c r="Q249" i="9" s="1"/>
  <c r="H205" i="9"/>
  <c r="H249" i="9" s="1"/>
  <c r="B223" i="9"/>
  <c r="B267" i="9" s="1"/>
  <c r="L208" i="9"/>
  <c r="L252" i="9" s="1"/>
  <c r="J205" i="9"/>
  <c r="J249" i="9" s="1"/>
  <c r="M227" i="9"/>
  <c r="M271" i="9" s="1"/>
  <c r="D225" i="9"/>
  <c r="D269" i="9" s="1"/>
  <c r="C237" i="9"/>
  <c r="C281" i="9" s="1"/>
  <c r="D227" i="9"/>
  <c r="D271" i="9" s="1"/>
  <c r="J233" i="9"/>
  <c r="J277" i="9" s="1"/>
  <c r="I208" i="9"/>
  <c r="I252" i="9" s="1"/>
  <c r="B226" i="9"/>
  <c r="B270" i="9" s="1"/>
  <c r="D218" i="9"/>
  <c r="D262" i="9" s="1"/>
  <c r="D215" i="9"/>
  <c r="D259" i="9" s="1"/>
  <c r="P227" i="9"/>
  <c r="P271" i="9" s="1"/>
  <c r="N200" i="9"/>
  <c r="N244" i="9" s="1"/>
  <c r="O217" i="9"/>
  <c r="O261" i="9" s="1"/>
  <c r="N217" i="9"/>
  <c r="N261" i="9" s="1"/>
  <c r="H237" i="9"/>
  <c r="H281" i="9" s="1"/>
  <c r="L205" i="9"/>
  <c r="L249" i="9" s="1"/>
  <c r="O227" i="9"/>
  <c r="O271" i="9" s="1"/>
  <c r="H215" i="9"/>
  <c r="H259" i="9" s="1"/>
  <c r="P237" i="9"/>
  <c r="P281" i="9" s="1"/>
  <c r="I205" i="9"/>
  <c r="I249" i="9" s="1"/>
  <c r="B227" i="9"/>
  <c r="P200" i="9"/>
  <c r="P244" i="9" s="1"/>
  <c r="P215" i="9"/>
  <c r="P259" i="9" s="1"/>
  <c r="H227" i="9"/>
  <c r="H271" i="9" s="1"/>
  <c r="K200" i="9"/>
  <c r="K244" i="9" s="1"/>
  <c r="C215" i="9"/>
  <c r="C259" i="9" s="1"/>
  <c r="I227" i="9"/>
  <c r="I271" i="9" s="1"/>
  <c r="D217" i="9"/>
  <c r="D261" i="9" s="1"/>
  <c r="F227" i="9"/>
  <c r="F271" i="9" s="1"/>
  <c r="Q200" i="9"/>
  <c r="Q244" i="9" s="1"/>
  <c r="K215" i="9"/>
  <c r="K259" i="9" s="1"/>
  <c r="M237" i="9"/>
  <c r="M281" i="9" s="1"/>
  <c r="I237" i="9"/>
  <c r="I281" i="9" s="1"/>
  <c r="Q237" i="9"/>
  <c r="Q281" i="9" s="1"/>
  <c r="G227" i="9"/>
  <c r="G271" i="9" s="1"/>
  <c r="D203" i="9"/>
  <c r="D247" i="9" s="1"/>
  <c r="N208" i="9"/>
  <c r="N252" i="9" s="1"/>
  <c r="D200" i="9"/>
  <c r="D244" i="9" s="1"/>
  <c r="B215" i="9"/>
  <c r="B259" i="9" s="1"/>
  <c r="J215" i="9"/>
  <c r="J259" i="9" s="1"/>
  <c r="L237" i="9"/>
  <c r="L281" i="9" s="1"/>
  <c r="C227" i="9"/>
  <c r="C271" i="9" s="1"/>
  <c r="Q203" i="9"/>
  <c r="Q247" i="9" s="1"/>
  <c r="C220" i="9"/>
  <c r="C264" i="9" s="1"/>
  <c r="G200" i="9"/>
  <c r="G244" i="9" s="1"/>
  <c r="I215" i="9"/>
  <c r="I259" i="9" s="1"/>
  <c r="E200" i="9"/>
  <c r="E244" i="9" s="1"/>
  <c r="E215" i="9"/>
  <c r="E259" i="9" s="1"/>
  <c r="G220" i="9"/>
  <c r="G264" i="9" s="1"/>
  <c r="M215" i="9"/>
  <c r="M259" i="9" s="1"/>
  <c r="J230" i="9"/>
  <c r="J274" i="9" s="1"/>
  <c r="J276" i="9" s="1"/>
  <c r="N212" i="9"/>
  <c r="N256" i="9" s="1"/>
  <c r="E230" i="9"/>
  <c r="E274" i="9" s="1"/>
  <c r="E276" i="9" s="1"/>
  <c r="H212" i="9"/>
  <c r="H256" i="9" s="1"/>
  <c r="L212" i="9"/>
  <c r="L256" i="9" s="1"/>
  <c r="G230" i="9"/>
  <c r="G274" i="9" s="1"/>
  <c r="G276" i="9" s="1"/>
  <c r="O212" i="9"/>
  <c r="O256" i="9" s="1"/>
  <c r="K230" i="9"/>
  <c r="K232" i="9" s="1"/>
  <c r="G223" i="9"/>
  <c r="G267" i="9" s="1"/>
  <c r="D230" i="9"/>
  <c r="D232" i="9" s="1"/>
  <c r="B230" i="9"/>
  <c r="B232" i="9" s="1"/>
  <c r="D214" i="9"/>
  <c r="D258" i="9" s="1"/>
  <c r="M217" i="9"/>
  <c r="M261" i="9" s="1"/>
  <c r="P210" i="9"/>
  <c r="P254" i="9" s="1"/>
  <c r="I230" i="9"/>
  <c r="I232" i="9" s="1"/>
  <c r="E205" i="9"/>
  <c r="E249" i="9" s="1"/>
  <c r="G214" i="9"/>
  <c r="G258" i="9" s="1"/>
  <c r="L217" i="9"/>
  <c r="L261" i="9" s="1"/>
  <c r="P217" i="9"/>
  <c r="P261" i="9" s="1"/>
  <c r="K205" i="9"/>
  <c r="K249" i="9" s="1"/>
  <c r="C217" i="9"/>
  <c r="C261" i="9" s="1"/>
  <c r="L215" i="9"/>
  <c r="L259" i="9" s="1"/>
  <c r="I220" i="9"/>
  <c r="I264" i="9" s="1"/>
  <c r="F205" i="9"/>
  <c r="F249" i="9" s="1"/>
  <c r="B233" i="9"/>
  <c r="K220" i="9"/>
  <c r="K264" i="9" s="1"/>
  <c r="I236" i="9"/>
  <c r="I280" i="9" s="1"/>
  <c r="C226" i="9"/>
  <c r="C270" i="9" s="1"/>
  <c r="E204" i="9"/>
  <c r="E248" i="9" s="1"/>
  <c r="E220" i="9"/>
  <c r="E264" i="9" s="1"/>
  <c r="P205" i="9"/>
  <c r="P249" i="9" s="1"/>
  <c r="I233" i="9"/>
  <c r="I277" i="9" s="1"/>
  <c r="Q233" i="9"/>
  <c r="Q277" i="9" s="1"/>
  <c r="B220" i="9"/>
  <c r="B264" i="9" s="1"/>
  <c r="B236" i="9"/>
  <c r="M226" i="9"/>
  <c r="M270" i="9" s="1"/>
  <c r="C204" i="9"/>
  <c r="C248" i="9" s="1"/>
  <c r="K204" i="9"/>
  <c r="K248" i="9" s="1"/>
  <c r="M205" i="9"/>
  <c r="M249" i="9" s="1"/>
  <c r="O205" i="9"/>
  <c r="O249" i="9" s="1"/>
  <c r="C233" i="9"/>
  <c r="C277" i="9" s="1"/>
  <c r="F233" i="9"/>
  <c r="F277" i="9" s="1"/>
  <c r="F220" i="9"/>
  <c r="F264" i="9" s="1"/>
  <c r="N236" i="9"/>
  <c r="N280" i="9" s="1"/>
  <c r="P226" i="9"/>
  <c r="P270" i="9" s="1"/>
  <c r="B204" i="9"/>
  <c r="B248" i="9" s="1"/>
  <c r="I204" i="9"/>
  <c r="I248" i="9" s="1"/>
  <c r="J228" i="9"/>
  <c r="J272" i="9" s="1"/>
  <c r="N205" i="9"/>
  <c r="N249" i="9" s="1"/>
  <c r="B205" i="9"/>
  <c r="G233" i="9"/>
  <c r="G277" i="9" s="1"/>
  <c r="M235" i="9"/>
  <c r="N220" i="9"/>
  <c r="N264" i="9" s="1"/>
  <c r="H236" i="9"/>
  <c r="H280" i="9" s="1"/>
  <c r="E226" i="9"/>
  <c r="E270" i="9" s="1"/>
  <c r="Q204" i="9"/>
  <c r="Q248" i="9" s="1"/>
  <c r="H228" i="9"/>
  <c r="H272" i="9" s="1"/>
  <c r="G235" i="9"/>
  <c r="P220" i="9"/>
  <c r="P264" i="9" s="1"/>
  <c r="Q220" i="9"/>
  <c r="Q264" i="9" s="1"/>
  <c r="H220" i="9"/>
  <c r="H264" i="9" s="1"/>
  <c r="J220" i="9"/>
  <c r="J264" i="9" s="1"/>
  <c r="J236" i="9"/>
  <c r="J280" i="9" s="1"/>
  <c r="N226" i="9"/>
  <c r="N270" i="9" s="1"/>
  <c r="E223" i="9"/>
  <c r="E267" i="9" s="1"/>
  <c r="L228" i="9"/>
  <c r="L272" i="9" s="1"/>
  <c r="G205" i="9"/>
  <c r="G249" i="9" s="1"/>
  <c r="O203" i="9"/>
  <c r="O247" i="9" s="1"/>
  <c r="C236" i="9"/>
  <c r="C280" i="9" s="1"/>
  <c r="J226" i="9"/>
  <c r="J270" i="9" s="1"/>
  <c r="N223" i="9"/>
  <c r="N267" i="9" s="1"/>
  <c r="J200" i="9"/>
  <c r="J244" i="9" s="1"/>
  <c r="M200" i="9"/>
  <c r="M244" i="9" s="1"/>
  <c r="Q215" i="9"/>
  <c r="Q259" i="9" s="1"/>
  <c r="O220" i="9"/>
  <c r="O264" i="9" s="1"/>
  <c r="H223" i="9"/>
  <c r="H267" i="9" s="1"/>
  <c r="P228" i="9"/>
  <c r="P272" i="9" s="1"/>
  <c r="C205" i="9"/>
  <c r="C249" i="9" s="1"/>
  <c r="M233" i="9"/>
  <c r="M277" i="9" s="1"/>
  <c r="C225" i="9"/>
  <c r="C269" i="9" s="1"/>
  <c r="J237" i="9"/>
  <c r="J281" i="9" s="1"/>
  <c r="L227" i="9"/>
  <c r="L271" i="9" s="1"/>
  <c r="P233" i="9"/>
  <c r="P277" i="9" s="1"/>
  <c r="D208" i="9"/>
  <c r="D252" i="9" s="1"/>
  <c r="D220" i="9"/>
  <c r="D264" i="9" s="1"/>
  <c r="K236" i="9"/>
  <c r="K280" i="9" s="1"/>
  <c r="K228" i="9"/>
  <c r="K272" i="9" s="1"/>
  <c r="H230" i="9"/>
  <c r="H274" i="9" s="1"/>
  <c r="H276" i="9" s="1"/>
  <c r="J203" i="9"/>
  <c r="J247" i="9" s="1"/>
  <c r="K208" i="9"/>
  <c r="K252" i="9" s="1"/>
  <c r="F236" i="9"/>
  <c r="F280" i="9" s="1"/>
  <c r="F223" i="9"/>
  <c r="F267" i="9" s="1"/>
  <c r="L200" i="9"/>
  <c r="L244" i="9" s="1"/>
  <c r="F215" i="9"/>
  <c r="F259" i="9" s="1"/>
  <c r="E235" i="9"/>
  <c r="L219" i="9"/>
  <c r="L263" i="9" s="1"/>
  <c r="D228" i="9"/>
  <c r="D272" i="9" s="1"/>
  <c r="M212" i="9"/>
  <c r="M256" i="9" s="1"/>
  <c r="N230" i="9"/>
  <c r="N274" i="9" s="1"/>
  <c r="N276" i="9" s="1"/>
  <c r="F219" i="9"/>
  <c r="F263" i="9" s="1"/>
  <c r="B235" i="9"/>
  <c r="B279" i="9" s="1"/>
  <c r="F214" i="9"/>
  <c r="F258" i="9" s="1"/>
  <c r="G204" i="9"/>
  <c r="G248" i="9" s="1"/>
  <c r="L223" i="9"/>
  <c r="L267" i="9" s="1"/>
  <c r="J217" i="9"/>
  <c r="J261" i="9" s="1"/>
  <c r="I217" i="9"/>
  <c r="I261" i="9" s="1"/>
  <c r="N210" i="9"/>
  <c r="N254" i="9" s="1"/>
  <c r="Q235" i="9"/>
  <c r="G210" i="9"/>
  <c r="G254" i="9" s="1"/>
  <c r="I214" i="9"/>
  <c r="I258" i="9" s="1"/>
  <c r="E212" i="9"/>
  <c r="E256" i="9" s="1"/>
  <c r="P212" i="9"/>
  <c r="P256" i="9" s="1"/>
  <c r="G219" i="9"/>
  <c r="G263" i="9" s="1"/>
  <c r="J235" i="9"/>
  <c r="J279" i="9" s="1"/>
  <c r="B214" i="9"/>
  <c r="B258" i="9" s="1"/>
  <c r="J223" i="9"/>
  <c r="J267" i="9" s="1"/>
  <c r="O228" i="9"/>
  <c r="O272" i="9" s="1"/>
  <c r="E228" i="9"/>
  <c r="E272" i="9" s="1"/>
  <c r="K212" i="9"/>
  <c r="K256" i="9" s="1"/>
  <c r="P230" i="9"/>
  <c r="P274" i="9" s="1"/>
  <c r="P276" i="9" s="1"/>
  <c r="I203" i="9"/>
  <c r="I247" i="9" s="1"/>
  <c r="D219" i="9"/>
  <c r="D263" i="9" s="1"/>
  <c r="I235" i="9"/>
  <c r="H214" i="9"/>
  <c r="H258" i="9" s="1"/>
  <c r="N204" i="9"/>
  <c r="N248" i="9" s="1"/>
  <c r="I223" i="9"/>
  <c r="I267" i="9" s="1"/>
  <c r="G217" i="9"/>
  <c r="G261" i="9" s="1"/>
  <c r="Q210" i="9"/>
  <c r="Q254" i="9" s="1"/>
  <c r="B219" i="9"/>
  <c r="B263" i="9" s="1"/>
  <c r="D235" i="9"/>
  <c r="C228" i="9"/>
  <c r="C272" i="9" s="1"/>
  <c r="H204" i="9"/>
  <c r="H248" i="9" s="1"/>
  <c r="C223" i="9"/>
  <c r="C267" i="9" s="1"/>
  <c r="E217" i="9"/>
  <c r="E261" i="9" s="1"/>
  <c r="M210" i="9"/>
  <c r="M254" i="9" s="1"/>
  <c r="E210" i="9"/>
  <c r="E254" i="9" s="1"/>
  <c r="N235" i="9"/>
  <c r="B210" i="9"/>
  <c r="B254" i="9" s="1"/>
  <c r="F204" i="9"/>
  <c r="F248" i="9" s="1"/>
  <c r="C230" i="9"/>
  <c r="C232" i="9" s="1"/>
  <c r="L235" i="9"/>
  <c r="L279" i="9" s="1"/>
  <c r="P214" i="9"/>
  <c r="P258" i="9" s="1"/>
  <c r="I228" i="9"/>
  <c r="I272" i="9" s="1"/>
  <c r="D212" i="9"/>
  <c r="D256" i="9" s="1"/>
  <c r="G212" i="9"/>
  <c r="G256" i="9" s="1"/>
  <c r="F230" i="9"/>
  <c r="E203" i="9"/>
  <c r="E247" i="9" s="1"/>
  <c r="F203" i="9"/>
  <c r="F247" i="9" s="1"/>
  <c r="E219" i="9"/>
  <c r="E263" i="9" s="1"/>
  <c r="O235" i="9"/>
  <c r="H208" i="9"/>
  <c r="H252" i="9" s="1"/>
  <c r="N214" i="9"/>
  <c r="N258" i="9" s="1"/>
  <c r="L204" i="9"/>
  <c r="L248" i="9" s="1"/>
  <c r="K223" i="9"/>
  <c r="K267" i="9" s="1"/>
  <c r="H217" i="9"/>
  <c r="H261" i="9" s="1"/>
  <c r="L210" i="9"/>
  <c r="L254" i="9" s="1"/>
  <c r="O219" i="9"/>
  <c r="O263" i="9" s="1"/>
  <c r="L214" i="9"/>
  <c r="L258" i="9" s="1"/>
  <c r="D204" i="9"/>
  <c r="D248" i="9" s="1"/>
  <c r="B212" i="9"/>
  <c r="B256" i="9" s="1"/>
  <c r="Q230" i="9"/>
  <c r="Q232" i="9" s="1"/>
  <c r="C219" i="9"/>
  <c r="C263" i="9" s="1"/>
  <c r="H235" i="9"/>
  <c r="H279" i="9" s="1"/>
  <c r="J214" i="9"/>
  <c r="J258" i="9" s="1"/>
  <c r="M214" i="9"/>
  <c r="M258" i="9" s="1"/>
  <c r="J204" i="9"/>
  <c r="J248" i="9" s="1"/>
  <c r="D223" i="9"/>
  <c r="D267" i="9" s="1"/>
  <c r="F217" i="9"/>
  <c r="F261" i="9" s="1"/>
  <c r="K210" i="9"/>
  <c r="K254" i="9" s="1"/>
  <c r="O210" i="9"/>
  <c r="O254" i="9" s="1"/>
  <c r="H219" i="9"/>
  <c r="H263" i="9" s="1"/>
  <c r="M219" i="9"/>
  <c r="M263" i="9" s="1"/>
  <c r="O214" i="9"/>
  <c r="O258" i="9" s="1"/>
  <c r="H210" i="9"/>
  <c r="H254" i="9" s="1"/>
  <c r="Q212" i="9"/>
  <c r="Q256" i="9" s="1"/>
  <c r="Q219" i="9"/>
  <c r="Q263" i="9" s="1"/>
  <c r="G228" i="9"/>
  <c r="G272" i="9" s="1"/>
  <c r="C212" i="9"/>
  <c r="C256" i="9" s="1"/>
  <c r="Q228" i="9"/>
  <c r="Q272" i="9" s="1"/>
  <c r="J212" i="9"/>
  <c r="J256" i="9" s="1"/>
  <c r="M230" i="9"/>
  <c r="M274" i="9" s="1"/>
  <c r="M276" i="9" s="1"/>
  <c r="P203" i="9"/>
  <c r="P247" i="9" s="1"/>
  <c r="N219" i="9"/>
  <c r="N263" i="9" s="1"/>
  <c r="K235" i="9"/>
  <c r="K279" i="9" s="1"/>
  <c r="Q208" i="9"/>
  <c r="Q252" i="9" s="1"/>
  <c r="Q214" i="9"/>
  <c r="Q258" i="9" s="1"/>
  <c r="C214" i="9"/>
  <c r="C258" i="9" s="1"/>
  <c r="M204" i="9"/>
  <c r="M248" i="9" s="1"/>
  <c r="M223" i="9"/>
  <c r="M267" i="9" s="1"/>
  <c r="K217" i="9"/>
  <c r="K261" i="9" s="1"/>
  <c r="D210" i="9"/>
  <c r="D254" i="9" s="1"/>
  <c r="F210" i="9"/>
  <c r="F254" i="9" s="1"/>
  <c r="N215" i="9"/>
  <c r="N259" i="9" s="1"/>
  <c r="C235" i="9"/>
  <c r="C279" i="9" s="1"/>
  <c r="O230" i="9"/>
  <c r="O232" i="9" s="1"/>
  <c r="P219" i="9"/>
  <c r="P263" i="9" s="1"/>
  <c r="J219" i="9"/>
  <c r="J263" i="9" s="1"/>
  <c r="P235" i="9"/>
  <c r="K214" i="9"/>
  <c r="K258" i="9" s="1"/>
  <c r="P204" i="9"/>
  <c r="P248" i="9" s="1"/>
  <c r="Q223" i="9"/>
  <c r="Q267" i="9" s="1"/>
  <c r="B217" i="9"/>
  <c r="B261" i="9" s="1"/>
  <c r="C210" i="9"/>
  <c r="C254" i="9" s="1"/>
  <c r="I210" i="9"/>
  <c r="I254" i="9" s="1"/>
  <c r="F228" i="9"/>
  <c r="F272" i="9" s="1"/>
  <c r="M228" i="9"/>
  <c r="M272" i="9" s="1"/>
  <c r="N228" i="9"/>
  <c r="N272" i="9" s="1"/>
  <c r="F212" i="9"/>
  <c r="F256" i="9" s="1"/>
  <c r="I219" i="9"/>
  <c r="I263" i="9" s="1"/>
  <c r="O215" i="9"/>
  <c r="O259" i="9" s="1"/>
  <c r="F246" i="9"/>
  <c r="B252" i="9"/>
  <c r="Q246" i="9"/>
  <c r="I244" i="9"/>
  <c r="I246" i="9"/>
  <c r="D246" i="9"/>
  <c r="B269" i="9"/>
  <c r="H246" i="9"/>
  <c r="P246" i="9"/>
  <c r="R202" i="9"/>
  <c r="B246" i="9"/>
  <c r="B262" i="9"/>
  <c r="J246" i="9"/>
  <c r="G246" i="9"/>
  <c r="I256" i="9"/>
  <c r="L232" i="9"/>
  <c r="L274" i="9"/>
  <c r="L276" i="9" s="1"/>
  <c r="R231" i="9"/>
  <c r="B275" i="9"/>
  <c r="R275" i="9" s="1"/>
  <c r="S275" i="9" s="1"/>
  <c r="B247" i="9"/>
  <c r="F279" i="9"/>
  <c r="C246" i="9"/>
  <c r="B272" i="9"/>
  <c r="R206" i="9"/>
  <c r="B250" i="9"/>
  <c r="R250" i="9" s="1"/>
  <c r="S250" i="9" s="1"/>
  <c r="K246" i="9"/>
  <c r="N246" i="9"/>
  <c r="L246" i="9"/>
  <c r="E246" i="9"/>
  <c r="L224" i="9"/>
  <c r="L268" i="9" s="1"/>
  <c r="B224" i="9"/>
  <c r="M224" i="9"/>
  <c r="M268" i="9" s="1"/>
  <c r="J224" i="9"/>
  <c r="J268" i="9" s="1"/>
  <c r="F224" i="9"/>
  <c r="F268" i="9" s="1"/>
  <c r="C224" i="9"/>
  <c r="C268" i="9" s="1"/>
  <c r="P224" i="9"/>
  <c r="P268" i="9" s="1"/>
  <c r="O224" i="9"/>
  <c r="O268" i="9" s="1"/>
  <c r="Q224" i="9"/>
  <c r="Q268" i="9" s="1"/>
  <c r="E224" i="9"/>
  <c r="E268" i="9" s="1"/>
  <c r="N224" i="9"/>
  <c r="N268" i="9" s="1"/>
  <c r="D224" i="9"/>
  <c r="D268" i="9" s="1"/>
  <c r="I224" i="9"/>
  <c r="I268" i="9" s="1"/>
  <c r="H224" i="9"/>
  <c r="H268" i="9" s="1"/>
  <c r="K224" i="9"/>
  <c r="K268" i="9" s="1"/>
  <c r="G224" i="9"/>
  <c r="G268" i="9" s="1"/>
  <c r="M246" i="9"/>
  <c r="K216" i="9"/>
  <c r="K260" i="9" s="1"/>
  <c r="P216" i="9"/>
  <c r="P260" i="9" s="1"/>
  <c r="F216" i="9"/>
  <c r="F260" i="9" s="1"/>
  <c r="C216" i="9"/>
  <c r="C260" i="9" s="1"/>
  <c r="O216" i="9"/>
  <c r="O260" i="9" s="1"/>
  <c r="D216" i="9"/>
  <c r="D260" i="9" s="1"/>
  <c r="E216" i="9"/>
  <c r="E260" i="9" s="1"/>
  <c r="N216" i="9"/>
  <c r="N260" i="9" s="1"/>
  <c r="H216" i="9"/>
  <c r="H260" i="9" s="1"/>
  <c r="Q216" i="9"/>
  <c r="Q260" i="9" s="1"/>
  <c r="J216" i="9"/>
  <c r="J260" i="9" s="1"/>
  <c r="I216" i="9"/>
  <c r="I260" i="9" s="1"/>
  <c r="L216" i="9"/>
  <c r="L260" i="9" s="1"/>
  <c r="B216" i="9"/>
  <c r="M216" i="9"/>
  <c r="M260" i="9" s="1"/>
  <c r="G216" i="9"/>
  <c r="G260" i="9" s="1"/>
  <c r="O246" i="9"/>
  <c r="R213" i="9"/>
  <c r="B257" i="9"/>
  <c r="R257" i="9" l="1"/>
  <c r="S257" i="9" s="1"/>
  <c r="D238" i="9"/>
  <c r="K282" i="9"/>
  <c r="G238" i="9"/>
  <c r="R266" i="9"/>
  <c r="S266" i="9" s="1"/>
  <c r="R222" i="9"/>
  <c r="G279" i="9"/>
  <c r="G282" i="9" s="1"/>
  <c r="C282" i="9"/>
  <c r="K238" i="9"/>
  <c r="E238" i="9"/>
  <c r="E232" i="9"/>
  <c r="O238" i="9"/>
  <c r="M238" i="9"/>
  <c r="L282" i="9"/>
  <c r="G232" i="9"/>
  <c r="R281" i="9"/>
  <c r="S281" i="9" s="1"/>
  <c r="N238" i="9"/>
  <c r="I238" i="9"/>
  <c r="R227" i="9"/>
  <c r="R262" i="9"/>
  <c r="S262" i="9" s="1"/>
  <c r="R218" i="9"/>
  <c r="P238" i="9"/>
  <c r="R237" i="9"/>
  <c r="I274" i="9"/>
  <c r="I276" i="9" s="1"/>
  <c r="N232" i="9"/>
  <c r="J232" i="9"/>
  <c r="L238" i="9"/>
  <c r="B271" i="9"/>
  <c r="R271" i="9" s="1"/>
  <c r="S271" i="9" s="1"/>
  <c r="Q238" i="9"/>
  <c r="P279" i="9"/>
  <c r="P282" i="9" s="1"/>
  <c r="O274" i="9"/>
  <c r="O276" i="9" s="1"/>
  <c r="Q274" i="9"/>
  <c r="Q276" i="9" s="1"/>
  <c r="D274" i="9"/>
  <c r="D276" i="9" s="1"/>
  <c r="K207" i="9"/>
  <c r="K209" i="9" s="1"/>
  <c r="K251" i="9"/>
  <c r="K253" i="9" s="1"/>
  <c r="H232" i="9"/>
  <c r="R200" i="9"/>
  <c r="M279" i="9"/>
  <c r="M282" i="9" s="1"/>
  <c r="F238" i="9"/>
  <c r="K274" i="9"/>
  <c r="K276" i="9" s="1"/>
  <c r="E251" i="9"/>
  <c r="E253" i="9" s="1"/>
  <c r="R233" i="9"/>
  <c r="N279" i="9"/>
  <c r="N282" i="9" s="1"/>
  <c r="M232" i="9"/>
  <c r="O251" i="9"/>
  <c r="O253" i="9" s="1"/>
  <c r="E279" i="9"/>
  <c r="E282" i="9" s="1"/>
  <c r="C274" i="9"/>
  <c r="C276" i="9" s="1"/>
  <c r="J251" i="9"/>
  <c r="J253" i="9" s="1"/>
  <c r="C238" i="9"/>
  <c r="R236" i="9"/>
  <c r="R205" i="9"/>
  <c r="J207" i="9"/>
  <c r="J209" i="9" s="1"/>
  <c r="R264" i="9"/>
  <c r="S264" i="9" s="1"/>
  <c r="O207" i="9"/>
  <c r="O209" i="9" s="1"/>
  <c r="L251" i="9"/>
  <c r="L253" i="9" s="1"/>
  <c r="B277" i="9"/>
  <c r="R277" i="9" s="1"/>
  <c r="S277" i="9" s="1"/>
  <c r="R208" i="9"/>
  <c r="B274" i="9"/>
  <c r="B276" i="9" s="1"/>
  <c r="Q251" i="9"/>
  <c r="Q253" i="9" s="1"/>
  <c r="I279" i="9"/>
  <c r="I282" i="9" s="1"/>
  <c r="R204" i="9"/>
  <c r="P251" i="9"/>
  <c r="P253" i="9" s="1"/>
  <c r="L207" i="9"/>
  <c r="L209" i="9" s="1"/>
  <c r="Q207" i="9"/>
  <c r="Q209" i="9" s="1"/>
  <c r="R269" i="9"/>
  <c r="S269" i="9" s="1"/>
  <c r="R225" i="9"/>
  <c r="E207" i="9"/>
  <c r="E209" i="9" s="1"/>
  <c r="R259" i="9"/>
  <c r="S259" i="9" s="1"/>
  <c r="R270" i="9"/>
  <c r="S270" i="9" s="1"/>
  <c r="J282" i="9"/>
  <c r="C251" i="9"/>
  <c r="C253" i="9" s="1"/>
  <c r="R220" i="9"/>
  <c r="R215" i="9"/>
  <c r="B207" i="9"/>
  <c r="B209" i="9" s="1"/>
  <c r="R261" i="9"/>
  <c r="S261" i="9" s="1"/>
  <c r="C207" i="9"/>
  <c r="C209" i="9" s="1"/>
  <c r="H207" i="9"/>
  <c r="H209" i="9" s="1"/>
  <c r="B238" i="9"/>
  <c r="N251" i="9"/>
  <c r="N253" i="9" s="1"/>
  <c r="R230" i="9"/>
  <c r="R232" i="9" s="1"/>
  <c r="N207" i="9"/>
  <c r="D251" i="9"/>
  <c r="D253" i="9" s="1"/>
  <c r="B280" i="9"/>
  <c r="R280" i="9" s="1"/>
  <c r="S280" i="9" s="1"/>
  <c r="R223" i="9"/>
  <c r="J238" i="9"/>
  <c r="G251" i="9"/>
  <c r="G253" i="9" s="1"/>
  <c r="D207" i="9"/>
  <c r="D209" i="9" s="1"/>
  <c r="K265" i="9"/>
  <c r="R248" i="9"/>
  <c r="S248" i="9" s="1"/>
  <c r="G207" i="9"/>
  <c r="G209" i="9" s="1"/>
  <c r="C265" i="9"/>
  <c r="R226" i="9"/>
  <c r="P207" i="9"/>
  <c r="P209" i="9" s="1"/>
  <c r="B249" i="9"/>
  <c r="R249" i="9" s="1"/>
  <c r="S249" i="9" s="1"/>
  <c r="R272" i="9"/>
  <c r="S272" i="9" s="1"/>
  <c r="F282" i="9"/>
  <c r="H238" i="9"/>
  <c r="F274" i="9"/>
  <c r="F276" i="9" s="1"/>
  <c r="H282" i="9"/>
  <c r="Q279" i="9"/>
  <c r="Q282" i="9" s="1"/>
  <c r="R212" i="9"/>
  <c r="I207" i="9"/>
  <c r="I209" i="9" s="1"/>
  <c r="O279" i="9"/>
  <c r="O282" i="9" s="1"/>
  <c r="M265" i="9"/>
  <c r="P232" i="9"/>
  <c r="I265" i="9"/>
  <c r="H251" i="9"/>
  <c r="H253" i="9" s="1"/>
  <c r="M221" i="9"/>
  <c r="P221" i="9"/>
  <c r="I251" i="9"/>
  <c r="I253" i="9" s="1"/>
  <c r="D279" i="9"/>
  <c r="D282" i="9" s="1"/>
  <c r="F232" i="9"/>
  <c r="R235" i="9"/>
  <c r="F251" i="9"/>
  <c r="R263" i="9"/>
  <c r="S263" i="9" s="1"/>
  <c r="F207" i="9"/>
  <c r="F209" i="9" s="1"/>
  <c r="P265" i="9"/>
  <c r="M251" i="9"/>
  <c r="M253" i="9" s="1"/>
  <c r="R219" i="9"/>
  <c r="R217" i="9"/>
  <c r="M207" i="9"/>
  <c r="M209" i="9" s="1"/>
  <c r="R258" i="9"/>
  <c r="S258" i="9" s="1"/>
  <c r="R247" i="9"/>
  <c r="S247" i="9" s="1"/>
  <c r="R254" i="9"/>
  <c r="S254" i="9" s="1"/>
  <c r="R228" i="9"/>
  <c r="R214" i="9"/>
  <c r="R203" i="9"/>
  <c r="R210" i="9"/>
  <c r="R267" i="9"/>
  <c r="S267" i="9" s="1"/>
  <c r="R252" i="9"/>
  <c r="S252" i="9" s="1"/>
  <c r="R216" i="9"/>
  <c r="B260" i="9"/>
  <c r="R260" i="9" s="1"/>
  <c r="S260" i="9" s="1"/>
  <c r="L265" i="9"/>
  <c r="N221" i="9"/>
  <c r="Q265" i="9"/>
  <c r="G265" i="9"/>
  <c r="E265" i="9"/>
  <c r="Q221" i="9"/>
  <c r="C221" i="9"/>
  <c r="O265" i="9"/>
  <c r="G221" i="9"/>
  <c r="E221" i="9"/>
  <c r="O221" i="9"/>
  <c r="R244" i="9"/>
  <c r="D265" i="9"/>
  <c r="K221" i="9"/>
  <c r="L221" i="9"/>
  <c r="B221" i="9"/>
  <c r="D221" i="9"/>
  <c r="J265" i="9"/>
  <c r="N209" i="9"/>
  <c r="I221" i="9"/>
  <c r="N265" i="9"/>
  <c r="H265" i="9"/>
  <c r="H221" i="9"/>
  <c r="R256" i="9"/>
  <c r="R224" i="9"/>
  <c r="B268" i="9"/>
  <c r="R268" i="9" s="1"/>
  <c r="S268" i="9" s="1"/>
  <c r="F265" i="9"/>
  <c r="J221" i="9"/>
  <c r="F221" i="9"/>
  <c r="R246" i="9"/>
  <c r="G283" i="9" l="1"/>
  <c r="G55" i="7" s="1"/>
  <c r="O239" i="9"/>
  <c r="B251" i="9"/>
  <c r="B253" i="9" s="1"/>
  <c r="Q239" i="9"/>
  <c r="M283" i="9"/>
  <c r="M55" i="7" s="1"/>
  <c r="R207" i="9"/>
  <c r="R209" i="9" s="1"/>
  <c r="Q283" i="9"/>
  <c r="Q55" i="7" s="1"/>
  <c r="L239" i="9"/>
  <c r="C283" i="9"/>
  <c r="C55" i="7" s="1"/>
  <c r="N239" i="9"/>
  <c r="R274" i="9"/>
  <c r="S274" i="9" s="1"/>
  <c r="G239" i="9"/>
  <c r="B282" i="9"/>
  <c r="K283" i="9"/>
  <c r="K55" i="7" s="1"/>
  <c r="H239" i="9"/>
  <c r="R238" i="9"/>
  <c r="H283" i="9"/>
  <c r="H55" i="7" s="1"/>
  <c r="I239" i="9"/>
  <c r="F253" i="9"/>
  <c r="F283" i="9" s="1"/>
  <c r="F55" i="7" s="1"/>
  <c r="R221" i="9"/>
  <c r="J239" i="9"/>
  <c r="O283" i="9"/>
  <c r="O55" i="7" s="1"/>
  <c r="D239" i="9"/>
  <c r="B239" i="9"/>
  <c r="C239" i="9"/>
  <c r="L283" i="9"/>
  <c r="L55" i="7" s="1"/>
  <c r="E239" i="9"/>
  <c r="F239" i="9"/>
  <c r="M239" i="9"/>
  <c r="R279" i="9"/>
  <c r="R282" i="9" s="1"/>
  <c r="S282" i="9" s="1"/>
  <c r="P239" i="9"/>
  <c r="I283" i="9"/>
  <c r="I55" i="7" s="1"/>
  <c r="N283" i="9"/>
  <c r="N55" i="7" s="1"/>
  <c r="E283" i="9"/>
  <c r="E55" i="7" s="1"/>
  <c r="D283" i="9"/>
  <c r="D55" i="7" s="1"/>
  <c r="D54" i="7" s="1"/>
  <c r="J283" i="9"/>
  <c r="J55" i="7" s="1"/>
  <c r="P283" i="9"/>
  <c r="P55" i="7" s="1"/>
  <c r="K239" i="9"/>
  <c r="R265" i="9"/>
  <c r="S265" i="9" s="1"/>
  <c r="S256" i="9"/>
  <c r="S246" i="9"/>
  <c r="R251" i="9"/>
  <c r="S251" i="9" s="1"/>
  <c r="S244" i="9"/>
  <c r="B265" i="9"/>
  <c r="R276" i="9" l="1"/>
  <c r="S276" i="9" s="1"/>
  <c r="R239" i="9"/>
  <c r="B288" i="9" s="1"/>
  <c r="C288" i="9" s="1"/>
  <c r="B283" i="9"/>
  <c r="B55" i="7" s="1"/>
  <c r="S279" i="9"/>
  <c r="R253" i="9"/>
  <c r="S253" i="9" s="1"/>
  <c r="B290" i="9" l="1"/>
  <c r="C290" i="9" s="1"/>
  <c r="R283" i="9"/>
  <c r="S283" i="9" s="1"/>
  <c r="R55" i="7"/>
  <c r="B54" i="7"/>
  <c r="R54" i="7" l="1"/>
  <c r="B27" i="6" s="1"/>
  <c r="O28" i="6"/>
  <c r="O123" i="15" s="1"/>
  <c r="J28" i="6"/>
  <c r="J123" i="15" s="1"/>
  <c r="D28" i="6"/>
  <c r="D123" i="15" s="1"/>
  <c r="L28" i="6"/>
  <c r="L123" i="15" s="1"/>
  <c r="F28" i="6"/>
  <c r="F123" i="15" s="1"/>
  <c r="N28" i="6"/>
  <c r="N123" i="15" s="1"/>
  <c r="Q28" i="6"/>
  <c r="Q123" i="15" s="1"/>
  <c r="H28" i="6"/>
  <c r="H123" i="15" s="1"/>
  <c r="P28" i="6"/>
  <c r="P123" i="15" s="1"/>
  <c r="G28" i="6"/>
  <c r="G123" i="15" s="1"/>
  <c r="E28" i="6"/>
  <c r="E123" i="15" s="1"/>
  <c r="C28" i="6"/>
  <c r="C123" i="15" s="1"/>
  <c r="K28" i="6"/>
  <c r="K123" i="15" s="1"/>
  <c r="I28" i="6"/>
  <c r="I123" i="15" s="1"/>
  <c r="M28" i="6"/>
  <c r="M123" i="15" s="1"/>
  <c r="B28" i="6"/>
  <c r="R28" i="6" l="1"/>
  <c r="B123" i="15"/>
  <c r="R123" i="15" s="1"/>
  <c r="B121" i="15"/>
  <c r="K27" i="6"/>
  <c r="K121" i="15" s="1"/>
  <c r="G27" i="6"/>
  <c r="G121" i="15" s="1"/>
  <c r="J27" i="6"/>
  <c r="J121" i="15" s="1"/>
  <c r="C27" i="6"/>
  <c r="C121" i="15" s="1"/>
  <c r="Q27" i="6"/>
  <c r="Q121" i="15" s="1"/>
  <c r="I27" i="6"/>
  <c r="I121" i="15" s="1"/>
  <c r="H27" i="6"/>
  <c r="H121" i="15" s="1"/>
  <c r="F27" i="6"/>
  <c r="F121" i="15" s="1"/>
  <c r="L27" i="6"/>
  <c r="L121" i="15" s="1"/>
  <c r="N27" i="6"/>
  <c r="N121" i="15" s="1"/>
  <c r="O27" i="6"/>
  <c r="O121" i="15" s="1"/>
  <c r="E27" i="6"/>
  <c r="E121" i="15" s="1"/>
  <c r="P27" i="6"/>
  <c r="P121" i="15" s="1"/>
  <c r="M27" i="6"/>
  <c r="M121" i="15" s="1"/>
  <c r="D27" i="6"/>
  <c r="D121" i="15" s="1"/>
  <c r="R27" i="6" l="1"/>
  <c r="R121" i="15"/>
  <c r="B166" i="15" a="1"/>
  <c r="B171" i="15" a="1"/>
  <c r="B187" i="15" a="1"/>
  <c r="B179" i="15" a="1"/>
  <c r="B161" i="15" a="1"/>
  <c r="B167" i="15" a="1"/>
  <c r="B181" i="15" a="1"/>
  <c r="B188" i="15" a="1"/>
  <c r="B162" i="15" a="1"/>
  <c r="B173" i="15" a="1"/>
  <c r="B177" i="15" a="1"/>
  <c r="B180" i="15" a="1"/>
  <c r="B185" i="15" a="1"/>
  <c r="B178" i="15" a="1"/>
  <c r="B168" i="15" a="1"/>
  <c r="B164" i="15" a="1"/>
  <c r="B184" i="15" a="1"/>
  <c r="B172" i="15" a="1"/>
  <c r="B165" i="15" a="1"/>
  <c r="E173" i="15" l="1"/>
  <c r="E206" i="15" s="1"/>
  <c r="E19" i="24" s="1"/>
  <c r="Q173" i="15"/>
  <c r="Q206" i="15" s="1"/>
  <c r="Q19" i="24" s="1"/>
  <c r="M173" i="15"/>
  <c r="M206" i="15" s="1"/>
  <c r="M19" i="24" s="1"/>
  <c r="D173" i="15"/>
  <c r="D206" i="15" s="1"/>
  <c r="D19" i="24" s="1"/>
  <c r="J173" i="15"/>
  <c r="J206" i="15" s="1"/>
  <c r="J19" i="24" s="1"/>
  <c r="G173" i="15"/>
  <c r="G206" i="15" s="1"/>
  <c r="G19" i="24" s="1"/>
  <c r="F173" i="15"/>
  <c r="F206" i="15" s="1"/>
  <c r="F19" i="24" s="1"/>
  <c r="B173" i="15"/>
  <c r="P173" i="15"/>
  <c r="P206" i="15" s="1"/>
  <c r="P19" i="24" s="1"/>
  <c r="H173" i="15"/>
  <c r="H206" i="15" s="1"/>
  <c r="H19" i="24" s="1"/>
  <c r="O173" i="15"/>
  <c r="O206" i="15" s="1"/>
  <c r="O19" i="24" s="1"/>
  <c r="C173" i="15"/>
  <c r="C206" i="15" s="1"/>
  <c r="C19" i="24" s="1"/>
  <c r="N173" i="15"/>
  <c r="N206" i="15" s="1"/>
  <c r="N19" i="24" s="1"/>
  <c r="L173" i="15"/>
  <c r="L206" i="15" s="1"/>
  <c r="L19" i="24" s="1"/>
  <c r="I173" i="15"/>
  <c r="I206" i="15" s="1"/>
  <c r="I19" i="24" s="1"/>
  <c r="K173" i="15"/>
  <c r="K206" i="15" s="1"/>
  <c r="K19" i="24" s="1"/>
  <c r="E167" i="15"/>
  <c r="E200" i="15" s="1"/>
  <c r="E13" i="24" s="1"/>
  <c r="B167" i="15"/>
  <c r="Q167" i="15"/>
  <c r="Q200" i="15" s="1"/>
  <c r="Q13" i="24" s="1"/>
  <c r="G167" i="15"/>
  <c r="G200" i="15" s="1"/>
  <c r="G13" i="24" s="1"/>
  <c r="K167" i="15"/>
  <c r="K200" i="15" s="1"/>
  <c r="K13" i="24" s="1"/>
  <c r="I167" i="15"/>
  <c r="I200" i="15" s="1"/>
  <c r="I13" i="24" s="1"/>
  <c r="F167" i="15"/>
  <c r="F200" i="15" s="1"/>
  <c r="F13" i="24" s="1"/>
  <c r="C167" i="15"/>
  <c r="C200" i="15" s="1"/>
  <c r="C13" i="24" s="1"/>
  <c r="P167" i="15"/>
  <c r="P200" i="15" s="1"/>
  <c r="P13" i="24" s="1"/>
  <c r="J167" i="15"/>
  <c r="J200" i="15" s="1"/>
  <c r="J13" i="24" s="1"/>
  <c r="L167" i="15"/>
  <c r="L200" i="15" s="1"/>
  <c r="L13" i="24" s="1"/>
  <c r="N167" i="15"/>
  <c r="N200" i="15" s="1"/>
  <c r="N13" i="24" s="1"/>
  <c r="O167" i="15"/>
  <c r="O200" i="15" s="1"/>
  <c r="O13" i="24" s="1"/>
  <c r="M167" i="15"/>
  <c r="M200" i="15" s="1"/>
  <c r="M13" i="24" s="1"/>
  <c r="D167" i="15"/>
  <c r="D200" i="15" s="1"/>
  <c r="D13" i="24" s="1"/>
  <c r="H167" i="15"/>
  <c r="H200" i="15" s="1"/>
  <c r="H13" i="24" s="1"/>
  <c r="F161" i="15"/>
  <c r="D161" i="15"/>
  <c r="I161" i="15"/>
  <c r="G161" i="15"/>
  <c r="B161" i="15"/>
  <c r="C161" i="15"/>
  <c r="E161" i="15"/>
  <c r="N161" i="15"/>
  <c r="Q161" i="15"/>
  <c r="L161" i="15"/>
  <c r="M161" i="15"/>
  <c r="H161" i="15"/>
  <c r="J161" i="15"/>
  <c r="K161" i="15"/>
  <c r="P161" i="15"/>
  <c r="O161" i="15"/>
  <c r="E172" i="15"/>
  <c r="E205" i="15" s="1"/>
  <c r="E18" i="24" s="1"/>
  <c r="Q172" i="15"/>
  <c r="Q205" i="15" s="1"/>
  <c r="Q18" i="24" s="1"/>
  <c r="B172" i="15"/>
  <c r="M172" i="15"/>
  <c r="M205" i="15" s="1"/>
  <c r="M18" i="24" s="1"/>
  <c r="F172" i="15"/>
  <c r="F205" i="15" s="1"/>
  <c r="F18" i="24" s="1"/>
  <c r="K172" i="15"/>
  <c r="K205" i="15" s="1"/>
  <c r="K18" i="24" s="1"/>
  <c r="P172" i="15"/>
  <c r="P205" i="15" s="1"/>
  <c r="P18" i="24" s="1"/>
  <c r="L172" i="15"/>
  <c r="L205" i="15" s="1"/>
  <c r="L18" i="24" s="1"/>
  <c r="C172" i="15"/>
  <c r="C205" i="15" s="1"/>
  <c r="C18" i="24" s="1"/>
  <c r="D172" i="15"/>
  <c r="D205" i="15" s="1"/>
  <c r="D18" i="24" s="1"/>
  <c r="I172" i="15"/>
  <c r="I205" i="15" s="1"/>
  <c r="I18" i="24" s="1"/>
  <c r="J172" i="15"/>
  <c r="J205" i="15" s="1"/>
  <c r="J18" i="24" s="1"/>
  <c r="G172" i="15"/>
  <c r="G205" i="15" s="1"/>
  <c r="G18" i="24" s="1"/>
  <c r="H172" i="15"/>
  <c r="H205" i="15" s="1"/>
  <c r="H18" i="24" s="1"/>
  <c r="O172" i="15"/>
  <c r="O205" i="15" s="1"/>
  <c r="O18" i="24" s="1"/>
  <c r="N172" i="15"/>
  <c r="N205" i="15" s="1"/>
  <c r="N18" i="24" s="1"/>
  <c r="K184" i="15"/>
  <c r="J184" i="15"/>
  <c r="B184" i="15"/>
  <c r="G184" i="15"/>
  <c r="H184" i="15"/>
  <c r="Q184" i="15"/>
  <c r="E184" i="15"/>
  <c r="C184" i="15"/>
  <c r="M184" i="15"/>
  <c r="N184" i="15"/>
  <c r="P184" i="15"/>
  <c r="D184" i="15"/>
  <c r="L184" i="15"/>
  <c r="O184" i="15"/>
  <c r="I184" i="15"/>
  <c r="F184" i="15"/>
  <c r="G180" i="15"/>
  <c r="G213" i="15" s="1"/>
  <c r="G26" i="24" s="1"/>
  <c r="K180" i="15"/>
  <c r="K213" i="15" s="1"/>
  <c r="K26" i="24" s="1"/>
  <c r="B180" i="15"/>
  <c r="N180" i="15"/>
  <c r="N213" i="15" s="1"/>
  <c r="N26" i="24" s="1"/>
  <c r="F180" i="15"/>
  <c r="F213" i="15" s="1"/>
  <c r="F26" i="24" s="1"/>
  <c r="I180" i="15"/>
  <c r="I213" i="15" s="1"/>
  <c r="I26" i="24" s="1"/>
  <c r="J180" i="15"/>
  <c r="J213" i="15" s="1"/>
  <c r="J26" i="24" s="1"/>
  <c r="E180" i="15"/>
  <c r="E213" i="15" s="1"/>
  <c r="E26" i="24" s="1"/>
  <c r="M180" i="15"/>
  <c r="M213" i="15" s="1"/>
  <c r="M26" i="24" s="1"/>
  <c r="Q180" i="15"/>
  <c r="Q213" i="15" s="1"/>
  <c r="Q26" i="24" s="1"/>
  <c r="O180" i="15"/>
  <c r="O213" i="15" s="1"/>
  <c r="O26" i="24" s="1"/>
  <c r="H180" i="15"/>
  <c r="H213" i="15" s="1"/>
  <c r="H26" i="24" s="1"/>
  <c r="D180" i="15"/>
  <c r="D213" i="15" s="1"/>
  <c r="D26" i="24" s="1"/>
  <c r="C180" i="15"/>
  <c r="C213" i="15" s="1"/>
  <c r="C26" i="24" s="1"/>
  <c r="P180" i="15"/>
  <c r="P213" i="15" s="1"/>
  <c r="P26" i="24" s="1"/>
  <c r="L180" i="15"/>
  <c r="L213" i="15" s="1"/>
  <c r="L26" i="24" s="1"/>
  <c r="O164" i="15"/>
  <c r="O197" i="15" s="1"/>
  <c r="O10" i="24" s="1"/>
  <c r="I164" i="15"/>
  <c r="I197" i="15" s="1"/>
  <c r="I10" i="24" s="1"/>
  <c r="J164" i="15"/>
  <c r="J197" i="15" s="1"/>
  <c r="J10" i="24" s="1"/>
  <c r="H164" i="15"/>
  <c r="H197" i="15" s="1"/>
  <c r="H10" i="24" s="1"/>
  <c r="Q164" i="15"/>
  <c r="Q197" i="15" s="1"/>
  <c r="Q10" i="24" s="1"/>
  <c r="E164" i="15"/>
  <c r="E197" i="15" s="1"/>
  <c r="E10" i="24" s="1"/>
  <c r="P164" i="15"/>
  <c r="P197" i="15" s="1"/>
  <c r="P10" i="24" s="1"/>
  <c r="K164" i="15"/>
  <c r="K197" i="15" s="1"/>
  <c r="K10" i="24" s="1"/>
  <c r="M164" i="15"/>
  <c r="M197" i="15" s="1"/>
  <c r="M10" i="24" s="1"/>
  <c r="L164" i="15"/>
  <c r="L197" i="15" s="1"/>
  <c r="L10" i="24" s="1"/>
  <c r="B164" i="15"/>
  <c r="N164" i="15"/>
  <c r="N197" i="15" s="1"/>
  <c r="N10" i="24" s="1"/>
  <c r="C164" i="15"/>
  <c r="C197" i="15" s="1"/>
  <c r="C10" i="24" s="1"/>
  <c r="D164" i="15"/>
  <c r="D197" i="15" s="1"/>
  <c r="D10" i="24" s="1"/>
  <c r="F164" i="15"/>
  <c r="F197" i="15" s="1"/>
  <c r="F10" i="24" s="1"/>
  <c r="G164" i="15"/>
  <c r="G197" i="15" s="1"/>
  <c r="G10" i="24" s="1"/>
  <c r="H162" i="15"/>
  <c r="H195" i="15" s="1"/>
  <c r="H8" i="24" s="1"/>
  <c r="L162" i="15"/>
  <c r="L195" i="15" s="1"/>
  <c r="L8" i="24" s="1"/>
  <c r="E162" i="15"/>
  <c r="E195" i="15" s="1"/>
  <c r="E8" i="24" s="1"/>
  <c r="M162" i="15"/>
  <c r="M195" i="15" s="1"/>
  <c r="M8" i="24" s="1"/>
  <c r="D162" i="15"/>
  <c r="D195" i="15" s="1"/>
  <c r="D8" i="24" s="1"/>
  <c r="C162" i="15"/>
  <c r="C195" i="15" s="1"/>
  <c r="C8" i="24" s="1"/>
  <c r="N162" i="15"/>
  <c r="N195" i="15" s="1"/>
  <c r="N8" i="24" s="1"/>
  <c r="O162" i="15"/>
  <c r="O195" i="15" s="1"/>
  <c r="O8" i="24" s="1"/>
  <c r="I162" i="15"/>
  <c r="I195" i="15" s="1"/>
  <c r="I8" i="24" s="1"/>
  <c r="G162" i="15"/>
  <c r="G195" i="15" s="1"/>
  <c r="G8" i="24" s="1"/>
  <c r="P162" i="15"/>
  <c r="P195" i="15" s="1"/>
  <c r="P8" i="24" s="1"/>
  <c r="B162" i="15"/>
  <c r="J162" i="15"/>
  <c r="J195" i="15" s="1"/>
  <c r="J8" i="24" s="1"/>
  <c r="F162" i="15"/>
  <c r="F195" i="15" s="1"/>
  <c r="F8" i="24" s="1"/>
  <c r="K162" i="15"/>
  <c r="K195" i="15" s="1"/>
  <c r="K8" i="24" s="1"/>
  <c r="Q162" i="15"/>
  <c r="Q195" i="15" s="1"/>
  <c r="Q8" i="24" s="1"/>
  <c r="I168" i="15"/>
  <c r="I201" i="15" s="1"/>
  <c r="I14" i="24" s="1"/>
  <c r="M168" i="15"/>
  <c r="M201" i="15" s="1"/>
  <c r="M14" i="24" s="1"/>
  <c r="L168" i="15"/>
  <c r="L201" i="15" s="1"/>
  <c r="L14" i="24" s="1"/>
  <c r="C168" i="15"/>
  <c r="C201" i="15" s="1"/>
  <c r="C14" i="24" s="1"/>
  <c r="D168" i="15"/>
  <c r="D201" i="15" s="1"/>
  <c r="D14" i="24" s="1"/>
  <c r="J168" i="15"/>
  <c r="J201" i="15" s="1"/>
  <c r="J14" i="24" s="1"/>
  <c r="Q168" i="15"/>
  <c r="Q201" i="15" s="1"/>
  <c r="Q14" i="24" s="1"/>
  <c r="N168" i="15"/>
  <c r="N201" i="15" s="1"/>
  <c r="N14" i="24" s="1"/>
  <c r="E168" i="15"/>
  <c r="E201" i="15" s="1"/>
  <c r="E14" i="24" s="1"/>
  <c r="K168" i="15"/>
  <c r="K201" i="15" s="1"/>
  <c r="K14" i="24" s="1"/>
  <c r="H168" i="15"/>
  <c r="H201" i="15" s="1"/>
  <c r="H14" i="24" s="1"/>
  <c r="P168" i="15"/>
  <c r="P201" i="15" s="1"/>
  <c r="P14" i="24" s="1"/>
  <c r="F168" i="15"/>
  <c r="F201" i="15" s="1"/>
  <c r="F14" i="24" s="1"/>
  <c r="G168" i="15"/>
  <c r="G201" i="15" s="1"/>
  <c r="G14" i="24" s="1"/>
  <c r="B168" i="15"/>
  <c r="O168" i="15"/>
  <c r="O201" i="15" s="1"/>
  <c r="O14" i="24" s="1"/>
  <c r="O181" i="15"/>
  <c r="O214" i="15" s="1"/>
  <c r="O27" i="24" s="1"/>
  <c r="I181" i="15"/>
  <c r="I214" i="15" s="1"/>
  <c r="I27" i="24" s="1"/>
  <c r="F181" i="15"/>
  <c r="F214" i="15" s="1"/>
  <c r="F27" i="24" s="1"/>
  <c r="Q181" i="15"/>
  <c r="Q214" i="15" s="1"/>
  <c r="Q27" i="24" s="1"/>
  <c r="L181" i="15"/>
  <c r="L214" i="15" s="1"/>
  <c r="L27" i="24" s="1"/>
  <c r="D181" i="15"/>
  <c r="D214" i="15" s="1"/>
  <c r="D27" i="24" s="1"/>
  <c r="N181" i="15"/>
  <c r="N214" i="15" s="1"/>
  <c r="N27" i="24" s="1"/>
  <c r="E181" i="15"/>
  <c r="E214" i="15" s="1"/>
  <c r="E27" i="24" s="1"/>
  <c r="M181" i="15"/>
  <c r="M214" i="15" s="1"/>
  <c r="M27" i="24" s="1"/>
  <c r="K181" i="15"/>
  <c r="K214" i="15" s="1"/>
  <c r="K27" i="24" s="1"/>
  <c r="H181" i="15"/>
  <c r="H214" i="15" s="1"/>
  <c r="H27" i="24" s="1"/>
  <c r="C181" i="15"/>
  <c r="C214" i="15" s="1"/>
  <c r="C27" i="24" s="1"/>
  <c r="B181" i="15"/>
  <c r="G181" i="15"/>
  <c r="G214" i="15" s="1"/>
  <c r="G27" i="24" s="1"/>
  <c r="P181" i="15"/>
  <c r="P214" i="15" s="1"/>
  <c r="P27" i="24" s="1"/>
  <c r="J181" i="15"/>
  <c r="J214" i="15" s="1"/>
  <c r="J27" i="24" s="1"/>
  <c r="H178" i="15"/>
  <c r="H211" i="15" s="1"/>
  <c r="H24" i="24" s="1"/>
  <c r="O178" i="15"/>
  <c r="O211" i="15" s="1"/>
  <c r="O24" i="24" s="1"/>
  <c r="I178" i="15"/>
  <c r="I211" i="15" s="1"/>
  <c r="I24" i="24" s="1"/>
  <c r="Q178" i="15"/>
  <c r="Q211" i="15" s="1"/>
  <c r="Q24" i="24" s="1"/>
  <c r="J178" i="15"/>
  <c r="J211" i="15" s="1"/>
  <c r="J24" i="24" s="1"/>
  <c r="B178" i="15"/>
  <c r="C178" i="15"/>
  <c r="C211" i="15" s="1"/>
  <c r="C24" i="24" s="1"/>
  <c r="G178" i="15"/>
  <c r="G211" i="15" s="1"/>
  <c r="G24" i="24" s="1"/>
  <c r="E178" i="15"/>
  <c r="E211" i="15" s="1"/>
  <c r="E24" i="24" s="1"/>
  <c r="M178" i="15"/>
  <c r="M211" i="15" s="1"/>
  <c r="M24" i="24" s="1"/>
  <c r="K178" i="15"/>
  <c r="K211" i="15" s="1"/>
  <c r="K24" i="24" s="1"/>
  <c r="F178" i="15"/>
  <c r="F211" i="15" s="1"/>
  <c r="F24" i="24" s="1"/>
  <c r="N178" i="15"/>
  <c r="N211" i="15" s="1"/>
  <c r="N24" i="24" s="1"/>
  <c r="P178" i="15"/>
  <c r="P211" i="15" s="1"/>
  <c r="P24" i="24" s="1"/>
  <c r="L178" i="15"/>
  <c r="L211" i="15" s="1"/>
  <c r="L24" i="24" s="1"/>
  <c r="D178" i="15"/>
  <c r="D211" i="15" s="1"/>
  <c r="D24" i="24" s="1"/>
  <c r="M177" i="15"/>
  <c r="F177" i="15"/>
  <c r="Q177" i="15"/>
  <c r="Q210" i="15" s="1"/>
  <c r="N177" i="15"/>
  <c r="L177" i="15"/>
  <c r="K177" i="15"/>
  <c r="D177" i="15"/>
  <c r="B177" i="15"/>
  <c r="C177" i="15"/>
  <c r="O177" i="15"/>
  <c r="G177" i="15"/>
  <c r="E177" i="15"/>
  <c r="I177" i="15"/>
  <c r="J177" i="15"/>
  <c r="P177" i="15"/>
  <c r="H177" i="15"/>
  <c r="C188" i="15"/>
  <c r="C221" i="15" s="1"/>
  <c r="C34" i="24" s="1"/>
  <c r="M188" i="15"/>
  <c r="M221" i="15" s="1"/>
  <c r="M34" i="24" s="1"/>
  <c r="L188" i="15"/>
  <c r="L221" i="15" s="1"/>
  <c r="L34" i="24" s="1"/>
  <c r="D188" i="15"/>
  <c r="D221" i="15" s="1"/>
  <c r="D34" i="24" s="1"/>
  <c r="O188" i="15"/>
  <c r="O221" i="15" s="1"/>
  <c r="O34" i="24" s="1"/>
  <c r="P188" i="15"/>
  <c r="P221" i="15" s="1"/>
  <c r="P34" i="24" s="1"/>
  <c r="G188" i="15"/>
  <c r="G221" i="15" s="1"/>
  <c r="G34" i="24" s="1"/>
  <c r="N188" i="15"/>
  <c r="N221" i="15" s="1"/>
  <c r="N34" i="24" s="1"/>
  <c r="H188" i="15"/>
  <c r="H221" i="15" s="1"/>
  <c r="H34" i="24" s="1"/>
  <c r="I188" i="15"/>
  <c r="I221" i="15" s="1"/>
  <c r="I34" i="24" s="1"/>
  <c r="J188" i="15"/>
  <c r="J221" i="15" s="1"/>
  <c r="J34" i="24" s="1"/>
  <c r="F188" i="15"/>
  <c r="F221" i="15" s="1"/>
  <c r="F34" i="24" s="1"/>
  <c r="K188" i="15"/>
  <c r="K221" i="15" s="1"/>
  <c r="K34" i="24" s="1"/>
  <c r="Q188" i="15"/>
  <c r="Q221" i="15" s="1"/>
  <c r="Q34" i="24" s="1"/>
  <c r="E188" i="15"/>
  <c r="E221" i="15" s="1"/>
  <c r="E34" i="24" s="1"/>
  <c r="B188" i="15"/>
  <c r="N165" i="15"/>
  <c r="N198" i="15" s="1"/>
  <c r="N11" i="24" s="1"/>
  <c r="B165" i="15"/>
  <c r="M165" i="15"/>
  <c r="M198" i="15" s="1"/>
  <c r="M11" i="24" s="1"/>
  <c r="K165" i="15"/>
  <c r="K198" i="15" s="1"/>
  <c r="K11" i="24" s="1"/>
  <c r="H165" i="15"/>
  <c r="H198" i="15" s="1"/>
  <c r="H11" i="24" s="1"/>
  <c r="D165" i="15"/>
  <c r="D198" i="15" s="1"/>
  <c r="D11" i="24" s="1"/>
  <c r="F165" i="15"/>
  <c r="F198" i="15" s="1"/>
  <c r="F11" i="24" s="1"/>
  <c r="C165" i="15"/>
  <c r="C198" i="15" s="1"/>
  <c r="C11" i="24" s="1"/>
  <c r="J165" i="15"/>
  <c r="J198" i="15" s="1"/>
  <c r="J11" i="24" s="1"/>
  <c r="P165" i="15"/>
  <c r="P198" i="15" s="1"/>
  <c r="P11" i="24" s="1"/>
  <c r="G165" i="15"/>
  <c r="G198" i="15" s="1"/>
  <c r="G11" i="24" s="1"/>
  <c r="O165" i="15"/>
  <c r="O198" i="15" s="1"/>
  <c r="O11" i="24" s="1"/>
  <c r="L165" i="15"/>
  <c r="L198" i="15" s="1"/>
  <c r="L11" i="24" s="1"/>
  <c r="I165" i="15"/>
  <c r="I198" i="15" s="1"/>
  <c r="I11" i="24" s="1"/>
  <c r="E165" i="15"/>
  <c r="E198" i="15" s="1"/>
  <c r="E11" i="24" s="1"/>
  <c r="Q165" i="15"/>
  <c r="Q198" i="15" s="1"/>
  <c r="Q11" i="24" s="1"/>
  <c r="J179" i="15"/>
  <c r="J212" i="15" s="1"/>
  <c r="J25" i="24" s="1"/>
  <c r="K179" i="15"/>
  <c r="K212" i="15" s="1"/>
  <c r="K25" i="24" s="1"/>
  <c r="D179" i="15"/>
  <c r="D212" i="15" s="1"/>
  <c r="D25" i="24" s="1"/>
  <c r="C179" i="15"/>
  <c r="C212" i="15" s="1"/>
  <c r="C25" i="24" s="1"/>
  <c r="Q179" i="15"/>
  <c r="Q212" i="15" s="1"/>
  <c r="Q25" i="24" s="1"/>
  <c r="L179" i="15"/>
  <c r="L212" i="15" s="1"/>
  <c r="L25" i="24" s="1"/>
  <c r="E179" i="15"/>
  <c r="E212" i="15" s="1"/>
  <c r="E25" i="24" s="1"/>
  <c r="H179" i="15"/>
  <c r="H212" i="15" s="1"/>
  <c r="H25" i="24" s="1"/>
  <c r="G179" i="15"/>
  <c r="G212" i="15" s="1"/>
  <c r="G25" i="24" s="1"/>
  <c r="O179" i="15"/>
  <c r="O212" i="15" s="1"/>
  <c r="O25" i="24" s="1"/>
  <c r="I179" i="15"/>
  <c r="I212" i="15" s="1"/>
  <c r="I25" i="24" s="1"/>
  <c r="P179" i="15"/>
  <c r="P212" i="15" s="1"/>
  <c r="P25" i="24" s="1"/>
  <c r="M179" i="15"/>
  <c r="M212" i="15" s="1"/>
  <c r="M25" i="24" s="1"/>
  <c r="N179" i="15"/>
  <c r="N212" i="15" s="1"/>
  <c r="N25" i="24" s="1"/>
  <c r="F179" i="15"/>
  <c r="F212" i="15" s="1"/>
  <c r="F25" i="24" s="1"/>
  <c r="B179" i="15"/>
  <c r="C187" i="15"/>
  <c r="C220" i="15" s="1"/>
  <c r="C33" i="24" s="1"/>
  <c r="K187" i="15"/>
  <c r="K220" i="15" s="1"/>
  <c r="K33" i="24" s="1"/>
  <c r="L187" i="15"/>
  <c r="L220" i="15" s="1"/>
  <c r="L33" i="24" s="1"/>
  <c r="Q187" i="15"/>
  <c r="Q220" i="15" s="1"/>
  <c r="Q33" i="24" s="1"/>
  <c r="H187" i="15"/>
  <c r="H220" i="15" s="1"/>
  <c r="H33" i="24" s="1"/>
  <c r="P187" i="15"/>
  <c r="P220" i="15" s="1"/>
  <c r="P33" i="24" s="1"/>
  <c r="E187" i="15"/>
  <c r="E220" i="15" s="1"/>
  <c r="E33" i="24" s="1"/>
  <c r="G187" i="15"/>
  <c r="G220" i="15" s="1"/>
  <c r="G33" i="24" s="1"/>
  <c r="N187" i="15"/>
  <c r="N220" i="15" s="1"/>
  <c r="N33" i="24" s="1"/>
  <c r="O187" i="15"/>
  <c r="O220" i="15" s="1"/>
  <c r="O33" i="24" s="1"/>
  <c r="D187" i="15"/>
  <c r="D220" i="15" s="1"/>
  <c r="D33" i="24" s="1"/>
  <c r="B187" i="15"/>
  <c r="J187" i="15"/>
  <c r="J220" i="15" s="1"/>
  <c r="J33" i="24" s="1"/>
  <c r="M187" i="15"/>
  <c r="M220" i="15" s="1"/>
  <c r="M33" i="24" s="1"/>
  <c r="I187" i="15"/>
  <c r="I220" i="15" s="1"/>
  <c r="I33" i="24" s="1"/>
  <c r="F187" i="15"/>
  <c r="F220" i="15" s="1"/>
  <c r="F33" i="24" s="1"/>
  <c r="G171" i="15"/>
  <c r="I171" i="15"/>
  <c r="P171" i="15"/>
  <c r="E171" i="15"/>
  <c r="N171" i="15"/>
  <c r="Q171" i="15"/>
  <c r="Q204" i="15" s="1"/>
  <c r="B171" i="15"/>
  <c r="J171" i="15"/>
  <c r="F171" i="15"/>
  <c r="D171" i="15"/>
  <c r="C171" i="15"/>
  <c r="O171" i="15"/>
  <c r="M171" i="15"/>
  <c r="H171" i="15"/>
  <c r="K171" i="15"/>
  <c r="L171" i="15"/>
  <c r="G166" i="15"/>
  <c r="G199" i="15" s="1"/>
  <c r="G12" i="24" s="1"/>
  <c r="O166" i="15"/>
  <c r="O199" i="15" s="1"/>
  <c r="O12" i="24" s="1"/>
  <c r="N166" i="15"/>
  <c r="N199" i="15" s="1"/>
  <c r="N12" i="24" s="1"/>
  <c r="C166" i="15"/>
  <c r="C199" i="15" s="1"/>
  <c r="C12" i="24" s="1"/>
  <c r="D166" i="15"/>
  <c r="D199" i="15" s="1"/>
  <c r="D12" i="24" s="1"/>
  <c r="E166" i="15"/>
  <c r="E199" i="15" s="1"/>
  <c r="E12" i="24" s="1"/>
  <c r="H166" i="15"/>
  <c r="H199" i="15" s="1"/>
  <c r="H12" i="24" s="1"/>
  <c r="K166" i="15"/>
  <c r="K199" i="15" s="1"/>
  <c r="K12" i="24" s="1"/>
  <c r="J166" i="15"/>
  <c r="J199" i="15" s="1"/>
  <c r="J12" i="24" s="1"/>
  <c r="M166" i="15"/>
  <c r="M199" i="15" s="1"/>
  <c r="M12" i="24" s="1"/>
  <c r="L166" i="15"/>
  <c r="L199" i="15" s="1"/>
  <c r="L12" i="24" s="1"/>
  <c r="F166" i="15"/>
  <c r="F199" i="15" s="1"/>
  <c r="F12" i="24" s="1"/>
  <c r="P166" i="15"/>
  <c r="P199" i="15" s="1"/>
  <c r="P12" i="24" s="1"/>
  <c r="B166" i="15"/>
  <c r="Q166" i="15"/>
  <c r="Q199" i="15" s="1"/>
  <c r="Q12" i="24" s="1"/>
  <c r="I166" i="15"/>
  <c r="I199" i="15" s="1"/>
  <c r="I12" i="24" s="1"/>
  <c r="K185" i="15"/>
  <c r="K218" i="15" s="1"/>
  <c r="K31" i="24" s="1"/>
  <c r="D185" i="15"/>
  <c r="D218" i="15" s="1"/>
  <c r="D31" i="24" s="1"/>
  <c r="I185" i="15"/>
  <c r="I218" i="15" s="1"/>
  <c r="I31" i="24" s="1"/>
  <c r="N185" i="15"/>
  <c r="N218" i="15" s="1"/>
  <c r="N31" i="24" s="1"/>
  <c r="M185" i="15"/>
  <c r="M218" i="15" s="1"/>
  <c r="M31" i="24" s="1"/>
  <c r="H185" i="15"/>
  <c r="H218" i="15" s="1"/>
  <c r="H31" i="24" s="1"/>
  <c r="G185" i="15"/>
  <c r="G218" i="15" s="1"/>
  <c r="G31" i="24" s="1"/>
  <c r="L185" i="15"/>
  <c r="L218" i="15" s="1"/>
  <c r="L31" i="24" s="1"/>
  <c r="J185" i="15"/>
  <c r="J218" i="15" s="1"/>
  <c r="J31" i="24" s="1"/>
  <c r="B185" i="15"/>
  <c r="P185" i="15"/>
  <c r="P218" i="15" s="1"/>
  <c r="P31" i="24" s="1"/>
  <c r="O185" i="15"/>
  <c r="O218" i="15" s="1"/>
  <c r="O31" i="24" s="1"/>
  <c r="E185" i="15"/>
  <c r="E218" i="15" s="1"/>
  <c r="E31" i="24" s="1"/>
  <c r="C185" i="15"/>
  <c r="C218" i="15" s="1"/>
  <c r="C31" i="24" s="1"/>
  <c r="F185" i="15"/>
  <c r="F218" i="15" s="1"/>
  <c r="F31" i="24" s="1"/>
  <c r="Q185" i="15"/>
  <c r="Q218" i="15" s="1"/>
  <c r="Q31" i="24" s="1"/>
  <c r="H64" i="24" l="1"/>
  <c r="H97" i="24"/>
  <c r="H130" i="24"/>
  <c r="D67" i="24"/>
  <c r="D100" i="24"/>
  <c r="D133" i="24"/>
  <c r="K182" i="15"/>
  <c r="K210" i="15"/>
  <c r="K60" i="24"/>
  <c r="K126" i="24"/>
  <c r="K93" i="24"/>
  <c r="I109" i="24"/>
  <c r="I43" i="24"/>
  <c r="I76" i="24"/>
  <c r="Q183" i="15"/>
  <c r="Q217" i="15"/>
  <c r="M130" i="24"/>
  <c r="M64" i="24"/>
  <c r="M97" i="24"/>
  <c r="H80" i="24"/>
  <c r="H47" i="24"/>
  <c r="H113" i="24"/>
  <c r="O76" i="24"/>
  <c r="O109" i="24"/>
  <c r="O43" i="24"/>
  <c r="Q163" i="15"/>
  <c r="Q194" i="15"/>
  <c r="N64" i="24"/>
  <c r="N161" i="24" s="1"/>
  <c r="N97" i="24"/>
  <c r="N130" i="24"/>
  <c r="R178" i="15"/>
  <c r="B211" i="15"/>
  <c r="L44" i="24"/>
  <c r="L77" i="24"/>
  <c r="L110" i="24"/>
  <c r="J123" i="24"/>
  <c r="J57" i="24"/>
  <c r="J90" i="24"/>
  <c r="R184" i="15"/>
  <c r="B183" i="15"/>
  <c r="B217" i="15"/>
  <c r="G66" i="24"/>
  <c r="G163" i="24" s="1"/>
  <c r="G132" i="24"/>
  <c r="G99" i="24"/>
  <c r="M84" i="24"/>
  <c r="M117" i="24"/>
  <c r="M51" i="24"/>
  <c r="F97" i="24"/>
  <c r="F64" i="24"/>
  <c r="F130" i="24"/>
  <c r="N78" i="24"/>
  <c r="N111" i="24"/>
  <c r="N45" i="24"/>
  <c r="N174" i="15"/>
  <c r="N204" i="15"/>
  <c r="P85" i="24"/>
  <c r="P150" i="24" s="1"/>
  <c r="P118" i="24"/>
  <c r="P52" i="24"/>
  <c r="P66" i="24"/>
  <c r="P99" i="24"/>
  <c r="P132" i="24"/>
  <c r="F133" i="24"/>
  <c r="F67" i="24"/>
  <c r="F100" i="24"/>
  <c r="Q126" i="24"/>
  <c r="Q93" i="24"/>
  <c r="Q60" i="24"/>
  <c r="Q45" i="24"/>
  <c r="Q111" i="24"/>
  <c r="Q78" i="24"/>
  <c r="P174" i="15"/>
  <c r="Q174" i="15"/>
  <c r="P204" i="15"/>
  <c r="H132" i="24"/>
  <c r="H99" i="24"/>
  <c r="H66" i="24"/>
  <c r="J100" i="24"/>
  <c r="J67" i="24"/>
  <c r="J133" i="24"/>
  <c r="L90" i="24"/>
  <c r="L123" i="24"/>
  <c r="L57" i="24"/>
  <c r="H123" i="24"/>
  <c r="H90" i="24"/>
  <c r="H57" i="24"/>
  <c r="F93" i="24"/>
  <c r="F126" i="24"/>
  <c r="F60" i="24"/>
  <c r="D80" i="24"/>
  <c r="D113" i="24"/>
  <c r="D47" i="24"/>
  <c r="N107" i="24"/>
  <c r="N41" i="24"/>
  <c r="N74" i="24"/>
  <c r="M109" i="24"/>
  <c r="M76" i="24"/>
  <c r="M43" i="24"/>
  <c r="O92" i="24"/>
  <c r="O59" i="24"/>
  <c r="O125" i="24"/>
  <c r="L183" i="15"/>
  <c r="L217" i="15"/>
  <c r="O51" i="24"/>
  <c r="O117" i="24"/>
  <c r="O84" i="24"/>
  <c r="E84" i="24"/>
  <c r="E117" i="24"/>
  <c r="E51" i="24"/>
  <c r="I163" i="15"/>
  <c r="I169" i="15" s="1"/>
  <c r="I194" i="15"/>
  <c r="K112" i="24"/>
  <c r="K79" i="24"/>
  <c r="K46" i="24"/>
  <c r="F118" i="24"/>
  <c r="F85" i="24"/>
  <c r="F52" i="24"/>
  <c r="N77" i="24"/>
  <c r="N44" i="24"/>
  <c r="N110" i="24"/>
  <c r="M126" i="24"/>
  <c r="M60" i="24"/>
  <c r="M93" i="24"/>
  <c r="J41" i="24"/>
  <c r="J107" i="24"/>
  <c r="J74" i="24"/>
  <c r="R180" i="15"/>
  <c r="B213" i="15"/>
  <c r="P84" i="24"/>
  <c r="P117" i="24"/>
  <c r="P51" i="24"/>
  <c r="J174" i="15"/>
  <c r="J204" i="15"/>
  <c r="M67" i="24"/>
  <c r="M100" i="24"/>
  <c r="M133" i="24"/>
  <c r="D43" i="24"/>
  <c r="D76" i="24"/>
  <c r="D109" i="24"/>
  <c r="G183" i="15"/>
  <c r="G217" i="15"/>
  <c r="N132" i="24"/>
  <c r="N66" i="24"/>
  <c r="N99" i="24"/>
  <c r="E133" i="24"/>
  <c r="E100" i="24"/>
  <c r="E67" i="24"/>
  <c r="P112" i="24"/>
  <c r="P46" i="24"/>
  <c r="P79" i="24"/>
  <c r="Q133" i="24"/>
  <c r="Q100" i="24"/>
  <c r="Q67" i="24"/>
  <c r="Q90" i="24"/>
  <c r="Q57" i="24"/>
  <c r="Q123" i="24"/>
  <c r="G74" i="24"/>
  <c r="G41" i="24"/>
  <c r="G107" i="24"/>
  <c r="C163" i="15"/>
  <c r="C169" i="15" s="1"/>
  <c r="C194" i="15"/>
  <c r="E66" i="24"/>
  <c r="E132" i="24"/>
  <c r="E99" i="24"/>
  <c r="K100" i="24"/>
  <c r="K67" i="24"/>
  <c r="K133" i="24"/>
  <c r="Q182" i="15"/>
  <c r="P182" i="15"/>
  <c r="P210" i="15"/>
  <c r="M182" i="15"/>
  <c r="M210" i="15"/>
  <c r="R164" i="15"/>
  <c r="B197" i="15"/>
  <c r="O111" i="24"/>
  <c r="O78" i="24"/>
  <c r="O45" i="24"/>
  <c r="H59" i="24"/>
  <c r="H92" i="24"/>
  <c r="H125" i="24"/>
  <c r="N51" i="24"/>
  <c r="N117" i="24"/>
  <c r="N84" i="24"/>
  <c r="Q117" i="24"/>
  <c r="Q84" i="24"/>
  <c r="Q51" i="24"/>
  <c r="G163" i="15"/>
  <c r="G169" i="15" s="1"/>
  <c r="G194" i="15"/>
  <c r="I79" i="24"/>
  <c r="I112" i="24"/>
  <c r="I46" i="24"/>
  <c r="R173" i="15"/>
  <c r="B206" i="15"/>
  <c r="E97" i="24"/>
  <c r="E64" i="24"/>
  <c r="E130" i="24"/>
  <c r="G45" i="24"/>
  <c r="G78" i="24"/>
  <c r="G111" i="24"/>
  <c r="E58" i="24"/>
  <c r="E124" i="24"/>
  <c r="E91" i="24"/>
  <c r="J44" i="24"/>
  <c r="J77" i="24"/>
  <c r="J110" i="24"/>
  <c r="I182" i="15"/>
  <c r="I210" i="15"/>
  <c r="O64" i="24"/>
  <c r="O97" i="24"/>
  <c r="O130" i="24"/>
  <c r="R166" i="15"/>
  <c r="B199" i="15"/>
  <c r="L174" i="15"/>
  <c r="L204" i="15"/>
  <c r="I174" i="15"/>
  <c r="I204" i="15"/>
  <c r="Q66" i="24"/>
  <c r="Q99" i="24"/>
  <c r="Q132" i="24"/>
  <c r="L124" i="24"/>
  <c r="L58" i="24"/>
  <c r="L91" i="24"/>
  <c r="I67" i="24"/>
  <c r="I100" i="24"/>
  <c r="I133" i="24"/>
  <c r="E182" i="15"/>
  <c r="E210" i="15"/>
  <c r="P123" i="24"/>
  <c r="P57" i="24"/>
  <c r="P90" i="24"/>
  <c r="J93" i="24"/>
  <c r="J126" i="24"/>
  <c r="J60" i="24"/>
  <c r="I126" i="24"/>
  <c r="I93" i="24"/>
  <c r="I60" i="24"/>
  <c r="K43" i="24"/>
  <c r="K109" i="24"/>
  <c r="K76" i="24"/>
  <c r="Q125" i="24"/>
  <c r="Q92" i="24"/>
  <c r="Q59" i="24"/>
  <c r="D183" i="15"/>
  <c r="D217" i="15"/>
  <c r="H84" i="24"/>
  <c r="H51" i="24"/>
  <c r="H117" i="24"/>
  <c r="O163" i="15"/>
  <c r="O194" i="15"/>
  <c r="D163" i="15"/>
  <c r="D194" i="15"/>
  <c r="G79" i="24"/>
  <c r="G112" i="24"/>
  <c r="G46" i="24"/>
  <c r="G118" i="24"/>
  <c r="G52" i="24"/>
  <c r="G85" i="24"/>
  <c r="P47" i="24"/>
  <c r="P113" i="24"/>
  <c r="P80" i="24"/>
  <c r="L84" i="24"/>
  <c r="L117" i="24"/>
  <c r="L51" i="24"/>
  <c r="L118" i="24"/>
  <c r="L52" i="24"/>
  <c r="L85" i="24"/>
  <c r="H111" i="24"/>
  <c r="H45" i="24"/>
  <c r="H78" i="24"/>
  <c r="E77" i="24"/>
  <c r="E44" i="24"/>
  <c r="E110" i="24"/>
  <c r="H183" i="15"/>
  <c r="H217" i="15"/>
  <c r="O66" i="24"/>
  <c r="O99" i="24"/>
  <c r="O132" i="24"/>
  <c r="R188" i="15"/>
  <c r="B221" i="15"/>
  <c r="E60" i="24"/>
  <c r="E126" i="24"/>
  <c r="E93" i="24"/>
  <c r="R162" i="15"/>
  <c r="B195" i="15"/>
  <c r="L125" i="24"/>
  <c r="L92" i="24"/>
  <c r="L59" i="24"/>
  <c r="N163" i="15"/>
  <c r="N194" i="15"/>
  <c r="I124" i="24"/>
  <c r="I58" i="24"/>
  <c r="I91" i="24"/>
  <c r="N60" i="24"/>
  <c r="N126" i="24"/>
  <c r="N93" i="24"/>
  <c r="G125" i="24"/>
  <c r="G92" i="24"/>
  <c r="G59" i="24"/>
  <c r="Q47" i="24"/>
  <c r="Q80" i="24"/>
  <c r="Q113" i="24"/>
  <c r="P183" i="15"/>
  <c r="P217" i="15"/>
  <c r="G51" i="24"/>
  <c r="G117" i="24"/>
  <c r="G84" i="24"/>
  <c r="P163" i="15"/>
  <c r="P194" i="15"/>
  <c r="F163" i="15"/>
  <c r="F194" i="15"/>
  <c r="Q46" i="24"/>
  <c r="Q79" i="24"/>
  <c r="Q112" i="24"/>
  <c r="J118" i="24"/>
  <c r="J52" i="24"/>
  <c r="J85" i="24"/>
  <c r="G123" i="24"/>
  <c r="G90" i="24"/>
  <c r="G57" i="24"/>
  <c r="P91" i="24"/>
  <c r="P58" i="24"/>
  <c r="P124" i="24"/>
  <c r="J46" i="24"/>
  <c r="J79" i="24"/>
  <c r="J112" i="24"/>
  <c r="I130" i="24"/>
  <c r="I97" i="24"/>
  <c r="I64" i="24"/>
  <c r="B174" i="15"/>
  <c r="R171" i="15"/>
  <c r="B204" i="15"/>
  <c r="L60" i="24"/>
  <c r="L93" i="24"/>
  <c r="L126" i="24"/>
  <c r="F79" i="24"/>
  <c r="F46" i="24"/>
  <c r="F112" i="24"/>
  <c r="H58" i="24"/>
  <c r="H91" i="24"/>
  <c r="H124" i="24"/>
  <c r="P77" i="24"/>
  <c r="P110" i="24"/>
  <c r="P44" i="24"/>
  <c r="R185" i="15"/>
  <c r="B218" i="15"/>
  <c r="F78" i="24"/>
  <c r="F45" i="24"/>
  <c r="F111" i="24"/>
  <c r="H174" i="15"/>
  <c r="H204" i="15"/>
  <c r="F99" i="24"/>
  <c r="F132" i="24"/>
  <c r="F66" i="24"/>
  <c r="K99" i="24"/>
  <c r="K66" i="24"/>
  <c r="K132" i="24"/>
  <c r="D110" i="24"/>
  <c r="D77" i="24"/>
  <c r="D44" i="24"/>
  <c r="N67" i="24"/>
  <c r="N133" i="24"/>
  <c r="N100" i="24"/>
  <c r="O182" i="15"/>
  <c r="O210" i="15"/>
  <c r="F57" i="24"/>
  <c r="F90" i="24"/>
  <c r="F123" i="24"/>
  <c r="G60" i="24"/>
  <c r="G93" i="24"/>
  <c r="G126" i="24"/>
  <c r="O47" i="24"/>
  <c r="O113" i="24"/>
  <c r="O80" i="24"/>
  <c r="M113" i="24"/>
  <c r="M47" i="24"/>
  <c r="M80" i="24"/>
  <c r="M74" i="24"/>
  <c r="M107" i="24"/>
  <c r="M41" i="24"/>
  <c r="E109" i="24"/>
  <c r="E76" i="24"/>
  <c r="E43" i="24"/>
  <c r="E59" i="24"/>
  <c r="E125" i="24"/>
  <c r="E92" i="24"/>
  <c r="N183" i="15"/>
  <c r="N217" i="15"/>
  <c r="J117" i="24"/>
  <c r="J84" i="24"/>
  <c r="J51" i="24"/>
  <c r="K163" i="15"/>
  <c r="K169" i="15" s="1"/>
  <c r="K194" i="15"/>
  <c r="H79" i="24"/>
  <c r="H112" i="24"/>
  <c r="H46" i="24"/>
  <c r="R167" i="15"/>
  <c r="B200" i="15"/>
  <c r="D118" i="24"/>
  <c r="D85" i="24"/>
  <c r="D52" i="24"/>
  <c r="Q77" i="24"/>
  <c r="Q44" i="24"/>
  <c r="Q110" i="24"/>
  <c r="F41" i="24"/>
  <c r="F107" i="24"/>
  <c r="F74" i="24"/>
  <c r="N59" i="24"/>
  <c r="N92" i="24"/>
  <c r="N125" i="24"/>
  <c r="L163" i="15"/>
  <c r="L169" i="15" s="1"/>
  <c r="L194" i="15"/>
  <c r="D132" i="24"/>
  <c r="D99" i="24"/>
  <c r="D66" i="24"/>
  <c r="L67" i="24"/>
  <c r="L100" i="24"/>
  <c r="L133" i="24"/>
  <c r="F43" i="24"/>
  <c r="F76" i="24"/>
  <c r="F109" i="24"/>
  <c r="L79" i="24"/>
  <c r="L112" i="24"/>
  <c r="L46" i="24"/>
  <c r="E78" i="24"/>
  <c r="E111" i="24"/>
  <c r="E45" i="24"/>
  <c r="N182" i="15"/>
  <c r="N210" i="15"/>
  <c r="P41" i="24"/>
  <c r="P74" i="24"/>
  <c r="P107" i="24"/>
  <c r="E163" i="15"/>
  <c r="E169" i="15" s="1"/>
  <c r="E194" i="15"/>
  <c r="Q130" i="24"/>
  <c r="Q97" i="24"/>
  <c r="Q64" i="24"/>
  <c r="H182" i="15"/>
  <c r="H210" i="15"/>
  <c r="D126" i="24"/>
  <c r="D60" i="24"/>
  <c r="D93" i="24"/>
  <c r="N113" i="24"/>
  <c r="N47" i="24"/>
  <c r="N80" i="24"/>
  <c r="J183" i="15"/>
  <c r="J217" i="15"/>
  <c r="K97" i="24"/>
  <c r="K64" i="24"/>
  <c r="K130" i="24"/>
  <c r="I90" i="24"/>
  <c r="I123" i="24"/>
  <c r="I57" i="24"/>
  <c r="I74" i="24"/>
  <c r="I107" i="24"/>
  <c r="I41" i="24"/>
  <c r="R172" i="15"/>
  <c r="B205" i="15"/>
  <c r="J182" i="15"/>
  <c r="J210" i="15"/>
  <c r="L109" i="24"/>
  <c r="L76" i="24"/>
  <c r="L43" i="24"/>
  <c r="P97" i="24"/>
  <c r="P64" i="24"/>
  <c r="P130" i="24"/>
  <c r="F44" i="24"/>
  <c r="F77" i="24"/>
  <c r="F110" i="24"/>
  <c r="P60" i="24"/>
  <c r="P93" i="24"/>
  <c r="P126" i="24"/>
  <c r="L113" i="24"/>
  <c r="L80" i="24"/>
  <c r="L47" i="24"/>
  <c r="P76" i="24"/>
  <c r="P109" i="24"/>
  <c r="P43" i="24"/>
  <c r="M59" i="24"/>
  <c r="M92" i="24"/>
  <c r="M125" i="24"/>
  <c r="J130" i="24"/>
  <c r="J97" i="24"/>
  <c r="J64" i="24"/>
  <c r="L78" i="24"/>
  <c r="L45" i="24"/>
  <c r="L111" i="24"/>
  <c r="M174" i="15"/>
  <c r="M204" i="15"/>
  <c r="I132" i="24"/>
  <c r="I99" i="24"/>
  <c r="I66" i="24"/>
  <c r="D124" i="24"/>
  <c r="D58" i="24"/>
  <c r="D91" i="24"/>
  <c r="H77" i="24"/>
  <c r="H44" i="24"/>
  <c r="H110" i="24"/>
  <c r="G67" i="24"/>
  <c r="G133" i="24"/>
  <c r="G100" i="24"/>
  <c r="C182" i="15"/>
  <c r="C210" i="15"/>
  <c r="K90" i="24"/>
  <c r="K57" i="24"/>
  <c r="K123" i="24"/>
  <c r="R181" i="15"/>
  <c r="B214" i="15"/>
  <c r="R168" i="15"/>
  <c r="B201" i="15"/>
  <c r="I80" i="24"/>
  <c r="I47" i="24"/>
  <c r="I113" i="24"/>
  <c r="E74" i="24"/>
  <c r="E107" i="24"/>
  <c r="E41" i="24"/>
  <c r="Q76" i="24"/>
  <c r="Q43" i="24"/>
  <c r="Q109" i="24"/>
  <c r="J125" i="24"/>
  <c r="J92" i="24"/>
  <c r="J59" i="24"/>
  <c r="M183" i="15"/>
  <c r="M217" i="15"/>
  <c r="I117" i="24"/>
  <c r="I51" i="24"/>
  <c r="I84" i="24"/>
  <c r="J163" i="15"/>
  <c r="J169" i="15" s="1"/>
  <c r="J194" i="15"/>
  <c r="D79" i="24"/>
  <c r="D46" i="24"/>
  <c r="D112" i="24"/>
  <c r="E112" i="24"/>
  <c r="E79" i="24"/>
  <c r="E46" i="24"/>
  <c r="M118" i="24"/>
  <c r="M85" i="24"/>
  <c r="M52" i="24"/>
  <c r="D174" i="15"/>
  <c r="D204" i="15"/>
  <c r="N91" i="24"/>
  <c r="N58" i="24"/>
  <c r="N124" i="24"/>
  <c r="R165" i="15"/>
  <c r="B198" i="15"/>
  <c r="G43" i="24"/>
  <c r="G76" i="24"/>
  <c r="G109" i="24"/>
  <c r="N112" i="24"/>
  <c r="N46" i="24"/>
  <c r="N79" i="24"/>
  <c r="F174" i="15"/>
  <c r="F204" i="15"/>
  <c r="M58" i="24"/>
  <c r="M91" i="24"/>
  <c r="M124" i="24"/>
  <c r="L182" i="15"/>
  <c r="L210" i="15"/>
  <c r="N52" i="24"/>
  <c r="N118" i="24"/>
  <c r="N85" i="24"/>
  <c r="I77" i="24"/>
  <c r="I44" i="24"/>
  <c r="I110" i="24"/>
  <c r="K51" i="24"/>
  <c r="K117" i="24"/>
  <c r="K84" i="24"/>
  <c r="D111" i="24"/>
  <c r="D45" i="24"/>
  <c r="D78" i="24"/>
  <c r="Q23" i="24"/>
  <c r="Q215" i="15"/>
  <c r="E113" i="24"/>
  <c r="E80" i="24"/>
  <c r="E47" i="24"/>
  <c r="O118" i="24"/>
  <c r="O52" i="24"/>
  <c r="O85" i="24"/>
  <c r="D97" i="24"/>
  <c r="D64" i="24"/>
  <c r="D130" i="24"/>
  <c r="Q17" i="24"/>
  <c r="Q207" i="15"/>
  <c r="F182" i="15"/>
  <c r="F210" i="15"/>
  <c r="N109" i="24"/>
  <c r="N43" i="24"/>
  <c r="N76" i="24"/>
  <c r="G58" i="24"/>
  <c r="G124" i="24"/>
  <c r="G91" i="24"/>
  <c r="K183" i="15"/>
  <c r="K217" i="15"/>
  <c r="D90" i="24"/>
  <c r="D123" i="24"/>
  <c r="D57" i="24"/>
  <c r="L99" i="24"/>
  <c r="L66" i="24"/>
  <c r="L132" i="24"/>
  <c r="Q91" i="24"/>
  <c r="Q124" i="24"/>
  <c r="Q58" i="24"/>
  <c r="G182" i="15"/>
  <c r="G210" i="15"/>
  <c r="O93" i="24"/>
  <c r="O126" i="24"/>
  <c r="O60" i="24"/>
  <c r="L64" i="24"/>
  <c r="L97" i="24"/>
  <c r="L130" i="24"/>
  <c r="M78" i="24"/>
  <c r="M111" i="24"/>
  <c r="M45" i="24"/>
  <c r="O174" i="15"/>
  <c r="O204" i="15"/>
  <c r="R179" i="15"/>
  <c r="B212" i="15"/>
  <c r="K91" i="24"/>
  <c r="K58" i="24"/>
  <c r="K124" i="24"/>
  <c r="K110" i="24"/>
  <c r="K44" i="24"/>
  <c r="K77" i="24"/>
  <c r="P100" i="24"/>
  <c r="P133" i="24"/>
  <c r="P67" i="24"/>
  <c r="B182" i="15"/>
  <c r="R177" i="15"/>
  <c r="B210" i="15"/>
  <c r="M123" i="24"/>
  <c r="M57" i="24"/>
  <c r="M90" i="24"/>
  <c r="G80" i="24"/>
  <c r="G47" i="24"/>
  <c r="G113" i="24"/>
  <c r="Q107" i="24"/>
  <c r="Q41" i="24"/>
  <c r="Q74" i="24"/>
  <c r="L107" i="24"/>
  <c r="L74" i="24"/>
  <c r="L41" i="24"/>
  <c r="H109" i="24"/>
  <c r="H43" i="24"/>
  <c r="H76" i="24"/>
  <c r="I92" i="24"/>
  <c r="I125" i="24"/>
  <c r="I59" i="24"/>
  <c r="C183" i="15"/>
  <c r="C217" i="15"/>
  <c r="D51" i="24"/>
  <c r="D84" i="24"/>
  <c r="D117" i="24"/>
  <c r="H163" i="15"/>
  <c r="H169" i="15" s="1"/>
  <c r="H194" i="15"/>
  <c r="M112" i="24"/>
  <c r="M46" i="24"/>
  <c r="M79" i="24"/>
  <c r="K118" i="24"/>
  <c r="K85" i="24"/>
  <c r="K52" i="24"/>
  <c r="Q118" i="24"/>
  <c r="Q52" i="24"/>
  <c r="Q85" i="24"/>
  <c r="K45" i="24"/>
  <c r="K111" i="24"/>
  <c r="K78" i="24"/>
  <c r="R187" i="15"/>
  <c r="B220" i="15"/>
  <c r="K113" i="24"/>
  <c r="K47" i="24"/>
  <c r="K80" i="24"/>
  <c r="K125" i="24"/>
  <c r="K92" i="24"/>
  <c r="K59" i="24"/>
  <c r="P92" i="24"/>
  <c r="P125" i="24"/>
  <c r="P59" i="24"/>
  <c r="F117" i="24"/>
  <c r="F51" i="24"/>
  <c r="F84" i="24"/>
  <c r="O91" i="24"/>
  <c r="O124" i="24"/>
  <c r="O58" i="24"/>
  <c r="O77" i="24"/>
  <c r="O44" i="24"/>
  <c r="O110" i="24"/>
  <c r="F183" i="15"/>
  <c r="F217" i="15"/>
  <c r="H85" i="24"/>
  <c r="H52" i="24"/>
  <c r="H118" i="24"/>
  <c r="G77" i="24"/>
  <c r="G110" i="24"/>
  <c r="G44" i="24"/>
  <c r="D59" i="24"/>
  <c r="D92" i="24"/>
  <c r="D125" i="24"/>
  <c r="I183" i="15"/>
  <c r="I217" i="15"/>
  <c r="R161" i="15"/>
  <c r="B163" i="15"/>
  <c r="B169" i="15" s="1"/>
  <c r="B194" i="15"/>
  <c r="I78" i="24"/>
  <c r="I111" i="24"/>
  <c r="I45" i="24"/>
  <c r="E174" i="15"/>
  <c r="E204" i="15"/>
  <c r="O123" i="24"/>
  <c r="O57" i="24"/>
  <c r="O90" i="24"/>
  <c r="J47" i="24"/>
  <c r="J113" i="24"/>
  <c r="J80" i="24"/>
  <c r="O74" i="24"/>
  <c r="O41" i="24"/>
  <c r="O107" i="24"/>
  <c r="O183" i="15"/>
  <c r="O217" i="15"/>
  <c r="P78" i="24"/>
  <c r="P45" i="24"/>
  <c r="P111" i="24"/>
  <c r="K174" i="15"/>
  <c r="K204" i="15"/>
  <c r="G174" i="15"/>
  <c r="G204" i="15"/>
  <c r="H67" i="24"/>
  <c r="H133" i="24"/>
  <c r="H100" i="24"/>
  <c r="N90" i="24"/>
  <c r="N123" i="24"/>
  <c r="N57" i="24"/>
  <c r="D74" i="24"/>
  <c r="D41" i="24"/>
  <c r="D107" i="24"/>
  <c r="M99" i="24"/>
  <c r="M66" i="24"/>
  <c r="M132" i="24"/>
  <c r="G130" i="24"/>
  <c r="G97" i="24"/>
  <c r="G64" i="24"/>
  <c r="J78" i="24"/>
  <c r="J111" i="24"/>
  <c r="J45" i="24"/>
  <c r="C174" i="15"/>
  <c r="C204" i="15"/>
  <c r="J99" i="24"/>
  <c r="J66" i="24"/>
  <c r="J132" i="24"/>
  <c r="F124" i="24"/>
  <c r="F58" i="24"/>
  <c r="F91" i="24"/>
  <c r="J124" i="24"/>
  <c r="J91" i="24"/>
  <c r="J58" i="24"/>
  <c r="M110" i="24"/>
  <c r="M77" i="24"/>
  <c r="M44" i="24"/>
  <c r="O100" i="24"/>
  <c r="O133" i="24"/>
  <c r="O67" i="24"/>
  <c r="D182" i="15"/>
  <c r="D210" i="15"/>
  <c r="E90" i="24"/>
  <c r="E57" i="24"/>
  <c r="E123" i="24"/>
  <c r="H126" i="24"/>
  <c r="H93" i="24"/>
  <c r="H60" i="24"/>
  <c r="F80" i="24"/>
  <c r="F47" i="24"/>
  <c r="F113" i="24"/>
  <c r="K107" i="24"/>
  <c r="K74" i="24"/>
  <c r="K41" i="24"/>
  <c r="H41" i="24"/>
  <c r="H107" i="24"/>
  <c r="H74" i="24"/>
  <c r="J109" i="24"/>
  <c r="J43" i="24"/>
  <c r="J76" i="24"/>
  <c r="F125" i="24"/>
  <c r="F59" i="24"/>
  <c r="F92" i="24"/>
  <c r="E183" i="15"/>
  <c r="E217" i="15"/>
  <c r="M163" i="15"/>
  <c r="M169" i="15" s="1"/>
  <c r="M194" i="15"/>
  <c r="O46" i="24"/>
  <c r="O112" i="24"/>
  <c r="O79" i="24"/>
  <c r="I85" i="24"/>
  <c r="I52" i="24"/>
  <c r="I118" i="24"/>
  <c r="E118" i="24"/>
  <c r="E85" i="24"/>
  <c r="E52" i="24"/>
  <c r="J145" i="24" l="1"/>
  <c r="K175" i="15"/>
  <c r="E150" i="24"/>
  <c r="E140" i="24"/>
  <c r="Q157" i="24"/>
  <c r="N144" i="24"/>
  <c r="O142" i="24"/>
  <c r="D150" i="24"/>
  <c r="F146" i="24"/>
  <c r="O156" i="24"/>
  <c r="L140" i="24"/>
  <c r="M144" i="24"/>
  <c r="M161" i="24"/>
  <c r="R174" i="15"/>
  <c r="H163" i="24"/>
  <c r="O157" i="24"/>
  <c r="P155" i="24"/>
  <c r="M146" i="24"/>
  <c r="L156" i="24"/>
  <c r="D142" i="24"/>
  <c r="L150" i="24"/>
  <c r="Q169" i="15"/>
  <c r="D144" i="24"/>
  <c r="H164" i="24"/>
  <c r="M142" i="24"/>
  <c r="I150" i="24"/>
  <c r="G155" i="24"/>
  <c r="L161" i="24"/>
  <c r="J163" i="24"/>
  <c r="H150" i="24"/>
  <c r="O164" i="24"/>
  <c r="O150" i="24"/>
  <c r="I143" i="24"/>
  <c r="E142" i="24"/>
  <c r="H156" i="24"/>
  <c r="E156" i="24"/>
  <c r="G140" i="24"/>
  <c r="N163" i="24"/>
  <c r="N155" i="24"/>
  <c r="E145" i="24"/>
  <c r="Q144" i="24"/>
  <c r="M143" i="24"/>
  <c r="E146" i="24"/>
  <c r="N150" i="24"/>
  <c r="H155" i="24"/>
  <c r="O146" i="24"/>
  <c r="J143" i="24"/>
  <c r="I145" i="24"/>
  <c r="O140" i="24"/>
  <c r="K150" i="24"/>
  <c r="Q156" i="24"/>
  <c r="F155" i="24"/>
  <c r="F163" i="24"/>
  <c r="Q145" i="24"/>
  <c r="I155" i="24"/>
  <c r="Q163" i="24"/>
  <c r="G157" i="24"/>
  <c r="N142" i="24"/>
  <c r="G142" i="24"/>
  <c r="O143" i="24"/>
  <c r="H142" i="24"/>
  <c r="K155" i="24"/>
  <c r="P142" i="24"/>
  <c r="F150" i="24"/>
  <c r="F161" i="24"/>
  <c r="N140" i="24"/>
  <c r="M155" i="24"/>
  <c r="F140" i="24"/>
  <c r="F145" i="24"/>
  <c r="M157" i="24"/>
  <c r="G144" i="24"/>
  <c r="P163" i="24"/>
  <c r="E155" i="24"/>
  <c r="M156" i="24"/>
  <c r="N146" i="24"/>
  <c r="N164" i="24"/>
  <c r="E157" i="24"/>
  <c r="G145" i="24"/>
  <c r="O155" i="24"/>
  <c r="N157" i="24"/>
  <c r="J140" i="24"/>
  <c r="K145" i="24"/>
  <c r="Q150" i="24"/>
  <c r="I142" i="24"/>
  <c r="J157" i="24"/>
  <c r="D156" i="24"/>
  <c r="P143" i="24"/>
  <c r="M164" i="24"/>
  <c r="G143" i="24"/>
  <c r="O145" i="24"/>
  <c r="Q140" i="24"/>
  <c r="J161" i="24"/>
  <c r="L157" i="24"/>
  <c r="I157" i="24"/>
  <c r="Q164" i="24"/>
  <c r="K140" i="24"/>
  <c r="D157" i="24"/>
  <c r="I156" i="24"/>
  <c r="K164" i="24"/>
  <c r="M163" i="24"/>
  <c r="Q142" i="24"/>
  <c r="L142" i="24"/>
  <c r="K161" i="24"/>
  <c r="H145" i="24"/>
  <c r="G175" i="15"/>
  <c r="G186" i="15" s="1"/>
  <c r="G189" i="15" s="1"/>
  <c r="E164" i="24"/>
  <c r="N143" i="24"/>
  <c r="K156" i="24"/>
  <c r="J164" i="24"/>
  <c r="J150" i="24"/>
  <c r="L144" i="24"/>
  <c r="M140" i="24"/>
  <c r="I164" i="24"/>
  <c r="F164" i="24"/>
  <c r="D140" i="24"/>
  <c r="G156" i="24"/>
  <c r="G164" i="24"/>
  <c r="O163" i="24"/>
  <c r="D146" i="24"/>
  <c r="K157" i="24"/>
  <c r="P140" i="24"/>
  <c r="L164" i="24"/>
  <c r="Q143" i="24"/>
  <c r="O161" i="24"/>
  <c r="E161" i="24"/>
  <c r="Q155" i="24"/>
  <c r="F157" i="24"/>
  <c r="H146" i="24"/>
  <c r="K163" i="24"/>
  <c r="K146" i="24"/>
  <c r="I161" i="24"/>
  <c r="H157" i="24"/>
  <c r="I144" i="24"/>
  <c r="N145" i="24"/>
  <c r="M150" i="24"/>
  <c r="I146" i="24"/>
  <c r="H143" i="24"/>
  <c r="P157" i="24"/>
  <c r="D163" i="24"/>
  <c r="H175" i="15"/>
  <c r="H186" i="15" s="1"/>
  <c r="H189" i="15" s="1"/>
  <c r="Q146" i="24"/>
  <c r="L143" i="24"/>
  <c r="M145" i="24"/>
  <c r="P144" i="24"/>
  <c r="J142" i="24"/>
  <c r="K144" i="24"/>
  <c r="L146" i="24"/>
  <c r="J155" i="24"/>
  <c r="J156" i="24"/>
  <c r="J144" i="24"/>
  <c r="P164" i="24"/>
  <c r="I140" i="24"/>
  <c r="E144" i="24"/>
  <c r="F144" i="24"/>
  <c r="E143" i="24"/>
  <c r="P146" i="24"/>
  <c r="G161" i="24"/>
  <c r="L163" i="24"/>
  <c r="F143" i="24"/>
  <c r="P156" i="24"/>
  <c r="F169" i="15"/>
  <c r="F175" i="15" s="1"/>
  <c r="E163" i="24"/>
  <c r="D164" i="24"/>
  <c r="H144" i="24"/>
  <c r="G150" i="24"/>
  <c r="O144" i="24"/>
  <c r="P145" i="24"/>
  <c r="F142" i="24"/>
  <c r="J146" i="24"/>
  <c r="I163" i="24"/>
  <c r="Q161" i="24"/>
  <c r="L145" i="24"/>
  <c r="L155" i="24"/>
  <c r="H161" i="24"/>
  <c r="N156" i="24"/>
  <c r="K142" i="24"/>
  <c r="D155" i="24"/>
  <c r="H140" i="24"/>
  <c r="F156" i="24"/>
  <c r="G146" i="24"/>
  <c r="K143" i="24"/>
  <c r="D161" i="24"/>
  <c r="D145" i="24"/>
  <c r="P161" i="24"/>
  <c r="D143" i="24"/>
  <c r="C175" i="15"/>
  <c r="K186" i="15"/>
  <c r="K189" i="15" s="1"/>
  <c r="L175" i="15"/>
  <c r="L186" i="15" s="1"/>
  <c r="R220" i="15"/>
  <c r="S220" i="15" s="1"/>
  <c r="B33" i="24"/>
  <c r="R163" i="15"/>
  <c r="R169" i="15" s="1"/>
  <c r="F216" i="15"/>
  <c r="F30" i="24"/>
  <c r="M30" i="24"/>
  <c r="M216" i="15"/>
  <c r="J23" i="24"/>
  <c r="J215" i="15"/>
  <c r="P30" i="24"/>
  <c r="P216" i="15"/>
  <c r="L30" i="24"/>
  <c r="L216" i="15"/>
  <c r="I30" i="24"/>
  <c r="I216" i="15"/>
  <c r="E17" i="24"/>
  <c r="E207" i="15"/>
  <c r="E215" i="15"/>
  <c r="E23" i="24"/>
  <c r="K23" i="24"/>
  <c r="K215" i="15"/>
  <c r="D207" i="15"/>
  <c r="D17" i="24"/>
  <c r="J7" i="24"/>
  <c r="J196" i="15"/>
  <c r="J202" i="15" s="1"/>
  <c r="R214" i="15"/>
  <c r="S214" i="15" s="1"/>
  <c r="B27" i="24"/>
  <c r="M17" i="24"/>
  <c r="M207" i="15"/>
  <c r="B13" i="24"/>
  <c r="R200" i="15"/>
  <c r="S200" i="15" s="1"/>
  <c r="C57" i="18"/>
  <c r="C7" i="24"/>
  <c r="C196" i="15"/>
  <c r="I175" i="15"/>
  <c r="D7" i="24"/>
  <c r="D196" i="15"/>
  <c r="D215" i="15"/>
  <c r="D23" i="24"/>
  <c r="O30" i="24"/>
  <c r="O216" i="15"/>
  <c r="P7" i="24"/>
  <c r="P196" i="15"/>
  <c r="P202" i="15" s="1"/>
  <c r="I23" i="24"/>
  <c r="I215" i="15"/>
  <c r="M196" i="15"/>
  <c r="M202" i="15" s="1"/>
  <c r="M7" i="24"/>
  <c r="G23" i="24"/>
  <c r="G215" i="15"/>
  <c r="B18" i="24"/>
  <c r="R205" i="15"/>
  <c r="N30" i="24"/>
  <c r="N216" i="15"/>
  <c r="M23" i="24"/>
  <c r="M215" i="15"/>
  <c r="M175" i="15"/>
  <c r="M186" i="15" s="1"/>
  <c r="H7" i="24"/>
  <c r="H196" i="15"/>
  <c r="H202" i="15" s="1"/>
  <c r="O23" i="24"/>
  <c r="O215" i="15"/>
  <c r="B31" i="24"/>
  <c r="R218" i="15"/>
  <c r="S218" i="15" s="1"/>
  <c r="N169" i="15"/>
  <c r="O7" i="24"/>
  <c r="O196" i="15"/>
  <c r="O202" i="15" s="1"/>
  <c r="I17" i="24"/>
  <c r="I207" i="15"/>
  <c r="R206" i="15"/>
  <c r="S206" i="15" s="1"/>
  <c r="B19" i="24"/>
  <c r="C186" i="15"/>
  <c r="G30" i="24"/>
  <c r="G216" i="15"/>
  <c r="Q7" i="24"/>
  <c r="Q196" i="15"/>
  <c r="F17" i="24"/>
  <c r="F207" i="15"/>
  <c r="G17" i="24"/>
  <c r="G207" i="15"/>
  <c r="B57" i="18"/>
  <c r="B33" i="18" s="1"/>
  <c r="R194" i="15"/>
  <c r="B7" i="24"/>
  <c r="B196" i="15"/>
  <c r="B202" i="15" s="1"/>
  <c r="E196" i="15"/>
  <c r="E7" i="24"/>
  <c r="P23" i="24"/>
  <c r="P215" i="15"/>
  <c r="R213" i="15"/>
  <c r="B26" i="24"/>
  <c r="Q216" i="15"/>
  <c r="Q30" i="24"/>
  <c r="R211" i="15"/>
  <c r="S211" i="15" s="1"/>
  <c r="B24" i="24"/>
  <c r="R201" i="15"/>
  <c r="S201" i="15" s="1"/>
  <c r="B14" i="24"/>
  <c r="Q20" i="24"/>
  <c r="Q50" i="24"/>
  <c r="Q53" i="24" s="1"/>
  <c r="Q116" i="24"/>
  <c r="Q119" i="24" s="1"/>
  <c r="Q83" i="24"/>
  <c r="Q86" i="24" s="1"/>
  <c r="Q28" i="24"/>
  <c r="Q89" i="24"/>
  <c r="Q94" i="24" s="1"/>
  <c r="Q56" i="24"/>
  <c r="Q61" i="24" s="1"/>
  <c r="Q122" i="24"/>
  <c r="Q127" i="24" s="1"/>
  <c r="J175" i="15"/>
  <c r="J186" i="15" s="1"/>
  <c r="P169" i="15"/>
  <c r="O169" i="15"/>
  <c r="L207" i="15"/>
  <c r="L17" i="24"/>
  <c r="P207" i="15"/>
  <c r="P17" i="24"/>
  <c r="E30" i="24"/>
  <c r="E216" i="15"/>
  <c r="R212" i="15"/>
  <c r="S212" i="15" s="1"/>
  <c r="B25" i="24"/>
  <c r="N17" i="24"/>
  <c r="N207" i="15"/>
  <c r="E175" i="15"/>
  <c r="F7" i="24"/>
  <c r="F196" i="15"/>
  <c r="F202" i="15" s="1"/>
  <c r="H30" i="24"/>
  <c r="H216" i="15"/>
  <c r="R217" i="15"/>
  <c r="B30" i="24"/>
  <c r="B216" i="15"/>
  <c r="H17" i="24"/>
  <c r="H207" i="15"/>
  <c r="R182" i="15"/>
  <c r="K216" i="15"/>
  <c r="K30" i="24"/>
  <c r="L23" i="24"/>
  <c r="L215" i="15"/>
  <c r="C215" i="15"/>
  <c r="C23" i="24"/>
  <c r="K196" i="15"/>
  <c r="K7" i="24"/>
  <c r="R204" i="15"/>
  <c r="B17" i="24"/>
  <c r="B207" i="15"/>
  <c r="R199" i="15"/>
  <c r="S199" i="15" s="1"/>
  <c r="B12" i="24"/>
  <c r="N196" i="15"/>
  <c r="N202" i="15" s="1"/>
  <c r="N7" i="24"/>
  <c r="B34" i="24"/>
  <c r="R221" i="15"/>
  <c r="S221" i="15" s="1"/>
  <c r="B10" i="24"/>
  <c r="R197" i="15"/>
  <c r="S197" i="15" s="1"/>
  <c r="C17" i="24"/>
  <c r="C207" i="15"/>
  <c r="B175" i="15"/>
  <c r="L7" i="24"/>
  <c r="L196" i="15"/>
  <c r="L202" i="15" s="1"/>
  <c r="R195" i="15"/>
  <c r="S195" i="15" s="1"/>
  <c r="B8" i="24"/>
  <c r="R183" i="15"/>
  <c r="C216" i="15"/>
  <c r="C30" i="24"/>
  <c r="H215" i="15"/>
  <c r="H23" i="24"/>
  <c r="D30" i="24"/>
  <c r="D216" i="15"/>
  <c r="I7" i="24"/>
  <c r="I196" i="15"/>
  <c r="B23" i="24"/>
  <c r="R210" i="15"/>
  <c r="B215" i="15"/>
  <c r="D169" i="15"/>
  <c r="J17" i="24"/>
  <c r="J207" i="15"/>
  <c r="N23" i="24"/>
  <c r="N215" i="15"/>
  <c r="O207" i="15"/>
  <c r="O17" i="24"/>
  <c r="F23" i="24"/>
  <c r="F215" i="15"/>
  <c r="J30" i="24"/>
  <c r="J216" i="15"/>
  <c r="K17" i="24"/>
  <c r="K207" i="15"/>
  <c r="R198" i="15"/>
  <c r="S198" i="15" s="1"/>
  <c r="B11" i="24"/>
  <c r="G7" i="24"/>
  <c r="G196" i="15"/>
  <c r="F186" i="15" l="1"/>
  <c r="F189" i="15" s="1"/>
  <c r="M208" i="15"/>
  <c r="O208" i="15"/>
  <c r="J208" i="15"/>
  <c r="J219" i="15" s="1"/>
  <c r="J222" i="15" s="1"/>
  <c r="J189" i="15"/>
  <c r="L189" i="15"/>
  <c r="M219" i="15"/>
  <c r="M222" i="15" s="1"/>
  <c r="C189" i="15"/>
  <c r="N208" i="15"/>
  <c r="N219" i="15" s="1"/>
  <c r="N222" i="15" s="1"/>
  <c r="P208" i="15"/>
  <c r="P219" i="15" s="1"/>
  <c r="P222" i="15" s="1"/>
  <c r="H208" i="15"/>
  <c r="H219" i="15" s="1"/>
  <c r="Q151" i="24"/>
  <c r="H28" i="24"/>
  <c r="H56" i="24"/>
  <c r="H61" i="24" s="1"/>
  <c r="H89" i="24"/>
  <c r="H94" i="24" s="1"/>
  <c r="H122" i="24"/>
  <c r="H127" i="24" s="1"/>
  <c r="B186" i="15"/>
  <c r="B189" i="15" s="1"/>
  <c r="R14" i="24"/>
  <c r="E202" i="15"/>
  <c r="F50" i="24"/>
  <c r="F53" i="24" s="1"/>
  <c r="F116" i="24"/>
  <c r="F119" i="24" s="1"/>
  <c r="F20" i="24"/>
  <c r="F83" i="24"/>
  <c r="F86" i="24" s="1"/>
  <c r="L9" i="24"/>
  <c r="L15" i="24" s="1"/>
  <c r="L40" i="24"/>
  <c r="L106" i="24"/>
  <c r="L73" i="24"/>
  <c r="D96" i="24"/>
  <c r="D95" i="24" s="1"/>
  <c r="D29" i="24"/>
  <c r="D129" i="24"/>
  <c r="D128" i="24" s="1"/>
  <c r="D63" i="24"/>
  <c r="D62" i="24" s="1"/>
  <c r="C202" i="15"/>
  <c r="C29" i="24"/>
  <c r="K40" i="24"/>
  <c r="K9" i="24"/>
  <c r="K15" i="24" s="1"/>
  <c r="K106" i="24"/>
  <c r="K73" i="24"/>
  <c r="Q202" i="15"/>
  <c r="Q208" i="15" s="1"/>
  <c r="O219" i="15"/>
  <c r="O222" i="15" s="1"/>
  <c r="H40" i="24"/>
  <c r="H106" i="24"/>
  <c r="H9" i="24"/>
  <c r="H15" i="24" s="1"/>
  <c r="H73" i="24"/>
  <c r="O29" i="24"/>
  <c r="O129" i="24"/>
  <c r="O128" i="24" s="1"/>
  <c r="O63" i="24"/>
  <c r="O62" i="24" s="1"/>
  <c r="O96" i="24"/>
  <c r="O95" i="24" s="1"/>
  <c r="L96" i="24"/>
  <c r="L95" i="24" s="1"/>
  <c r="L129" i="24"/>
  <c r="L128" i="24" s="1"/>
  <c r="L29" i="24"/>
  <c r="L63" i="24"/>
  <c r="L62" i="24" s="1"/>
  <c r="R175" i="15"/>
  <c r="R186" i="15" s="1"/>
  <c r="G116" i="24"/>
  <c r="G119" i="24" s="1"/>
  <c r="G20" i="24"/>
  <c r="G50" i="24"/>
  <c r="G53" i="24" s="1"/>
  <c r="G83" i="24"/>
  <c r="G86" i="24" s="1"/>
  <c r="L20" i="24"/>
  <c r="L83" i="24"/>
  <c r="L86" i="24" s="1"/>
  <c r="L116" i="24"/>
  <c r="L119" i="24" s="1"/>
  <c r="L50" i="24"/>
  <c r="L53" i="24" s="1"/>
  <c r="G89" i="24"/>
  <c r="G94" i="24" s="1"/>
  <c r="G28" i="24"/>
  <c r="G56" i="24"/>
  <c r="G61" i="24" s="1"/>
  <c r="G122" i="24"/>
  <c r="G127" i="24" s="1"/>
  <c r="F73" i="24"/>
  <c r="F106" i="24"/>
  <c r="F9" i="24"/>
  <c r="F40" i="24"/>
  <c r="K50" i="24"/>
  <c r="K53" i="24" s="1"/>
  <c r="K83" i="24"/>
  <c r="K86" i="24" s="1"/>
  <c r="K20" i="24"/>
  <c r="K116" i="24"/>
  <c r="K119" i="24" s="1"/>
  <c r="K202" i="15"/>
  <c r="K208" i="15" s="1"/>
  <c r="H83" i="24"/>
  <c r="H86" i="24" s="1"/>
  <c r="H20" i="24"/>
  <c r="H116" i="24"/>
  <c r="H119" i="24" s="1"/>
  <c r="H50" i="24"/>
  <c r="H53" i="24" s="1"/>
  <c r="N116" i="24"/>
  <c r="N119" i="24" s="1"/>
  <c r="N20" i="24"/>
  <c r="N50" i="24"/>
  <c r="N53" i="24" s="1"/>
  <c r="N83" i="24"/>
  <c r="N86" i="24" s="1"/>
  <c r="B208" i="15"/>
  <c r="B219" i="15" s="1"/>
  <c r="B222" i="15" s="1"/>
  <c r="O106" i="24"/>
  <c r="O40" i="24"/>
  <c r="O73" i="24"/>
  <c r="O9" i="24"/>
  <c r="O15" i="24" s="1"/>
  <c r="I186" i="15"/>
  <c r="I189" i="15" s="1"/>
  <c r="C34" i="18"/>
  <c r="C39" i="18"/>
  <c r="J73" i="24"/>
  <c r="J40" i="24"/>
  <c r="J106" i="24"/>
  <c r="J9" i="24"/>
  <c r="D175" i="15"/>
  <c r="D186" i="15" s="1"/>
  <c r="D189" i="15" s="1"/>
  <c r="C20" i="24"/>
  <c r="R215" i="15"/>
  <c r="S215" i="15" s="1"/>
  <c r="S210" i="15"/>
  <c r="Q29" i="24"/>
  <c r="Q96" i="24"/>
  <c r="Q95" i="24" s="1"/>
  <c r="Q63" i="24"/>
  <c r="Q62" i="24" s="1"/>
  <c r="Q129" i="24"/>
  <c r="Q128" i="24" s="1"/>
  <c r="E186" i="15"/>
  <c r="E189" i="15" s="1"/>
  <c r="R26" i="24"/>
  <c r="B9" i="24"/>
  <c r="B15" i="24" s="1"/>
  <c r="R7" i="24"/>
  <c r="Q73" i="24"/>
  <c r="Q9" i="24"/>
  <c r="Q15" i="24" s="1"/>
  <c r="Q106" i="24"/>
  <c r="Q40" i="24"/>
  <c r="N175" i="15"/>
  <c r="N186" i="15" s="1"/>
  <c r="N189" i="15" s="1"/>
  <c r="D20" i="24"/>
  <c r="D116" i="24"/>
  <c r="D119" i="24" s="1"/>
  <c r="D50" i="24"/>
  <c r="D53" i="24" s="1"/>
  <c r="D83" i="24"/>
  <c r="D86" i="24" s="1"/>
  <c r="P63" i="24"/>
  <c r="P62" i="24" s="1"/>
  <c r="P129" i="24"/>
  <c r="P128" i="24" s="1"/>
  <c r="P96" i="24"/>
  <c r="P95" i="24" s="1"/>
  <c r="P29" i="24"/>
  <c r="O175" i="15"/>
  <c r="O186" i="15" s="1"/>
  <c r="G106" i="24"/>
  <c r="G73" i="24"/>
  <c r="G9" i="24"/>
  <c r="G15" i="24" s="1"/>
  <c r="G40" i="24"/>
  <c r="F208" i="15"/>
  <c r="F219" i="15" s="1"/>
  <c r="R11" i="24"/>
  <c r="E208" i="15"/>
  <c r="I63" i="24"/>
  <c r="I62" i="24" s="1"/>
  <c r="I29" i="24"/>
  <c r="I129" i="24"/>
  <c r="I128" i="24" s="1"/>
  <c r="I96" i="24"/>
  <c r="I95" i="24" s="1"/>
  <c r="R24" i="24"/>
  <c r="J29" i="24"/>
  <c r="J129" i="24"/>
  <c r="J128" i="24" s="1"/>
  <c r="J96" i="24"/>
  <c r="J95" i="24" s="1"/>
  <c r="J63" i="24"/>
  <c r="J62" i="24" s="1"/>
  <c r="I202" i="15"/>
  <c r="I208" i="15" s="1"/>
  <c r="R30" i="24"/>
  <c r="B29" i="24"/>
  <c r="R25" i="24"/>
  <c r="Q154" i="24"/>
  <c r="Q175" i="15"/>
  <c r="Q186" i="15" s="1"/>
  <c r="M122" i="24"/>
  <c r="M127" i="24" s="1"/>
  <c r="M56" i="24"/>
  <c r="M61" i="24" s="1"/>
  <c r="M28" i="24"/>
  <c r="M89" i="24"/>
  <c r="M94" i="24" s="1"/>
  <c r="D202" i="15"/>
  <c r="D208" i="15" s="1"/>
  <c r="R27" i="24"/>
  <c r="P106" i="24"/>
  <c r="P40" i="24"/>
  <c r="P9" i="24"/>
  <c r="P73" i="24"/>
  <c r="D56" i="24"/>
  <c r="D61" i="24" s="1"/>
  <c r="D122" i="24"/>
  <c r="D127" i="24" s="1"/>
  <c r="D89" i="24"/>
  <c r="D94" i="24" s="1"/>
  <c r="D28" i="24"/>
  <c r="C9" i="24"/>
  <c r="C15" i="24" s="1"/>
  <c r="R8" i="24"/>
  <c r="Q158" i="24"/>
  <c r="G29" i="24"/>
  <c r="G129" i="24"/>
  <c r="G128" i="24" s="1"/>
  <c r="G63" i="24"/>
  <c r="G62" i="24" s="1"/>
  <c r="G96" i="24"/>
  <c r="G95" i="24" s="1"/>
  <c r="D40" i="24"/>
  <c r="D73" i="24"/>
  <c r="D9" i="24"/>
  <c r="D15" i="24" s="1"/>
  <c r="D106" i="24"/>
  <c r="J122" i="24"/>
  <c r="J127" i="24" s="1"/>
  <c r="J56" i="24"/>
  <c r="J61" i="24" s="1"/>
  <c r="J89" i="24"/>
  <c r="J94" i="24" s="1"/>
  <c r="J28" i="24"/>
  <c r="N89" i="24"/>
  <c r="N94" i="24" s="1"/>
  <c r="N56" i="24"/>
  <c r="N61" i="24" s="1"/>
  <c r="N28" i="24"/>
  <c r="N122" i="24"/>
  <c r="N127" i="24" s="1"/>
  <c r="R10" i="24"/>
  <c r="F122" i="24"/>
  <c r="F127" i="24" s="1"/>
  <c r="F56" i="24"/>
  <c r="F61" i="24" s="1"/>
  <c r="F89" i="24"/>
  <c r="F94" i="24" s="1"/>
  <c r="F28" i="24"/>
  <c r="N106" i="24"/>
  <c r="N9" i="24"/>
  <c r="N40" i="24"/>
  <c r="N73" i="24"/>
  <c r="P28" i="24"/>
  <c r="P89" i="24"/>
  <c r="P94" i="24" s="1"/>
  <c r="P56" i="24"/>
  <c r="P61" i="24" s="1"/>
  <c r="P122" i="24"/>
  <c r="P127" i="24" s="1"/>
  <c r="S194" i="15"/>
  <c r="R196" i="15"/>
  <c r="S196" i="15" s="1"/>
  <c r="R31" i="24"/>
  <c r="I56" i="24"/>
  <c r="I61" i="24" s="1"/>
  <c r="I89" i="24"/>
  <c r="I94" i="24" s="1"/>
  <c r="I28" i="24"/>
  <c r="I122" i="24"/>
  <c r="I127" i="24" s="1"/>
  <c r="R13" i="24"/>
  <c r="K56" i="24"/>
  <c r="K61" i="24" s="1"/>
  <c r="K28" i="24"/>
  <c r="K122" i="24"/>
  <c r="K127" i="24" s="1"/>
  <c r="K89" i="24"/>
  <c r="K94" i="24" s="1"/>
  <c r="R12" i="24"/>
  <c r="I83" i="24"/>
  <c r="I86" i="24" s="1"/>
  <c r="I20" i="24"/>
  <c r="I50" i="24"/>
  <c r="I53" i="24" s="1"/>
  <c r="I116" i="24"/>
  <c r="I119" i="24" s="1"/>
  <c r="R17" i="24"/>
  <c r="B20" i="24"/>
  <c r="M106" i="24"/>
  <c r="M73" i="24"/>
  <c r="M9" i="24"/>
  <c r="M40" i="24"/>
  <c r="R33" i="24"/>
  <c r="B28" i="24"/>
  <c r="R23" i="24"/>
  <c r="S217" i="15"/>
  <c r="R216" i="15"/>
  <c r="S216" i="15" s="1"/>
  <c r="L208" i="15"/>
  <c r="L219" i="15" s="1"/>
  <c r="O83" i="24"/>
  <c r="O86" i="24" s="1"/>
  <c r="O50" i="24"/>
  <c r="O53" i="24" s="1"/>
  <c r="O116" i="24"/>
  <c r="O119" i="24" s="1"/>
  <c r="O20" i="24"/>
  <c r="R19" i="24"/>
  <c r="N129" i="24"/>
  <c r="N128" i="24" s="1"/>
  <c r="N29" i="24"/>
  <c r="N96" i="24"/>
  <c r="N95" i="24" s="1"/>
  <c r="N63" i="24"/>
  <c r="N62" i="24" s="1"/>
  <c r="E28" i="24"/>
  <c r="E122" i="24"/>
  <c r="E127" i="24" s="1"/>
  <c r="E89" i="24"/>
  <c r="E94" i="24" s="1"/>
  <c r="E56" i="24"/>
  <c r="E61" i="24" s="1"/>
  <c r="M63" i="24"/>
  <c r="M62" i="24" s="1"/>
  <c r="M129" i="24"/>
  <c r="M128" i="24" s="1"/>
  <c r="M29" i="24"/>
  <c r="M96" i="24"/>
  <c r="M95" i="24" s="1"/>
  <c r="M189" i="15"/>
  <c r="R18" i="24"/>
  <c r="L28" i="24"/>
  <c r="L122" i="24"/>
  <c r="L127" i="24" s="1"/>
  <c r="L56" i="24"/>
  <c r="L61" i="24" s="1"/>
  <c r="L89" i="24"/>
  <c r="L94" i="24" s="1"/>
  <c r="E20" i="24"/>
  <c r="E83" i="24"/>
  <c r="E86" i="24" s="1"/>
  <c r="E50" i="24"/>
  <c r="E53" i="24" s="1"/>
  <c r="E116" i="24"/>
  <c r="E119" i="24" s="1"/>
  <c r="J20" i="24"/>
  <c r="J50" i="24"/>
  <c r="J53" i="24" s="1"/>
  <c r="J83" i="24"/>
  <c r="J86" i="24" s="1"/>
  <c r="J116" i="24"/>
  <c r="J119" i="24" s="1"/>
  <c r="K63" i="24"/>
  <c r="K62" i="24" s="1"/>
  <c r="K129" i="24"/>
  <c r="K128" i="24" s="1"/>
  <c r="K96" i="24"/>
  <c r="K95" i="24" s="1"/>
  <c r="K29" i="24"/>
  <c r="R207" i="15"/>
  <c r="S207" i="15" s="1"/>
  <c r="S204" i="15"/>
  <c r="P175" i="15"/>
  <c r="P186" i="15" s="1"/>
  <c r="R34" i="24"/>
  <c r="Q149" i="24"/>
  <c r="G202" i="15"/>
  <c r="C28" i="24"/>
  <c r="H63" i="24"/>
  <c r="H62" i="24" s="1"/>
  <c r="H129" i="24"/>
  <c r="H128" i="24" s="1"/>
  <c r="H96" i="24"/>
  <c r="H95" i="24" s="1"/>
  <c r="H29" i="24"/>
  <c r="E129" i="24"/>
  <c r="E128" i="24" s="1"/>
  <c r="E63" i="24"/>
  <c r="E62" i="24" s="1"/>
  <c r="E29" i="24"/>
  <c r="E96" i="24"/>
  <c r="E95" i="24" s="1"/>
  <c r="B39" i="18"/>
  <c r="B52" i="18" s="1"/>
  <c r="I9" i="24"/>
  <c r="I73" i="24"/>
  <c r="I106" i="24"/>
  <c r="I40" i="24"/>
  <c r="P20" i="24"/>
  <c r="P116" i="24"/>
  <c r="P119" i="24" s="1"/>
  <c r="P50" i="24"/>
  <c r="P53" i="24" s="1"/>
  <c r="P83" i="24"/>
  <c r="P86" i="24" s="1"/>
  <c r="E9" i="24"/>
  <c r="E15" i="24" s="1"/>
  <c r="E40" i="24"/>
  <c r="E106" i="24"/>
  <c r="E73" i="24"/>
  <c r="O28" i="24"/>
  <c r="O89" i="24"/>
  <c r="O94" i="24" s="1"/>
  <c r="O56" i="24"/>
  <c r="O61" i="24" s="1"/>
  <c r="O122" i="24"/>
  <c r="O127" i="24" s="1"/>
  <c r="M83" i="24"/>
  <c r="M86" i="24" s="1"/>
  <c r="M116" i="24"/>
  <c r="M119" i="24" s="1"/>
  <c r="M20" i="24"/>
  <c r="M50" i="24"/>
  <c r="M53" i="24" s="1"/>
  <c r="F29" i="24"/>
  <c r="F63" i="24"/>
  <c r="F62" i="24" s="1"/>
  <c r="F129" i="24"/>
  <c r="F128" i="24" s="1"/>
  <c r="F96" i="24"/>
  <c r="F95" i="24" s="1"/>
  <c r="G21" i="24" l="1"/>
  <c r="D139" i="24"/>
  <c r="N139" i="24"/>
  <c r="F160" i="24"/>
  <c r="F139" i="24"/>
  <c r="C21" i="24"/>
  <c r="H159" i="24"/>
  <c r="O151" i="24"/>
  <c r="B21" i="24"/>
  <c r="M159" i="24"/>
  <c r="L149" i="24"/>
  <c r="D25" i="18"/>
  <c r="L106" i="20" s="1"/>
  <c r="D106" i="20" s="1"/>
  <c r="D63" i="21" s="1"/>
  <c r="Q189" i="15"/>
  <c r="H25" i="20"/>
  <c r="H6" i="21" s="1"/>
  <c r="E159" i="24"/>
  <c r="P160" i="24"/>
  <c r="Q21" i="24"/>
  <c r="Q32" i="24" s="1"/>
  <c r="Q35" i="24" s="1"/>
  <c r="E21" i="24"/>
  <c r="E32" i="24" s="1"/>
  <c r="E35" i="24" s="1"/>
  <c r="N158" i="24"/>
  <c r="E219" i="15"/>
  <c r="E222" i="15" s="1"/>
  <c r="E160" i="24"/>
  <c r="K154" i="24"/>
  <c r="B32" i="24"/>
  <c r="F222" i="15"/>
  <c r="K158" i="24"/>
  <c r="J158" i="24"/>
  <c r="N151" i="24"/>
  <c r="D159" i="24"/>
  <c r="O189" i="15"/>
  <c r="G32" i="24"/>
  <c r="G35" i="24" s="1"/>
  <c r="P189" i="15"/>
  <c r="F158" i="24"/>
  <c r="Q219" i="15"/>
  <c r="Q222" i="15" s="1"/>
  <c r="L222" i="15"/>
  <c r="M160" i="24"/>
  <c r="L159" i="24"/>
  <c r="I219" i="15"/>
  <c r="I222" i="15" s="1"/>
  <c r="G75" i="24"/>
  <c r="G154" i="24"/>
  <c r="H21" i="24"/>
  <c r="H32" i="24" s="1"/>
  <c r="H35" i="24" s="1"/>
  <c r="K21" i="24"/>
  <c r="F151" i="24"/>
  <c r="H154" i="24"/>
  <c r="E25" i="20"/>
  <c r="E6" i="21" s="1"/>
  <c r="K160" i="24"/>
  <c r="R28" i="24"/>
  <c r="M15" i="24"/>
  <c r="M21" i="24" s="1"/>
  <c r="R20" i="24"/>
  <c r="I154" i="24"/>
  <c r="P154" i="24"/>
  <c r="I159" i="24"/>
  <c r="G139" i="24"/>
  <c r="I26" i="20"/>
  <c r="I7" i="21" s="1"/>
  <c r="E26" i="20"/>
  <c r="E7" i="21" s="1"/>
  <c r="G26" i="20"/>
  <c r="G7" i="21" s="1"/>
  <c r="D26" i="20"/>
  <c r="D7" i="21" s="1"/>
  <c r="J26" i="20"/>
  <c r="J7" i="21" s="1"/>
  <c r="F26" i="20"/>
  <c r="F7" i="21" s="1"/>
  <c r="C26" i="20"/>
  <c r="C7" i="21" s="1"/>
  <c r="H26" i="20"/>
  <c r="H7" i="21" s="1"/>
  <c r="C52" i="18"/>
  <c r="B26" i="18"/>
  <c r="C26" i="18"/>
  <c r="D26" i="18"/>
  <c r="B26" i="20"/>
  <c r="K149" i="24"/>
  <c r="G158" i="24"/>
  <c r="H75" i="24"/>
  <c r="H81" i="24" s="1"/>
  <c r="F149" i="24"/>
  <c r="K219" i="15"/>
  <c r="K222" i="15" s="1"/>
  <c r="L75" i="24"/>
  <c r="L81" i="24" s="1"/>
  <c r="P75" i="24"/>
  <c r="P81" i="24" s="1"/>
  <c r="H108" i="24"/>
  <c r="H114" i="24" s="1"/>
  <c r="H120" i="24" s="1"/>
  <c r="I42" i="24"/>
  <c r="I48" i="24" s="1"/>
  <c r="P158" i="24"/>
  <c r="I25" i="20"/>
  <c r="I6" i="21" s="1"/>
  <c r="E158" i="24"/>
  <c r="I151" i="24"/>
  <c r="O42" i="24"/>
  <c r="O48" i="24" s="1"/>
  <c r="H149" i="24"/>
  <c r="L42" i="24"/>
  <c r="L48" i="24" s="1"/>
  <c r="R189" i="15"/>
  <c r="B227" i="15" s="1"/>
  <c r="C227" i="15" s="1"/>
  <c r="Q75" i="24"/>
  <c r="Q81" i="24" s="1"/>
  <c r="N154" i="24"/>
  <c r="E154" i="24"/>
  <c r="N149" i="24"/>
  <c r="E108" i="24"/>
  <c r="N75" i="24"/>
  <c r="N81" i="24" s="1"/>
  <c r="G160" i="24"/>
  <c r="J159" i="24"/>
  <c r="J108" i="24"/>
  <c r="J114" i="24" s="1"/>
  <c r="J120" i="24" s="1"/>
  <c r="O21" i="24"/>
  <c r="O32" i="24" s="1"/>
  <c r="H42" i="24"/>
  <c r="F159" i="24"/>
  <c r="I75" i="24"/>
  <c r="B25" i="20"/>
  <c r="F25" i="20"/>
  <c r="F6" i="21" s="1"/>
  <c r="H160" i="24"/>
  <c r="J149" i="24"/>
  <c r="O149" i="24"/>
  <c r="M75" i="24"/>
  <c r="M81" i="24" s="1"/>
  <c r="N42" i="24"/>
  <c r="N48" i="24" s="1"/>
  <c r="J154" i="24"/>
  <c r="P15" i="24"/>
  <c r="P21" i="24" s="1"/>
  <c r="M158" i="24"/>
  <c r="R9" i="24"/>
  <c r="R15" i="24" s="1"/>
  <c r="Q160" i="24"/>
  <c r="F42" i="24"/>
  <c r="C208" i="15"/>
  <c r="C219" i="15" s="1"/>
  <c r="C222" i="15" s="1"/>
  <c r="H222" i="15"/>
  <c r="J160" i="24"/>
  <c r="L160" i="24"/>
  <c r="E75" i="24"/>
  <c r="C25" i="18"/>
  <c r="E139" i="24"/>
  <c r="M108" i="24"/>
  <c r="M114" i="24" s="1"/>
  <c r="G159" i="24"/>
  <c r="C32" i="24"/>
  <c r="C35" i="24" s="1"/>
  <c r="P139" i="24"/>
  <c r="R29" i="24"/>
  <c r="B35" i="24"/>
  <c r="J42" i="24"/>
  <c r="J48" i="24" s="1"/>
  <c r="H151" i="24"/>
  <c r="L151" i="24"/>
  <c r="L21" i="24"/>
  <c r="I160" i="24"/>
  <c r="F154" i="24"/>
  <c r="I108" i="24"/>
  <c r="I114" i="24" s="1"/>
  <c r="I120" i="24" s="1"/>
  <c r="I131" i="24" s="1"/>
  <c r="N160" i="24"/>
  <c r="D108" i="24"/>
  <c r="D114" i="24" s="1"/>
  <c r="P42" i="24"/>
  <c r="M154" i="24"/>
  <c r="Q42" i="24"/>
  <c r="Q48" i="24" s="1"/>
  <c r="O108" i="24"/>
  <c r="O114" i="24" s="1"/>
  <c r="F108" i="24"/>
  <c r="F114" i="24" s="1"/>
  <c r="F120" i="24" s="1"/>
  <c r="D219" i="15"/>
  <c r="D222" i="15" s="1"/>
  <c r="O154" i="24"/>
  <c r="L108" i="24"/>
  <c r="L114" i="24" s="1"/>
  <c r="L139" i="24"/>
  <c r="D25" i="20"/>
  <c r="D6" i="21" s="1"/>
  <c r="J25" i="20"/>
  <c r="J6" i="21" s="1"/>
  <c r="N159" i="24"/>
  <c r="N108" i="24"/>
  <c r="N114" i="24" s="1"/>
  <c r="P108" i="24"/>
  <c r="P114" i="24" s="1"/>
  <c r="P159" i="24"/>
  <c r="Q159" i="24"/>
  <c r="F15" i="24"/>
  <c r="O160" i="24"/>
  <c r="K42" i="24"/>
  <c r="K48" i="24" s="1"/>
  <c r="P151" i="24"/>
  <c r="G108" i="24"/>
  <c r="I149" i="24"/>
  <c r="E42" i="24"/>
  <c r="E48" i="24" s="1"/>
  <c r="I139" i="24"/>
  <c r="G25" i="20"/>
  <c r="G6" i="21" s="1"/>
  <c r="E149" i="24"/>
  <c r="D158" i="24"/>
  <c r="Q108" i="24"/>
  <c r="Q114" i="24" s="1"/>
  <c r="J139" i="24"/>
  <c r="O139" i="24"/>
  <c r="F75" i="24"/>
  <c r="F81" i="24" s="1"/>
  <c r="G149" i="24"/>
  <c r="K75" i="24"/>
  <c r="K81" i="24" s="1"/>
  <c r="G208" i="15"/>
  <c r="G219" i="15" s="1"/>
  <c r="M42" i="24"/>
  <c r="D149" i="24"/>
  <c r="J151" i="24"/>
  <c r="I15" i="24"/>
  <c r="K159" i="24"/>
  <c r="R202" i="15"/>
  <c r="R208" i="15" s="1"/>
  <c r="S208" i="15" s="1"/>
  <c r="G42" i="24"/>
  <c r="Q139" i="24"/>
  <c r="J15" i="24"/>
  <c r="J21" i="24" s="1"/>
  <c r="K151" i="24"/>
  <c r="G151" i="24"/>
  <c r="O159" i="24"/>
  <c r="K139" i="24"/>
  <c r="D160" i="24"/>
  <c r="L154" i="24"/>
  <c r="O158" i="24"/>
  <c r="L158" i="24"/>
  <c r="M139" i="24"/>
  <c r="D21" i="24"/>
  <c r="D32" i="24" s="1"/>
  <c r="D151" i="24"/>
  <c r="H158" i="24"/>
  <c r="O75" i="24"/>
  <c r="O81" i="24" s="1"/>
  <c r="B25" i="18"/>
  <c r="M151" i="24"/>
  <c r="M149" i="24"/>
  <c r="C25" i="20"/>
  <c r="C6" i="21" s="1"/>
  <c r="E151" i="24"/>
  <c r="I158" i="24"/>
  <c r="D75" i="24"/>
  <c r="P149" i="24"/>
  <c r="N15" i="24"/>
  <c r="N21" i="24" s="1"/>
  <c r="D42" i="24"/>
  <c r="D154" i="24"/>
  <c r="J75" i="24"/>
  <c r="H139" i="24"/>
  <c r="K108" i="24"/>
  <c r="B130" i="24" l="1"/>
  <c r="B112" i="24"/>
  <c r="B133" i="24"/>
  <c r="B107" i="24"/>
  <c r="B132" i="24"/>
  <c r="C106" i="20"/>
  <c r="C63" i="21" s="1"/>
  <c r="F106" i="20"/>
  <c r="F63" i="21" s="1"/>
  <c r="B129" i="24"/>
  <c r="B128" i="24" s="1"/>
  <c r="G106" i="20"/>
  <c r="G63" i="21" s="1"/>
  <c r="H106" i="20"/>
  <c r="H63" i="21" s="1"/>
  <c r="J106" i="20"/>
  <c r="J63" i="21" s="1"/>
  <c r="B111" i="24"/>
  <c r="I106" i="20"/>
  <c r="I63" i="21" s="1"/>
  <c r="B117" i="24"/>
  <c r="B118" i="24"/>
  <c r="B123" i="24"/>
  <c r="B113" i="24"/>
  <c r="B109" i="24"/>
  <c r="B106" i="24"/>
  <c r="L32" i="24"/>
  <c r="L35" i="24" s="1"/>
  <c r="B106" i="20"/>
  <c r="B110" i="24"/>
  <c r="G141" i="24"/>
  <c r="B126" i="24"/>
  <c r="B125" i="24"/>
  <c r="B116" i="24"/>
  <c r="B124" i="24"/>
  <c r="M141" i="24"/>
  <c r="E54" i="24"/>
  <c r="E65" i="24" s="1"/>
  <c r="E68" i="24" s="1"/>
  <c r="B122" i="24"/>
  <c r="E106" i="20"/>
  <c r="E63" i="21" s="1"/>
  <c r="H141" i="24"/>
  <c r="Q120" i="24"/>
  <c r="Q131" i="24" s="1"/>
  <c r="Q134" i="24" s="1"/>
  <c r="K54" i="24"/>
  <c r="K65" i="24" s="1"/>
  <c r="K68" i="24" s="1"/>
  <c r="F87" i="24"/>
  <c r="R21" i="24"/>
  <c r="R32" i="24" s="1"/>
  <c r="R35" i="24" s="1"/>
  <c r="I141" i="24"/>
  <c r="E141" i="24"/>
  <c r="Q147" i="24"/>
  <c r="Q141" i="24"/>
  <c r="G81" i="24"/>
  <c r="G87" i="24" s="1"/>
  <c r="O141" i="24"/>
  <c r="P48" i="24"/>
  <c r="P54" i="24" s="1"/>
  <c r="O54" i="24"/>
  <c r="O65" i="24" s="1"/>
  <c r="O68" i="24" s="1"/>
  <c r="O147" i="24"/>
  <c r="J131" i="24"/>
  <c r="J134" i="24" s="1"/>
  <c r="I54" i="24"/>
  <c r="I65" i="24" s="1"/>
  <c r="I68" i="24" s="1"/>
  <c r="M120" i="24"/>
  <c r="N54" i="24"/>
  <c r="H131" i="24"/>
  <c r="H134" i="24" s="1"/>
  <c r="F131" i="24"/>
  <c r="F134" i="24" s="1"/>
  <c r="K87" i="24"/>
  <c r="J54" i="24"/>
  <c r="J65" i="24" s="1"/>
  <c r="J68" i="24" s="1"/>
  <c r="L147" i="24"/>
  <c r="L87" i="24"/>
  <c r="L80" i="20"/>
  <c r="C85" i="24"/>
  <c r="C79" i="24"/>
  <c r="C93" i="24"/>
  <c r="C78" i="24"/>
  <c r="C77" i="24"/>
  <c r="C90" i="24"/>
  <c r="C97" i="24"/>
  <c r="C91" i="24"/>
  <c r="C76" i="24"/>
  <c r="C100" i="24"/>
  <c r="C92" i="24"/>
  <c r="C80" i="24"/>
  <c r="C74" i="24"/>
  <c r="C99" i="24"/>
  <c r="C84" i="24"/>
  <c r="C89" i="24"/>
  <c r="C83" i="24"/>
  <c r="C96" i="24"/>
  <c r="C73" i="24"/>
  <c r="D48" i="24"/>
  <c r="J32" i="24"/>
  <c r="I81" i="24"/>
  <c r="N87" i="24"/>
  <c r="N98" i="24" s="1"/>
  <c r="L54" i="24"/>
  <c r="L65" i="24" s="1"/>
  <c r="L53" i="20"/>
  <c r="E26" i="18"/>
  <c r="C41" i="24"/>
  <c r="C45" i="24"/>
  <c r="C64" i="24"/>
  <c r="C51" i="24"/>
  <c r="C58" i="24"/>
  <c r="C52" i="24"/>
  <c r="C66" i="24"/>
  <c r="C44" i="24"/>
  <c r="C67" i="24"/>
  <c r="C60" i="24"/>
  <c r="C47" i="24"/>
  <c r="C57" i="24"/>
  <c r="C59" i="24"/>
  <c r="C43" i="24"/>
  <c r="C46" i="24"/>
  <c r="C50" i="24"/>
  <c r="C56" i="24"/>
  <c r="C40" i="24"/>
  <c r="C63" i="24"/>
  <c r="D141" i="24"/>
  <c r="L79" i="20"/>
  <c r="B78" i="24"/>
  <c r="B90" i="24"/>
  <c r="B96" i="24"/>
  <c r="B74" i="24"/>
  <c r="B73" i="24"/>
  <c r="B76" i="24"/>
  <c r="B83" i="24"/>
  <c r="B100" i="24"/>
  <c r="B85" i="24"/>
  <c r="B99" i="24"/>
  <c r="B84" i="24"/>
  <c r="B80" i="24"/>
  <c r="B89" i="24"/>
  <c r="B97" i="24"/>
  <c r="B79" i="24"/>
  <c r="B77" i="24"/>
  <c r="B91" i="24"/>
  <c r="B92" i="24"/>
  <c r="B93" i="24"/>
  <c r="G114" i="24"/>
  <c r="F21" i="24"/>
  <c r="F32" i="24" s="1"/>
  <c r="B63" i="21"/>
  <c r="Q87" i="24"/>
  <c r="Q98" i="24" s="1"/>
  <c r="P87" i="24"/>
  <c r="P98" i="24" s="1"/>
  <c r="P101" i="24" s="1"/>
  <c r="H87" i="24"/>
  <c r="I21" i="24"/>
  <c r="I32" i="24" s="1"/>
  <c r="I35" i="24" s="1"/>
  <c r="K32" i="24"/>
  <c r="I134" i="24"/>
  <c r="L120" i="24"/>
  <c r="M87" i="24"/>
  <c r="O87" i="24"/>
  <c r="O98" i="24" s="1"/>
  <c r="G48" i="24"/>
  <c r="Q54" i="24"/>
  <c r="N141" i="24"/>
  <c r="E81" i="24"/>
  <c r="E87" i="24" s="1"/>
  <c r="E98" i="24" s="1"/>
  <c r="F48" i="24"/>
  <c r="F147" i="24" s="1"/>
  <c r="P32" i="24"/>
  <c r="P35" i="24" s="1"/>
  <c r="E114" i="24"/>
  <c r="E120" i="24" s="1"/>
  <c r="M48" i="24"/>
  <c r="M54" i="24" s="1"/>
  <c r="P141" i="24"/>
  <c r="J81" i="24"/>
  <c r="J147" i="24" s="1"/>
  <c r="L141" i="24"/>
  <c r="O120" i="24"/>
  <c r="O131" i="24" s="1"/>
  <c r="F141" i="24"/>
  <c r="H48" i="24"/>
  <c r="H147" i="24" s="1"/>
  <c r="G222" i="15"/>
  <c r="B229" i="15" s="1"/>
  <c r="C229" i="15" s="1"/>
  <c r="B6" i="21"/>
  <c r="K25" i="20"/>
  <c r="D120" i="24"/>
  <c r="J141" i="24"/>
  <c r="K26" i="20"/>
  <c r="B7" i="21"/>
  <c r="N147" i="24"/>
  <c r="N32" i="24"/>
  <c r="N35" i="24" s="1"/>
  <c r="K141" i="24"/>
  <c r="S202" i="15"/>
  <c r="R219" i="15"/>
  <c r="S219" i="15" s="1"/>
  <c r="O35" i="24"/>
  <c r="D35" i="24"/>
  <c r="M32" i="24"/>
  <c r="M35" i="24" s="1"/>
  <c r="L52" i="20"/>
  <c r="E25" i="18"/>
  <c r="B41" i="24"/>
  <c r="B66" i="24"/>
  <c r="B60" i="24"/>
  <c r="B50" i="24"/>
  <c r="B40" i="24"/>
  <c r="B63" i="24"/>
  <c r="B43" i="24"/>
  <c r="B46" i="24"/>
  <c r="B64" i="24"/>
  <c r="B47" i="24"/>
  <c r="B44" i="24"/>
  <c r="B57" i="24"/>
  <c r="B45" i="24"/>
  <c r="B52" i="24"/>
  <c r="B56" i="24"/>
  <c r="B51" i="24"/>
  <c r="B67" i="24"/>
  <c r="B58" i="24"/>
  <c r="B59" i="24"/>
  <c r="N120" i="24"/>
  <c r="N131" i="24" s="1"/>
  <c r="K114" i="24"/>
  <c r="K120" i="24" s="1"/>
  <c r="K131" i="24" s="1"/>
  <c r="D81" i="24"/>
  <c r="D87" i="24" s="1"/>
  <c r="D98" i="24" s="1"/>
  <c r="P120" i="24"/>
  <c r="L107" i="20"/>
  <c r="C109" i="24"/>
  <c r="C132" i="24"/>
  <c r="R132" i="24" s="1"/>
  <c r="C117" i="24"/>
  <c r="C112" i="24"/>
  <c r="R112" i="24" s="1"/>
  <c r="C126" i="24"/>
  <c r="C118" i="24"/>
  <c r="C130" i="24"/>
  <c r="C107" i="24"/>
  <c r="C111" i="24"/>
  <c r="C110" i="24"/>
  <c r="C125" i="24"/>
  <c r="C133" i="24"/>
  <c r="C113" i="24"/>
  <c r="C124" i="24"/>
  <c r="C123" i="24"/>
  <c r="C122" i="24"/>
  <c r="C106" i="24"/>
  <c r="C129" i="24"/>
  <c r="R129" i="24" s="1"/>
  <c r="C116" i="24"/>
  <c r="R110" i="24" l="1"/>
  <c r="B108" i="24"/>
  <c r="B114" i="24" s="1"/>
  <c r="R118" i="24"/>
  <c r="P147" i="24"/>
  <c r="R111" i="24"/>
  <c r="R106" i="24"/>
  <c r="R117" i="24"/>
  <c r="K106" i="20"/>
  <c r="B119" i="24"/>
  <c r="R123" i="24"/>
  <c r="R113" i="24"/>
  <c r="B127" i="24"/>
  <c r="R109" i="24"/>
  <c r="F54" i="24"/>
  <c r="F65" i="24" s="1"/>
  <c r="P152" i="24"/>
  <c r="C86" i="24"/>
  <c r="F98" i="24"/>
  <c r="F101" i="24" s="1"/>
  <c r="L98" i="24"/>
  <c r="L101" i="24" s="1"/>
  <c r="K98" i="24"/>
  <c r="K101" i="24" s="1"/>
  <c r="G98" i="24"/>
  <c r="G101" i="24" s="1"/>
  <c r="I87" i="24"/>
  <c r="I98" i="24" s="1"/>
  <c r="I162" i="24" s="1"/>
  <c r="M98" i="24"/>
  <c r="M101" i="24" s="1"/>
  <c r="C150" i="24"/>
  <c r="K147" i="24"/>
  <c r="O162" i="24"/>
  <c r="C95" i="24"/>
  <c r="C161" i="24"/>
  <c r="P131" i="24"/>
  <c r="P134" i="24" s="1"/>
  <c r="I147" i="24"/>
  <c r="C144" i="24"/>
  <c r="N101" i="24"/>
  <c r="P65" i="24"/>
  <c r="P68" i="24" s="1"/>
  <c r="M147" i="24"/>
  <c r="C128" i="24"/>
  <c r="C142" i="24"/>
  <c r="N152" i="24"/>
  <c r="C155" i="24"/>
  <c r="M65" i="24"/>
  <c r="M68" i="24" s="1"/>
  <c r="M152" i="24"/>
  <c r="K152" i="24"/>
  <c r="G120" i="24"/>
  <c r="C80" i="20"/>
  <c r="C45" i="21" s="1"/>
  <c r="B80" i="20"/>
  <c r="F80" i="20"/>
  <c r="F45" i="21" s="1"/>
  <c r="H80" i="20"/>
  <c r="H45" i="21" s="1"/>
  <c r="E80" i="20"/>
  <c r="E45" i="21" s="1"/>
  <c r="D80" i="20"/>
  <c r="D45" i="21" s="1"/>
  <c r="G80" i="20"/>
  <c r="G45" i="21" s="1"/>
  <c r="I80" i="20"/>
  <c r="I45" i="21" s="1"/>
  <c r="J80" i="20"/>
  <c r="J45" i="21" s="1"/>
  <c r="O152" i="24"/>
  <c r="R59" i="24"/>
  <c r="B42" i="24"/>
  <c r="R40" i="24"/>
  <c r="B139" i="24"/>
  <c r="K7" i="21"/>
  <c r="Q101" i="24"/>
  <c r="G147" i="24"/>
  <c r="G54" i="24"/>
  <c r="G65" i="24" s="1"/>
  <c r="R84" i="24"/>
  <c r="C62" i="24"/>
  <c r="C160" i="24"/>
  <c r="C156" i="24"/>
  <c r="O101" i="24"/>
  <c r="H98" i="24"/>
  <c r="H101" i="24" s="1"/>
  <c r="R50" i="24"/>
  <c r="B53" i="24"/>
  <c r="B149" i="24"/>
  <c r="R60" i="24"/>
  <c r="B157" i="24"/>
  <c r="R66" i="24"/>
  <c r="B163" i="24"/>
  <c r="O134" i="24"/>
  <c r="E152" i="24"/>
  <c r="J87" i="24"/>
  <c r="J152" i="24" s="1"/>
  <c r="R83" i="24"/>
  <c r="B86" i="24"/>
  <c r="C145" i="24"/>
  <c r="C140" i="24"/>
  <c r="D147" i="24"/>
  <c r="L68" i="24"/>
  <c r="R80" i="24"/>
  <c r="C42" i="24"/>
  <c r="C139" i="24"/>
  <c r="C61" i="24"/>
  <c r="C154" i="24"/>
  <c r="R100" i="24"/>
  <c r="L152" i="24"/>
  <c r="K63" i="21"/>
  <c r="R76" i="24"/>
  <c r="R45" i="24"/>
  <c r="B144" i="24"/>
  <c r="F52" i="20"/>
  <c r="F25" i="21" s="1"/>
  <c r="K52" i="20"/>
  <c r="E52" i="20"/>
  <c r="E25" i="21" s="1"/>
  <c r="H52" i="20"/>
  <c r="H25" i="21" s="1"/>
  <c r="J52" i="20"/>
  <c r="J25" i="21" s="1"/>
  <c r="D52" i="20"/>
  <c r="D25" i="21" s="1"/>
  <c r="G52" i="20"/>
  <c r="G25" i="21" s="1"/>
  <c r="I52" i="20"/>
  <c r="I25" i="21" s="1"/>
  <c r="B52" i="20"/>
  <c r="B25" i="21" s="1"/>
  <c r="C52" i="20"/>
  <c r="C25" i="21" s="1"/>
  <c r="J35" i="24"/>
  <c r="R222" i="15"/>
  <c r="S222" i="15" s="1"/>
  <c r="E131" i="24"/>
  <c r="E134" i="24" s="1"/>
  <c r="D131" i="24"/>
  <c r="D134" i="24" s="1"/>
  <c r="R93" i="24"/>
  <c r="R73" i="24"/>
  <c r="B75" i="24"/>
  <c r="C53" i="20"/>
  <c r="C26" i="21" s="1"/>
  <c r="I53" i="20"/>
  <c r="I26" i="21" s="1"/>
  <c r="B53" i="20"/>
  <c r="B26" i="21" s="1"/>
  <c r="E53" i="20"/>
  <c r="E26" i="21" s="1"/>
  <c r="G53" i="20"/>
  <c r="G26" i="21" s="1"/>
  <c r="D53" i="20"/>
  <c r="D26" i="21" s="1"/>
  <c r="J53" i="20"/>
  <c r="J26" i="21" s="1"/>
  <c r="F53" i="20"/>
  <c r="F26" i="21" s="1"/>
  <c r="K53" i="20"/>
  <c r="H53" i="20"/>
  <c r="H26" i="21" s="1"/>
  <c r="N65" i="24"/>
  <c r="N162" i="24" s="1"/>
  <c r="R58" i="24"/>
  <c r="B156" i="24"/>
  <c r="H54" i="24"/>
  <c r="H152" i="24" s="1"/>
  <c r="R57" i="24"/>
  <c r="B155" i="24"/>
  <c r="R133" i="24"/>
  <c r="E101" i="24"/>
  <c r="E147" i="24"/>
  <c r="R92" i="24"/>
  <c r="R74" i="24"/>
  <c r="R130" i="24"/>
  <c r="R128" i="24" s="1"/>
  <c r="R51" i="24"/>
  <c r="D101" i="24"/>
  <c r="K162" i="24"/>
  <c r="K35" i="24"/>
  <c r="N134" i="24"/>
  <c r="R91" i="24"/>
  <c r="B95" i="24"/>
  <c r="R96" i="24"/>
  <c r="C146" i="24"/>
  <c r="C75" i="24"/>
  <c r="C81" i="24" s="1"/>
  <c r="M131" i="24"/>
  <c r="M134" i="24" s="1"/>
  <c r="I107" i="20"/>
  <c r="I64" i="21" s="1"/>
  <c r="B107" i="20"/>
  <c r="F107" i="20"/>
  <c r="F64" i="21" s="1"/>
  <c r="D107" i="20"/>
  <c r="D64" i="21" s="1"/>
  <c r="E107" i="20"/>
  <c r="E64" i="21" s="1"/>
  <c r="H107" i="20"/>
  <c r="H64" i="21" s="1"/>
  <c r="J107" i="20"/>
  <c r="J64" i="21" s="1"/>
  <c r="C107" i="20"/>
  <c r="C64" i="21" s="1"/>
  <c r="G107" i="20"/>
  <c r="G64" i="21" s="1"/>
  <c r="C119" i="24"/>
  <c r="R116" i="24"/>
  <c r="R77" i="24"/>
  <c r="R90" i="24"/>
  <c r="C157" i="24"/>
  <c r="R63" i="24"/>
  <c r="B62" i="24"/>
  <c r="B160" i="24"/>
  <c r="R125" i="24"/>
  <c r="B61" i="24"/>
  <c r="R56" i="24"/>
  <c r="B154" i="24"/>
  <c r="R52" i="24"/>
  <c r="B150" i="24"/>
  <c r="R44" i="24"/>
  <c r="B143" i="24"/>
  <c r="R47" i="24"/>
  <c r="B146" i="24"/>
  <c r="K6" i="21"/>
  <c r="B7" i="23" a="1"/>
  <c r="B12" i="23" a="1"/>
  <c r="B23" i="23" a="1"/>
  <c r="B34" i="23" a="1"/>
  <c r="B30" i="23" a="1"/>
  <c r="B19" i="23" a="1"/>
  <c r="B10" i="23" a="1"/>
  <c r="B11" i="23" a="1"/>
  <c r="B24" i="23" a="1"/>
  <c r="B26" i="23" a="1"/>
  <c r="B13" i="23" a="1"/>
  <c r="B17" i="23" a="1"/>
  <c r="B33" i="23" a="1"/>
  <c r="B25" i="23" a="1"/>
  <c r="B27" i="23" a="1"/>
  <c r="B31" i="23" a="1"/>
  <c r="B18" i="23" a="1"/>
  <c r="B14" i="23" a="1"/>
  <c r="B8" i="23" a="1"/>
  <c r="Q65" i="24"/>
  <c r="Q162" i="24" s="1"/>
  <c r="Q152" i="24"/>
  <c r="F35" i="24"/>
  <c r="R79" i="24"/>
  <c r="R78" i="24"/>
  <c r="C164" i="24"/>
  <c r="R67" i="24"/>
  <c r="B164" i="24"/>
  <c r="C53" i="24"/>
  <c r="C149" i="24"/>
  <c r="R41" i="24"/>
  <c r="B140" i="24"/>
  <c r="R64" i="24"/>
  <c r="B161" i="24"/>
  <c r="D79" i="20"/>
  <c r="D44" i="21" s="1"/>
  <c r="F79" i="20"/>
  <c r="F44" i="21" s="1"/>
  <c r="C79" i="20"/>
  <c r="C44" i="21" s="1"/>
  <c r="H79" i="20"/>
  <c r="H44" i="21" s="1"/>
  <c r="J79" i="20"/>
  <c r="J44" i="21" s="1"/>
  <c r="I79" i="20"/>
  <c r="I44" i="21" s="1"/>
  <c r="G79" i="20"/>
  <c r="G44" i="21" s="1"/>
  <c r="E79" i="20"/>
  <c r="E44" i="21" s="1"/>
  <c r="B79" i="20"/>
  <c r="C94" i="24"/>
  <c r="L131" i="24"/>
  <c r="R124" i="24"/>
  <c r="R99" i="24"/>
  <c r="R85" i="24"/>
  <c r="K134" i="24"/>
  <c r="R126" i="24"/>
  <c r="R107" i="24"/>
  <c r="C108" i="24"/>
  <c r="C114" i="24" s="1"/>
  <c r="C127" i="24"/>
  <c r="R122" i="24"/>
  <c r="R46" i="24"/>
  <c r="B145" i="24"/>
  <c r="R97" i="24"/>
  <c r="C143" i="24"/>
  <c r="R43" i="24"/>
  <c r="B142" i="24"/>
  <c r="D54" i="24"/>
  <c r="I152" i="24"/>
  <c r="R89" i="24"/>
  <c r="B94" i="24"/>
  <c r="C163" i="24"/>
  <c r="R119" i="24" l="1"/>
  <c r="B120" i="24"/>
  <c r="R142" i="24"/>
  <c r="F68" i="24"/>
  <c r="F152" i="24"/>
  <c r="L162" i="24"/>
  <c r="F162" i="24"/>
  <c r="B131" i="24"/>
  <c r="B134" i="24" s="1"/>
  <c r="R146" i="24"/>
  <c r="O165" i="24"/>
  <c r="B50" i="23" a="1"/>
  <c r="J50" i="23" s="1"/>
  <c r="I101" i="24"/>
  <c r="I165" i="24" s="1"/>
  <c r="R143" i="24"/>
  <c r="P165" i="24"/>
  <c r="R94" i="24"/>
  <c r="M162" i="24"/>
  <c r="B151" i="24"/>
  <c r="E162" i="24"/>
  <c r="E165" i="24"/>
  <c r="B45" i="23" a="1"/>
  <c r="J45" i="23" s="1"/>
  <c r="P162" i="24"/>
  <c r="C159" i="24"/>
  <c r="K165" i="24"/>
  <c r="R155" i="24"/>
  <c r="C151" i="24"/>
  <c r="R163" i="24"/>
  <c r="B63" i="23" a="1"/>
  <c r="B63" i="23" s="1"/>
  <c r="R164" i="24"/>
  <c r="C87" i="24"/>
  <c r="C98" i="24" s="1"/>
  <c r="C101" i="24" s="1"/>
  <c r="B81" i="24"/>
  <c r="B87" i="24" s="1"/>
  <c r="R140" i="24"/>
  <c r="R145" i="24"/>
  <c r="R127" i="24"/>
  <c r="M165" i="24"/>
  <c r="R42" i="24"/>
  <c r="R139" i="24"/>
  <c r="B45" i="21"/>
  <c r="K80" i="20"/>
  <c r="B46" i="23" a="1"/>
  <c r="J31" i="23"/>
  <c r="I31" i="23"/>
  <c r="H31" i="23"/>
  <c r="B31" i="23"/>
  <c r="C31" i="23"/>
  <c r="E31" i="23"/>
  <c r="G31" i="23"/>
  <c r="D31" i="23"/>
  <c r="F31" i="23"/>
  <c r="F12" i="23"/>
  <c r="C12" i="23"/>
  <c r="G12" i="23"/>
  <c r="I12" i="23"/>
  <c r="B12" i="23"/>
  <c r="H12" i="23"/>
  <c r="D12" i="23"/>
  <c r="J12" i="23"/>
  <c r="E12" i="23"/>
  <c r="B56" i="23" a="1"/>
  <c r="N68" i="24"/>
  <c r="N165" i="24" s="1"/>
  <c r="B141" i="24"/>
  <c r="B66" i="23" a="1"/>
  <c r="H33" i="23"/>
  <c r="B33" i="23"/>
  <c r="E33" i="23"/>
  <c r="I33" i="23"/>
  <c r="D33" i="23"/>
  <c r="C33" i="23"/>
  <c r="G33" i="23"/>
  <c r="F33" i="23"/>
  <c r="J33" i="23"/>
  <c r="B17" i="23"/>
  <c r="H17" i="23"/>
  <c r="I17" i="23"/>
  <c r="C17" i="23"/>
  <c r="F17" i="23"/>
  <c r="D17" i="23"/>
  <c r="E17" i="23"/>
  <c r="J17" i="23"/>
  <c r="G17" i="23"/>
  <c r="H65" i="24"/>
  <c r="R157" i="24"/>
  <c r="G152" i="24"/>
  <c r="B59" i="23" a="1"/>
  <c r="I18" i="23"/>
  <c r="I18" i="25" s="1"/>
  <c r="F18" i="23"/>
  <c r="F18" i="25" s="1"/>
  <c r="E18" i="23"/>
  <c r="E18" i="25" s="1"/>
  <c r="G18" i="23"/>
  <c r="G18" i="25" s="1"/>
  <c r="B18" i="23"/>
  <c r="D18" i="23"/>
  <c r="D18" i="25" s="1"/>
  <c r="H18" i="23"/>
  <c r="H18" i="25" s="1"/>
  <c r="C18" i="23"/>
  <c r="C18" i="25" s="1"/>
  <c r="J18" i="23"/>
  <c r="J18" i="25" s="1"/>
  <c r="I27" i="23"/>
  <c r="D27" i="23"/>
  <c r="G27" i="23"/>
  <c r="F27" i="23"/>
  <c r="C27" i="23"/>
  <c r="B27" i="23"/>
  <c r="J27" i="23"/>
  <c r="E27" i="23"/>
  <c r="H27" i="23"/>
  <c r="R61" i="24"/>
  <c r="R154" i="24"/>
  <c r="R75" i="24"/>
  <c r="R81" i="24" s="1"/>
  <c r="G25" i="23"/>
  <c r="H25" i="23"/>
  <c r="E25" i="23"/>
  <c r="F25" i="23"/>
  <c r="B25" i="23"/>
  <c r="I25" i="23"/>
  <c r="J25" i="23"/>
  <c r="C25" i="23"/>
  <c r="D25" i="23"/>
  <c r="B40" i="23" a="1"/>
  <c r="B60" i="23" a="1"/>
  <c r="L134" i="24"/>
  <c r="L165" i="24" s="1"/>
  <c r="R161" i="24"/>
  <c r="H26" i="23"/>
  <c r="H26" i="25" s="1"/>
  <c r="J26" i="23"/>
  <c r="J26" i="25" s="1"/>
  <c r="G26" i="23"/>
  <c r="G26" i="25" s="1"/>
  <c r="F26" i="23"/>
  <c r="F26" i="25" s="1"/>
  <c r="B26" i="23"/>
  <c r="D26" i="23"/>
  <c r="D26" i="25" s="1"/>
  <c r="E26" i="23"/>
  <c r="E26" i="25" s="1"/>
  <c r="I26" i="23"/>
  <c r="I26" i="25" s="1"/>
  <c r="C26" i="23"/>
  <c r="C26" i="25" s="1"/>
  <c r="B47" i="23" a="1"/>
  <c r="B159" i="24"/>
  <c r="B51" i="23" a="1"/>
  <c r="B57" i="23" a="1"/>
  <c r="C48" i="24"/>
  <c r="C147" i="24" s="1"/>
  <c r="C158" i="24"/>
  <c r="J13" i="23"/>
  <c r="E13" i="23"/>
  <c r="F13" i="23"/>
  <c r="B13" i="23"/>
  <c r="C13" i="23"/>
  <c r="I13" i="23"/>
  <c r="H13" i="23"/>
  <c r="G13" i="23"/>
  <c r="D13" i="23"/>
  <c r="C120" i="24"/>
  <c r="C131" i="24" s="1"/>
  <c r="C134" i="24" s="1"/>
  <c r="B64" i="23" a="1"/>
  <c r="G24" i="23"/>
  <c r="C24" i="23"/>
  <c r="E24" i="23"/>
  <c r="D24" i="23"/>
  <c r="B24" i="23"/>
  <c r="J24" i="23"/>
  <c r="F24" i="23"/>
  <c r="I24" i="23"/>
  <c r="H24" i="23"/>
  <c r="R62" i="24"/>
  <c r="R160" i="24"/>
  <c r="R95" i="24"/>
  <c r="R144" i="24"/>
  <c r="R86" i="24"/>
  <c r="C7" i="23"/>
  <c r="B7" i="23"/>
  <c r="I7" i="23"/>
  <c r="F7" i="23"/>
  <c r="H7" i="23"/>
  <c r="E7" i="23"/>
  <c r="J7" i="23"/>
  <c r="D7" i="23"/>
  <c r="G7" i="23"/>
  <c r="G11" i="23"/>
  <c r="I11" i="23"/>
  <c r="C11" i="23"/>
  <c r="F11" i="23"/>
  <c r="D11" i="23"/>
  <c r="H11" i="23"/>
  <c r="E11" i="23"/>
  <c r="J11" i="23"/>
  <c r="B11" i="23"/>
  <c r="K26" i="21"/>
  <c r="C141" i="24"/>
  <c r="R53" i="24"/>
  <c r="R149" i="24"/>
  <c r="H23" i="23"/>
  <c r="J23" i="23"/>
  <c r="G23" i="23"/>
  <c r="F23" i="23"/>
  <c r="B23" i="23"/>
  <c r="I23" i="23"/>
  <c r="C23" i="23"/>
  <c r="E23" i="23"/>
  <c r="D23" i="23"/>
  <c r="B158" i="24"/>
  <c r="J10" i="23"/>
  <c r="E10" i="23"/>
  <c r="G10" i="23"/>
  <c r="B10" i="23"/>
  <c r="C10" i="23"/>
  <c r="H10" i="23"/>
  <c r="I10" i="23"/>
  <c r="F10" i="23"/>
  <c r="D10" i="23"/>
  <c r="B44" i="23" a="1"/>
  <c r="B43" i="23" a="1"/>
  <c r="F165" i="24"/>
  <c r="K6" i="34" a="1"/>
  <c r="J98" i="24"/>
  <c r="J162" i="24" s="1"/>
  <c r="B67" i="23" a="1"/>
  <c r="H19" i="23"/>
  <c r="E19" i="23"/>
  <c r="J19" i="23"/>
  <c r="C19" i="23"/>
  <c r="D19" i="23"/>
  <c r="B19" i="23"/>
  <c r="F19" i="23"/>
  <c r="I19" i="23"/>
  <c r="G19" i="23"/>
  <c r="G68" i="24"/>
  <c r="G131" i="24"/>
  <c r="G162" i="24" s="1"/>
  <c r="H8" i="23"/>
  <c r="D8" i="23"/>
  <c r="C8" i="23"/>
  <c r="J8" i="23"/>
  <c r="B8" i="23"/>
  <c r="G8" i="23"/>
  <c r="F8" i="23"/>
  <c r="E8" i="23"/>
  <c r="I8" i="23"/>
  <c r="R150" i="24"/>
  <c r="R156" i="24"/>
  <c r="K25" i="21"/>
  <c r="R108" i="24"/>
  <c r="R114" i="24" s="1"/>
  <c r="Q68" i="24"/>
  <c r="Q165" i="24" s="1"/>
  <c r="D152" i="24"/>
  <c r="D65" i="24"/>
  <c r="D162" i="24" s="1"/>
  <c r="K79" i="20"/>
  <c r="B44" i="21"/>
  <c r="B41" i="23" a="1"/>
  <c r="H30" i="23"/>
  <c r="D30" i="23"/>
  <c r="I30" i="23"/>
  <c r="E30" i="23"/>
  <c r="G30" i="23"/>
  <c r="J30" i="23"/>
  <c r="C30" i="23"/>
  <c r="B30" i="23"/>
  <c r="F30" i="23"/>
  <c r="J14" i="23"/>
  <c r="H14" i="23"/>
  <c r="I14" i="23"/>
  <c r="B14" i="23"/>
  <c r="E14" i="23"/>
  <c r="D14" i="23"/>
  <c r="F14" i="23"/>
  <c r="C14" i="23"/>
  <c r="G14" i="23"/>
  <c r="H34" i="23"/>
  <c r="B34" i="23"/>
  <c r="G34" i="23"/>
  <c r="D34" i="23"/>
  <c r="E34" i="23"/>
  <c r="F34" i="23"/>
  <c r="J34" i="23"/>
  <c r="C34" i="23"/>
  <c r="I34" i="23"/>
  <c r="B52" i="23" a="1"/>
  <c r="B64" i="21"/>
  <c r="K107" i="20"/>
  <c r="B58" i="23" a="1"/>
  <c r="B48" i="24"/>
  <c r="B50" i="23" l="1"/>
  <c r="C50" i="23"/>
  <c r="H50" i="23"/>
  <c r="T50" i="25" s="1"/>
  <c r="R158" i="24"/>
  <c r="I50" i="23"/>
  <c r="U50" i="25" s="1"/>
  <c r="F50" i="23"/>
  <c r="F50" i="25" s="1"/>
  <c r="G50" i="23"/>
  <c r="S50" i="25" s="1"/>
  <c r="D50" i="23"/>
  <c r="P50" i="25" s="1"/>
  <c r="E45" i="23"/>
  <c r="E45" i="25" s="1"/>
  <c r="B45" i="23"/>
  <c r="B45" i="25" s="1"/>
  <c r="I45" i="23"/>
  <c r="I45" i="25" s="1"/>
  <c r="F45" i="23"/>
  <c r="R45" i="25" s="1"/>
  <c r="E50" i="23"/>
  <c r="E50" i="25" s="1"/>
  <c r="G45" i="23"/>
  <c r="S45" i="25" s="1"/>
  <c r="H45" i="23"/>
  <c r="H45" i="25" s="1"/>
  <c r="B98" i="24"/>
  <c r="B101" i="24" s="1"/>
  <c r="D45" i="23"/>
  <c r="R87" i="24"/>
  <c r="R141" i="24"/>
  <c r="C45" i="23"/>
  <c r="O45" i="25" s="1"/>
  <c r="C63" i="23"/>
  <c r="O63" i="25" s="1"/>
  <c r="F63" i="23"/>
  <c r="F63" i="25" s="1"/>
  <c r="D63" i="23"/>
  <c r="D63" i="25" s="1"/>
  <c r="J63" i="23"/>
  <c r="J63" i="25" s="1"/>
  <c r="R159" i="24"/>
  <c r="E63" i="23"/>
  <c r="E63" i="25" s="1"/>
  <c r="H63" i="23"/>
  <c r="T63" i="25" s="1"/>
  <c r="I63" i="23"/>
  <c r="I63" i="25" s="1"/>
  <c r="R151" i="24"/>
  <c r="G63" i="23"/>
  <c r="G63" i="25" s="1"/>
  <c r="D68" i="24"/>
  <c r="D165" i="24" s="1"/>
  <c r="G134" i="24"/>
  <c r="K66" i="34" s="1" a="1"/>
  <c r="C54" i="24"/>
  <c r="C152" i="24" s="1"/>
  <c r="J9" i="23"/>
  <c r="J7" i="25"/>
  <c r="G13" i="25"/>
  <c r="E9" i="23"/>
  <c r="E7" i="25"/>
  <c r="F34" i="25"/>
  <c r="H9" i="23"/>
  <c r="H7" i="25"/>
  <c r="I8" i="25"/>
  <c r="J11" i="25"/>
  <c r="I34" i="25"/>
  <c r="K14" i="23"/>
  <c r="B14" i="25"/>
  <c r="I41" i="23"/>
  <c r="F41" i="23"/>
  <c r="G41" i="23"/>
  <c r="H41" i="23"/>
  <c r="B41" i="23"/>
  <c r="E41" i="23"/>
  <c r="D41" i="23"/>
  <c r="J41" i="23"/>
  <c r="C41" i="23"/>
  <c r="D28" i="23"/>
  <c r="D23" i="25"/>
  <c r="D9" i="23"/>
  <c r="D7" i="25"/>
  <c r="D13" i="25"/>
  <c r="G57" i="23"/>
  <c r="I57" i="23"/>
  <c r="J57" i="23"/>
  <c r="D57" i="23"/>
  <c r="H57" i="23"/>
  <c r="B57" i="23"/>
  <c r="E57" i="23"/>
  <c r="F57" i="23"/>
  <c r="C57" i="23"/>
  <c r="F25" i="25"/>
  <c r="J27" i="25"/>
  <c r="H17" i="25"/>
  <c r="H20" i="23"/>
  <c r="F12" i="25"/>
  <c r="E28" i="23"/>
  <c r="E23" i="25"/>
  <c r="V45" i="25"/>
  <c r="J45" i="25"/>
  <c r="H14" i="25"/>
  <c r="I19" i="25"/>
  <c r="H25" i="25"/>
  <c r="J33" i="25"/>
  <c r="F29" i="23"/>
  <c r="F30" i="25"/>
  <c r="E8" i="25"/>
  <c r="D19" i="25"/>
  <c r="K9" i="34"/>
  <c r="K16" i="34"/>
  <c r="K6" i="34"/>
  <c r="K11" i="34"/>
  <c r="K15" i="34"/>
  <c r="K20" i="34"/>
  <c r="K18" i="34"/>
  <c r="K21" i="34"/>
  <c r="K8" i="34"/>
  <c r="K7" i="34"/>
  <c r="K12" i="34"/>
  <c r="K17" i="34"/>
  <c r="K14" i="34"/>
  <c r="K13" i="34"/>
  <c r="K10" i="34"/>
  <c r="K19" i="34"/>
  <c r="H10" i="25"/>
  <c r="F28" i="23"/>
  <c r="F23" i="25"/>
  <c r="E11" i="25"/>
  <c r="I9" i="23"/>
  <c r="I7" i="25"/>
  <c r="F24" i="25"/>
  <c r="B13" i="25"/>
  <c r="K13" i="23"/>
  <c r="R98" i="24"/>
  <c r="R101" i="24" s="1"/>
  <c r="D27" i="25"/>
  <c r="H162" i="24"/>
  <c r="H68" i="24"/>
  <c r="H165" i="24" s="1"/>
  <c r="G33" i="25"/>
  <c r="G56" i="23"/>
  <c r="J56" i="23"/>
  <c r="D56" i="23"/>
  <c r="B56" i="23"/>
  <c r="H56" i="23"/>
  <c r="F56" i="23"/>
  <c r="I56" i="23"/>
  <c r="C56" i="23"/>
  <c r="E56" i="23"/>
  <c r="C31" i="25"/>
  <c r="H50" i="25"/>
  <c r="K34" i="23"/>
  <c r="B34" i="25"/>
  <c r="C29" i="23"/>
  <c r="C30" i="25"/>
  <c r="G8" i="25"/>
  <c r="J19" i="25"/>
  <c r="C43" i="23"/>
  <c r="F43" i="23"/>
  <c r="I43" i="23"/>
  <c r="G43" i="23"/>
  <c r="H43" i="23"/>
  <c r="J43" i="23"/>
  <c r="E43" i="23"/>
  <c r="B43" i="23"/>
  <c r="D43" i="23"/>
  <c r="K10" i="23"/>
  <c r="B10" i="25"/>
  <c r="J23" i="25"/>
  <c r="J28" i="23"/>
  <c r="D11" i="25"/>
  <c r="C9" i="23"/>
  <c r="C7" i="25"/>
  <c r="K24" i="23"/>
  <c r="B24" i="25"/>
  <c r="E13" i="25"/>
  <c r="G20" i="23"/>
  <c r="G17" i="25"/>
  <c r="D33" i="25"/>
  <c r="J12" i="25"/>
  <c r="H31" i="25"/>
  <c r="B63" i="25"/>
  <c r="N63" i="25"/>
  <c r="K44" i="21"/>
  <c r="B80" i="23" a="1"/>
  <c r="B90" i="23" a="1"/>
  <c r="B78" i="23" a="1"/>
  <c r="B73" i="23" a="1"/>
  <c r="B91" i="23" a="1"/>
  <c r="B99" i="23" a="1"/>
  <c r="B85" i="23" a="1"/>
  <c r="B89" i="23" a="1"/>
  <c r="B76" i="23" a="1"/>
  <c r="B74" i="23" a="1"/>
  <c r="B96" i="23" a="1"/>
  <c r="B97" i="23" a="1"/>
  <c r="B83" i="23" a="1"/>
  <c r="B100" i="23" a="1"/>
  <c r="B79" i="23" a="1"/>
  <c r="B77" i="23" a="1"/>
  <c r="B93" i="23" a="1"/>
  <c r="B84" i="23" a="1"/>
  <c r="B92" i="23" a="1"/>
  <c r="E34" i="25"/>
  <c r="C13" i="25"/>
  <c r="F8" i="25"/>
  <c r="C19" i="25"/>
  <c r="E12" i="25"/>
  <c r="B147" i="24"/>
  <c r="B54" i="24"/>
  <c r="B65" i="24" s="1"/>
  <c r="H34" i="25"/>
  <c r="J29" i="23"/>
  <c r="J30" i="25"/>
  <c r="K8" i="23"/>
  <c r="B8" i="25"/>
  <c r="E19" i="25"/>
  <c r="G10" i="25"/>
  <c r="H28" i="23"/>
  <c r="H23" i="25"/>
  <c r="F11" i="25"/>
  <c r="D24" i="25"/>
  <c r="J13" i="25"/>
  <c r="I40" i="23"/>
  <c r="C40" i="23"/>
  <c r="B40" i="23"/>
  <c r="D40" i="23"/>
  <c r="G40" i="23"/>
  <c r="E40" i="23"/>
  <c r="F40" i="23"/>
  <c r="H40" i="23"/>
  <c r="J40" i="23"/>
  <c r="J17" i="25"/>
  <c r="J20" i="23"/>
  <c r="I33" i="25"/>
  <c r="D12" i="25"/>
  <c r="I31" i="25"/>
  <c r="K27" i="23"/>
  <c r="B27" i="25"/>
  <c r="B20" i="23"/>
  <c r="B17" i="25"/>
  <c r="K17" i="23"/>
  <c r="H59" i="23"/>
  <c r="H59" i="25" s="1"/>
  <c r="D59" i="23"/>
  <c r="D59" i="25" s="1"/>
  <c r="C59" i="23"/>
  <c r="C59" i="25" s="1"/>
  <c r="B59" i="23"/>
  <c r="I59" i="23"/>
  <c r="I59" i="25" s="1"/>
  <c r="J59" i="23"/>
  <c r="J59" i="25" s="1"/>
  <c r="E59" i="23"/>
  <c r="E59" i="25" s="1"/>
  <c r="F59" i="23"/>
  <c r="F59" i="25" s="1"/>
  <c r="G59" i="23"/>
  <c r="G59" i="25" s="1"/>
  <c r="B47" i="23"/>
  <c r="H47" i="23"/>
  <c r="G47" i="23"/>
  <c r="F47" i="23"/>
  <c r="E47" i="23"/>
  <c r="C47" i="23"/>
  <c r="D47" i="23"/>
  <c r="I47" i="23"/>
  <c r="J47" i="23"/>
  <c r="G27" i="25"/>
  <c r="K31" i="23"/>
  <c r="E137" i="23" s="1"/>
  <c r="E7" i="26" s="1"/>
  <c r="B31" i="25"/>
  <c r="G14" i="25"/>
  <c r="G29" i="23"/>
  <c r="G30" i="25"/>
  <c r="J8" i="25"/>
  <c r="H19" i="25"/>
  <c r="E10" i="25"/>
  <c r="C11" i="25"/>
  <c r="E24" i="25"/>
  <c r="K26" i="23"/>
  <c r="B26" i="25"/>
  <c r="D25" i="25"/>
  <c r="E20" i="23"/>
  <c r="E17" i="25"/>
  <c r="E33" i="25"/>
  <c r="H12" i="25"/>
  <c r="J31" i="25"/>
  <c r="V50" i="25"/>
  <c r="J50" i="25"/>
  <c r="D10" i="25"/>
  <c r="J14" i="25"/>
  <c r="F10" i="25"/>
  <c r="I28" i="23"/>
  <c r="I23" i="25"/>
  <c r="B11" i="25"/>
  <c r="K11" i="23"/>
  <c r="H24" i="25"/>
  <c r="I13" i="25"/>
  <c r="F27" i="25"/>
  <c r="R48" i="24"/>
  <c r="R147" i="24" s="1"/>
  <c r="K30" i="23"/>
  <c r="B29" i="23"/>
  <c r="B30" i="25"/>
  <c r="C10" i="25"/>
  <c r="G28" i="23"/>
  <c r="G23" i="25"/>
  <c r="H11" i="25"/>
  <c r="G58" i="23"/>
  <c r="E58" i="23"/>
  <c r="I58" i="23"/>
  <c r="J58" i="23"/>
  <c r="B58" i="23"/>
  <c r="H58" i="23"/>
  <c r="C58" i="23"/>
  <c r="F58" i="23"/>
  <c r="D58" i="23"/>
  <c r="C14" i="25"/>
  <c r="E29" i="23"/>
  <c r="E30" i="25"/>
  <c r="R120" i="24"/>
  <c r="R131" i="24" s="1"/>
  <c r="C8" i="25"/>
  <c r="J101" i="24"/>
  <c r="J165" i="24" s="1"/>
  <c r="J10" i="25"/>
  <c r="I11" i="25"/>
  <c r="C24" i="25"/>
  <c r="C25" i="25"/>
  <c r="D17" i="25"/>
  <c r="D20" i="25" s="1"/>
  <c r="D20" i="23"/>
  <c r="K33" i="23"/>
  <c r="B33" i="25"/>
  <c r="B12" i="25"/>
  <c r="K12" i="23"/>
  <c r="P63" i="25"/>
  <c r="I14" i="25"/>
  <c r="G19" i="25"/>
  <c r="D51" i="23"/>
  <c r="D51" i="25" s="1"/>
  <c r="E51" i="23"/>
  <c r="E51" i="25" s="1"/>
  <c r="C51" i="23"/>
  <c r="C51" i="25" s="1"/>
  <c r="I51" i="23"/>
  <c r="I51" i="25" s="1"/>
  <c r="F51" i="23"/>
  <c r="F51" i="25" s="1"/>
  <c r="H51" i="23"/>
  <c r="H51" i="25" s="1"/>
  <c r="G51" i="23"/>
  <c r="G51" i="25" s="1"/>
  <c r="J51" i="23"/>
  <c r="J51" i="25" s="1"/>
  <c r="B51" i="23"/>
  <c r="E25" i="25"/>
  <c r="F31" i="25"/>
  <c r="J34" i="25"/>
  <c r="I24" i="25"/>
  <c r="F13" i="25"/>
  <c r="C33" i="25"/>
  <c r="N50" i="25"/>
  <c r="B50" i="25"/>
  <c r="G11" i="25"/>
  <c r="G24" i="25"/>
  <c r="J25" i="25"/>
  <c r="B18" i="25"/>
  <c r="K18" i="23"/>
  <c r="F20" i="23"/>
  <c r="F17" i="25"/>
  <c r="H33" i="25"/>
  <c r="I12" i="25"/>
  <c r="D46" i="23"/>
  <c r="E46" i="23"/>
  <c r="F46" i="23"/>
  <c r="C46" i="23"/>
  <c r="H46" i="23"/>
  <c r="J46" i="23"/>
  <c r="G46" i="23"/>
  <c r="I46" i="23"/>
  <c r="B46" i="23"/>
  <c r="P45" i="25"/>
  <c r="D45" i="25"/>
  <c r="C28" i="23"/>
  <c r="C23" i="25"/>
  <c r="C27" i="25"/>
  <c r="F19" i="25"/>
  <c r="K19" i="23"/>
  <c r="B19" i="25"/>
  <c r="F33" i="25"/>
  <c r="E31" i="25"/>
  <c r="B9" i="23"/>
  <c r="B15" i="23" s="1"/>
  <c r="K7" i="23"/>
  <c r="B7" i="25"/>
  <c r="I27" i="25"/>
  <c r="F14" i="25"/>
  <c r="I29" i="23"/>
  <c r="I30" i="25"/>
  <c r="D8" i="25"/>
  <c r="B64" i="23"/>
  <c r="B62" i="23" s="1"/>
  <c r="B62" i="25" s="1"/>
  <c r="C64" i="23"/>
  <c r="G64" i="23"/>
  <c r="J64" i="23"/>
  <c r="D64" i="23"/>
  <c r="I64" i="23"/>
  <c r="E64" i="23"/>
  <c r="H64" i="23"/>
  <c r="F64" i="23"/>
  <c r="I25" i="25"/>
  <c r="H27" i="25"/>
  <c r="C20" i="23"/>
  <c r="C17" i="25"/>
  <c r="C66" i="23"/>
  <c r="H66" i="23"/>
  <c r="J66" i="23"/>
  <c r="G66" i="23"/>
  <c r="F66" i="23"/>
  <c r="B66" i="23"/>
  <c r="E66" i="23"/>
  <c r="D66" i="23"/>
  <c r="I66" i="23"/>
  <c r="G12" i="25"/>
  <c r="C34" i="25"/>
  <c r="E44" i="23"/>
  <c r="H44" i="23"/>
  <c r="I44" i="23"/>
  <c r="D44" i="23"/>
  <c r="F44" i="23"/>
  <c r="G44" i="23"/>
  <c r="B44" i="23"/>
  <c r="J44" i="23"/>
  <c r="C44" i="23"/>
  <c r="H13" i="25"/>
  <c r="D31" i="25"/>
  <c r="C60" i="23"/>
  <c r="G60" i="23"/>
  <c r="H60" i="23"/>
  <c r="J60" i="23"/>
  <c r="I60" i="23"/>
  <c r="F60" i="23"/>
  <c r="E60" i="23"/>
  <c r="B60" i="23"/>
  <c r="D60" i="23"/>
  <c r="G25" i="25"/>
  <c r="G31" i="25"/>
  <c r="I10" i="25"/>
  <c r="B28" i="23"/>
  <c r="B23" i="25"/>
  <c r="K23" i="23"/>
  <c r="F9" i="23"/>
  <c r="F7" i="25"/>
  <c r="D34" i="25"/>
  <c r="G34" i="25"/>
  <c r="J24" i="25"/>
  <c r="H67" i="23"/>
  <c r="C67" i="23"/>
  <c r="G67" i="23"/>
  <c r="I67" i="23"/>
  <c r="B67" i="23"/>
  <c r="J67" i="23"/>
  <c r="F67" i="23"/>
  <c r="E67" i="23"/>
  <c r="D67" i="23"/>
  <c r="K64" i="21"/>
  <c r="B123" i="23" a="1"/>
  <c r="B106" i="23" a="1"/>
  <c r="B109" i="23" a="1"/>
  <c r="B113" i="23" a="1"/>
  <c r="B111" i="23" a="1"/>
  <c r="B132" i="23" a="1"/>
  <c r="B118" i="23" a="1"/>
  <c r="B117" i="23" a="1"/>
  <c r="B112" i="23" a="1"/>
  <c r="B125" i="23" a="1"/>
  <c r="B129" i="23" a="1"/>
  <c r="B133" i="23" a="1"/>
  <c r="B110" i="23" a="1"/>
  <c r="B107" i="23" a="1"/>
  <c r="B124" i="23" a="1"/>
  <c r="B116" i="23" a="1"/>
  <c r="B130" i="23" a="1"/>
  <c r="B122" i="23" a="1"/>
  <c r="B126" i="23" a="1"/>
  <c r="D14" i="25"/>
  <c r="D29" i="23"/>
  <c r="D30" i="25"/>
  <c r="H8" i="25"/>
  <c r="H52" i="23"/>
  <c r="I52" i="23"/>
  <c r="F52" i="23"/>
  <c r="C52" i="23"/>
  <c r="D52" i="23"/>
  <c r="E52" i="23"/>
  <c r="J52" i="23"/>
  <c r="G52" i="23"/>
  <c r="B52" i="23"/>
  <c r="E14" i="25"/>
  <c r="H29" i="23"/>
  <c r="H30" i="25"/>
  <c r="G7" i="25"/>
  <c r="G9" i="23"/>
  <c r="K25" i="23"/>
  <c r="B25" i="25"/>
  <c r="E27" i="25"/>
  <c r="I20" i="23"/>
  <c r="I17" i="25"/>
  <c r="C12" i="25"/>
  <c r="K45" i="21"/>
  <c r="O50" i="25"/>
  <c r="C50" i="25"/>
  <c r="G50" i="25" l="1"/>
  <c r="N45" i="25"/>
  <c r="Q45" i="25"/>
  <c r="D62" i="23"/>
  <c r="D62" i="25" s="1"/>
  <c r="R63" i="25"/>
  <c r="I50" i="25"/>
  <c r="J62" i="23"/>
  <c r="J62" i="25" s="1"/>
  <c r="F45" i="25"/>
  <c r="D50" i="25"/>
  <c r="K50" i="23"/>
  <c r="V63" i="25"/>
  <c r="R50" i="25"/>
  <c r="Q50" i="25"/>
  <c r="G45" i="25"/>
  <c r="Q63" i="25"/>
  <c r="F53" i="23"/>
  <c r="F53" i="25" s="1"/>
  <c r="T45" i="25"/>
  <c r="U45" i="25"/>
  <c r="K45" i="23"/>
  <c r="C63" i="25"/>
  <c r="B162" i="24"/>
  <c r="S63" i="25"/>
  <c r="B21" i="23"/>
  <c r="B32" i="23" s="1"/>
  <c r="C45" i="25"/>
  <c r="K46" i="34" a="1"/>
  <c r="K54" i="34" s="1"/>
  <c r="K63" i="23"/>
  <c r="J20" i="25"/>
  <c r="C20" i="25"/>
  <c r="H62" i="23"/>
  <c r="H62" i="25" s="1"/>
  <c r="G15" i="23"/>
  <c r="G21" i="23" s="1"/>
  <c r="G32" i="23" s="1"/>
  <c r="G35" i="23" s="1"/>
  <c r="G12" i="26" s="1"/>
  <c r="H63" i="25"/>
  <c r="U63" i="25"/>
  <c r="F20" i="25"/>
  <c r="J137" i="23"/>
  <c r="J7" i="26" s="1"/>
  <c r="I62" i="23"/>
  <c r="I62" i="25" s="1"/>
  <c r="K77" i="34"/>
  <c r="E77" i="34" s="1"/>
  <c r="E77" i="36" s="1"/>
  <c r="K79" i="34"/>
  <c r="G79" i="34" s="1"/>
  <c r="G79" i="36" s="1"/>
  <c r="K76" i="34"/>
  <c r="H76" i="34" s="1"/>
  <c r="H76" i="36" s="1"/>
  <c r="K73" i="34"/>
  <c r="C73" i="34" s="1"/>
  <c r="C73" i="36" s="1"/>
  <c r="K72" i="34"/>
  <c r="G72" i="34" s="1"/>
  <c r="G72" i="36" s="1"/>
  <c r="K74" i="34"/>
  <c r="B74" i="34" s="1"/>
  <c r="B74" i="36" s="1"/>
  <c r="K80" i="34"/>
  <c r="G80" i="34" s="1"/>
  <c r="G80" i="36" s="1"/>
  <c r="K70" i="34"/>
  <c r="B70" i="34" s="1"/>
  <c r="B70" i="36" s="1"/>
  <c r="K71" i="34"/>
  <c r="C71" i="34" s="1"/>
  <c r="C71" i="36" s="1"/>
  <c r="K67" i="34"/>
  <c r="B67" i="34" s="1"/>
  <c r="B67" i="36" s="1"/>
  <c r="K66" i="34"/>
  <c r="G66" i="34" s="1"/>
  <c r="K69" i="34"/>
  <c r="K78" i="34"/>
  <c r="G78" i="34" s="1"/>
  <c r="G78" i="36" s="1"/>
  <c r="K81" i="34"/>
  <c r="B81" i="34" s="1"/>
  <c r="B81" i="36" s="1"/>
  <c r="K75" i="34"/>
  <c r="C75" i="34" s="1"/>
  <c r="C75" i="36" s="1"/>
  <c r="K68" i="34"/>
  <c r="B68" i="34" s="1"/>
  <c r="B68" i="36" s="1"/>
  <c r="G165" i="24"/>
  <c r="G20" i="25"/>
  <c r="H53" i="23"/>
  <c r="H53" i="25" s="1"/>
  <c r="G28" i="25"/>
  <c r="E20" i="25"/>
  <c r="I53" i="23"/>
  <c r="I53" i="25" s="1"/>
  <c r="B28" i="25"/>
  <c r="C65" i="24"/>
  <c r="E96" i="23"/>
  <c r="C96" i="23"/>
  <c r="I96" i="23"/>
  <c r="J96" i="23"/>
  <c r="H96" i="23"/>
  <c r="G96" i="23"/>
  <c r="D96" i="23"/>
  <c r="F96" i="23"/>
  <c r="B96" i="23"/>
  <c r="K27" i="25"/>
  <c r="L27" i="23"/>
  <c r="K57" i="23"/>
  <c r="N57" i="25"/>
  <c r="B57" i="25"/>
  <c r="I52" i="25"/>
  <c r="U52" i="25"/>
  <c r="U53" i="25" s="1"/>
  <c r="G9" i="25"/>
  <c r="G15" i="25" s="1"/>
  <c r="E52" i="25"/>
  <c r="Q52" i="25"/>
  <c r="I122" i="23"/>
  <c r="D122" i="23"/>
  <c r="B122" i="23"/>
  <c r="G122" i="23"/>
  <c r="F122" i="23"/>
  <c r="H122" i="23"/>
  <c r="J122" i="23"/>
  <c r="E122" i="23"/>
  <c r="C122" i="23"/>
  <c r="E113" i="23"/>
  <c r="E113" i="25" s="1"/>
  <c r="D113" i="23"/>
  <c r="D113" i="25" s="1"/>
  <c r="G113" i="23"/>
  <c r="G113" i="25" s="1"/>
  <c r="F113" i="23"/>
  <c r="F113" i="25" s="1"/>
  <c r="H113" i="23"/>
  <c r="H113" i="25" s="1"/>
  <c r="J113" i="23"/>
  <c r="J113" i="25" s="1"/>
  <c r="B113" i="23"/>
  <c r="C113" i="23"/>
  <c r="C113" i="25" s="1"/>
  <c r="I113" i="23"/>
  <c r="I113" i="25" s="1"/>
  <c r="O67" i="25"/>
  <c r="C67" i="25"/>
  <c r="K60" i="23"/>
  <c r="B60" i="25"/>
  <c r="N60" i="25"/>
  <c r="J44" i="25"/>
  <c r="V44" i="25"/>
  <c r="O66" i="25"/>
  <c r="C66" i="25"/>
  <c r="G64" i="25"/>
  <c r="S64" i="25"/>
  <c r="R134" i="24"/>
  <c r="E58" i="25"/>
  <c r="Q58" i="25"/>
  <c r="K47" i="23"/>
  <c r="N47" i="25"/>
  <c r="B47" i="25"/>
  <c r="O40" i="25"/>
  <c r="C42" i="23"/>
  <c r="C48" i="23" s="1"/>
  <c r="C40" i="25"/>
  <c r="C97" i="23"/>
  <c r="C97" i="25" s="1"/>
  <c r="E97" i="23"/>
  <c r="E97" i="25" s="1"/>
  <c r="F97" i="23"/>
  <c r="F97" i="25" s="1"/>
  <c r="G97" i="23"/>
  <c r="G97" i="25" s="1"/>
  <c r="J97" i="23"/>
  <c r="H97" i="23"/>
  <c r="H97" i="25" s="1"/>
  <c r="B97" i="23"/>
  <c r="D97" i="23"/>
  <c r="I97" i="23"/>
  <c r="I97" i="25" s="1"/>
  <c r="V43" i="25"/>
  <c r="J43" i="25"/>
  <c r="N56" i="25"/>
  <c r="B61" i="23"/>
  <c r="B61" i="25" s="1"/>
  <c r="K56" i="23"/>
  <c r="B56" i="25"/>
  <c r="I11" i="34"/>
  <c r="H11" i="34"/>
  <c r="C11" i="34"/>
  <c r="D11" i="34"/>
  <c r="F11" i="34"/>
  <c r="E11" i="34"/>
  <c r="J11" i="34"/>
  <c r="B11" i="34"/>
  <c r="K11" i="36"/>
  <c r="G11" i="34"/>
  <c r="C57" i="25"/>
  <c r="O57" i="25"/>
  <c r="S41" i="25"/>
  <c r="G41" i="25"/>
  <c r="H9" i="25"/>
  <c r="K22" i="34"/>
  <c r="K6" i="36"/>
  <c r="H6" i="34"/>
  <c r="G6" i="34"/>
  <c r="E6" i="34"/>
  <c r="C6" i="34"/>
  <c r="F6" i="34"/>
  <c r="I6" i="34"/>
  <c r="J6" i="34"/>
  <c r="D6" i="34"/>
  <c r="B6" i="34"/>
  <c r="R57" i="25"/>
  <c r="F57" i="25"/>
  <c r="R41" i="25"/>
  <c r="F41" i="25"/>
  <c r="H15" i="23"/>
  <c r="K44" i="23"/>
  <c r="B44" i="25"/>
  <c r="N44" i="25"/>
  <c r="C52" i="25"/>
  <c r="O52" i="25"/>
  <c r="O53" i="25" s="1"/>
  <c r="R60" i="25"/>
  <c r="F60" i="25"/>
  <c r="C123" i="23"/>
  <c r="C123" i="25" s="1"/>
  <c r="B123" i="23"/>
  <c r="D123" i="23"/>
  <c r="D123" i="25" s="1"/>
  <c r="E123" i="23"/>
  <c r="E123" i="25" s="1"/>
  <c r="J123" i="23"/>
  <c r="J123" i="25" s="1"/>
  <c r="F123" i="23"/>
  <c r="F123" i="25" s="1"/>
  <c r="H123" i="23"/>
  <c r="H123" i="25" s="1"/>
  <c r="G123" i="23"/>
  <c r="G123" i="25" s="1"/>
  <c r="I123" i="23"/>
  <c r="I123" i="25" s="1"/>
  <c r="J9" i="25"/>
  <c r="T52" i="25"/>
  <c r="T53" i="25" s="1"/>
  <c r="H52" i="25"/>
  <c r="D110" i="23"/>
  <c r="D110" i="25" s="1"/>
  <c r="E110" i="23"/>
  <c r="E110" i="25" s="1"/>
  <c r="H110" i="23"/>
  <c r="H110" i="25" s="1"/>
  <c r="G110" i="23"/>
  <c r="G110" i="25" s="1"/>
  <c r="B110" i="23"/>
  <c r="C110" i="23"/>
  <c r="C110" i="25" s="1"/>
  <c r="J110" i="23"/>
  <c r="J110" i="25" s="1"/>
  <c r="F110" i="23"/>
  <c r="F110" i="25" s="1"/>
  <c r="I110" i="23"/>
  <c r="I110" i="25" s="1"/>
  <c r="H60" i="25"/>
  <c r="T60" i="25"/>
  <c r="U44" i="25"/>
  <c r="I44" i="25"/>
  <c r="C28" i="25"/>
  <c r="J46" i="25"/>
  <c r="V46" i="25"/>
  <c r="J53" i="23"/>
  <c r="J53" i="25" s="1"/>
  <c r="E53" i="23"/>
  <c r="E53" i="25" s="1"/>
  <c r="I85" i="23"/>
  <c r="E85" i="23"/>
  <c r="E85" i="25" s="1"/>
  <c r="G85" i="23"/>
  <c r="C85" i="23"/>
  <c r="C85" i="25" s="1"/>
  <c r="B85" i="23"/>
  <c r="F85" i="23"/>
  <c r="D85" i="23"/>
  <c r="D85" i="25" s="1"/>
  <c r="J85" i="23"/>
  <c r="H85" i="23"/>
  <c r="H85" i="25" s="1"/>
  <c r="C43" i="25"/>
  <c r="O43" i="25"/>
  <c r="H14" i="34"/>
  <c r="E14" i="34"/>
  <c r="D14" i="34"/>
  <c r="J14" i="34"/>
  <c r="G14" i="34"/>
  <c r="C14" i="34"/>
  <c r="F14" i="34"/>
  <c r="I14" i="34"/>
  <c r="B14" i="34"/>
  <c r="K14" i="36"/>
  <c r="P57" i="25"/>
  <c r="D57" i="25"/>
  <c r="D28" i="25"/>
  <c r="K14" i="25"/>
  <c r="L14" i="23"/>
  <c r="O64" i="25"/>
  <c r="C64" i="25"/>
  <c r="B51" i="25"/>
  <c r="K51" i="23"/>
  <c r="I42" i="23"/>
  <c r="I40" i="25"/>
  <c r="U40" i="25"/>
  <c r="H43" i="25"/>
  <c r="T43" i="25"/>
  <c r="K64" i="23"/>
  <c r="N64" i="25"/>
  <c r="B64" i="25"/>
  <c r="B74" i="23"/>
  <c r="E74" i="23"/>
  <c r="G74" i="23"/>
  <c r="G74" i="25" s="1"/>
  <c r="H74" i="23"/>
  <c r="F74" i="23"/>
  <c r="C74" i="23"/>
  <c r="I74" i="23"/>
  <c r="I74" i="25" s="1"/>
  <c r="D74" i="23"/>
  <c r="J74" i="23"/>
  <c r="E57" i="25"/>
  <c r="Q57" i="25"/>
  <c r="D81" i="34"/>
  <c r="D81" i="36" s="1"/>
  <c r="U60" i="25"/>
  <c r="I60" i="25"/>
  <c r="I43" i="25"/>
  <c r="U43" i="25"/>
  <c r="G107" i="23"/>
  <c r="G107" i="25" s="1"/>
  <c r="F107" i="23"/>
  <c r="F107" i="25" s="1"/>
  <c r="D107" i="23"/>
  <c r="D107" i="25" s="1"/>
  <c r="E107" i="23"/>
  <c r="E107" i="25" s="1"/>
  <c r="C107" i="23"/>
  <c r="C107" i="25" s="1"/>
  <c r="H107" i="23"/>
  <c r="H107" i="25" s="1"/>
  <c r="I107" i="23"/>
  <c r="I107" i="25" s="1"/>
  <c r="B107" i="23"/>
  <c r="J107" i="23"/>
  <c r="J107" i="25" s="1"/>
  <c r="S46" i="25"/>
  <c r="G46" i="25"/>
  <c r="H57" i="25"/>
  <c r="T57" i="25"/>
  <c r="H44" i="25"/>
  <c r="T44" i="25"/>
  <c r="G62" i="23"/>
  <c r="G62" i="25" s="1"/>
  <c r="C46" i="25"/>
  <c r="O46" i="25"/>
  <c r="D58" i="25"/>
  <c r="P58" i="25"/>
  <c r="I47" i="25"/>
  <c r="U47" i="25"/>
  <c r="J42" i="23"/>
  <c r="J48" i="23" s="1"/>
  <c r="J48" i="25" s="1"/>
  <c r="V40" i="25"/>
  <c r="J40" i="25"/>
  <c r="H92" i="23"/>
  <c r="H92" i="25" s="1"/>
  <c r="F92" i="23"/>
  <c r="F92" i="25" s="1"/>
  <c r="E92" i="23"/>
  <c r="E92" i="25" s="1"/>
  <c r="C92" i="23"/>
  <c r="C92" i="25" s="1"/>
  <c r="G92" i="23"/>
  <c r="G92" i="25" s="1"/>
  <c r="J92" i="23"/>
  <c r="J92" i="25" s="1"/>
  <c r="D92" i="23"/>
  <c r="D92" i="25" s="1"/>
  <c r="I92" i="23"/>
  <c r="I92" i="25" s="1"/>
  <c r="B92" i="23"/>
  <c r="I91" i="23"/>
  <c r="F91" i="23"/>
  <c r="F91" i="25" s="1"/>
  <c r="D91" i="23"/>
  <c r="D91" i="25" s="1"/>
  <c r="H91" i="23"/>
  <c r="H91" i="25" s="1"/>
  <c r="J91" i="23"/>
  <c r="C91" i="23"/>
  <c r="E91" i="23"/>
  <c r="B91" i="23"/>
  <c r="G91" i="23"/>
  <c r="G91" i="25" s="1"/>
  <c r="J28" i="25"/>
  <c r="I15" i="23"/>
  <c r="E12" i="34"/>
  <c r="D12" i="34"/>
  <c r="B12" i="34"/>
  <c r="H12" i="34"/>
  <c r="I12" i="34"/>
  <c r="J12" i="34"/>
  <c r="C12" i="34"/>
  <c r="G12" i="34"/>
  <c r="F12" i="34"/>
  <c r="K12" i="36"/>
  <c r="I57" i="25"/>
  <c r="U57" i="25"/>
  <c r="J15" i="23"/>
  <c r="J21" i="23" s="1"/>
  <c r="C130" i="23"/>
  <c r="C130" i="25" s="1"/>
  <c r="J130" i="23"/>
  <c r="J130" i="25" s="1"/>
  <c r="I130" i="23"/>
  <c r="I130" i="25" s="1"/>
  <c r="F130" i="23"/>
  <c r="F130" i="25" s="1"/>
  <c r="G130" i="23"/>
  <c r="G130" i="25" s="1"/>
  <c r="D130" i="23"/>
  <c r="D130" i="25" s="1"/>
  <c r="E130" i="23"/>
  <c r="E130" i="25" s="1"/>
  <c r="H130" i="23"/>
  <c r="H130" i="25" s="1"/>
  <c r="B130" i="23"/>
  <c r="S58" i="25"/>
  <c r="G58" i="25"/>
  <c r="L34" i="23"/>
  <c r="K34" i="25"/>
  <c r="G116" i="23"/>
  <c r="E116" i="23"/>
  <c r="C116" i="23"/>
  <c r="H116" i="23"/>
  <c r="I116" i="23"/>
  <c r="D116" i="23"/>
  <c r="F116" i="23"/>
  <c r="J116" i="23"/>
  <c r="B116" i="23"/>
  <c r="H46" i="25"/>
  <c r="T46" i="25"/>
  <c r="H17" i="34"/>
  <c r="J17" i="34"/>
  <c r="I17" i="34"/>
  <c r="F17" i="34"/>
  <c r="E17" i="34"/>
  <c r="D17" i="34"/>
  <c r="G17" i="34"/>
  <c r="C17" i="34"/>
  <c r="B17" i="34"/>
  <c r="K17" i="36"/>
  <c r="V57" i="25"/>
  <c r="J57" i="25"/>
  <c r="C125" i="23"/>
  <c r="C125" i="25" s="1"/>
  <c r="J125" i="23"/>
  <c r="J125" i="25" s="1"/>
  <c r="B125" i="23"/>
  <c r="G125" i="23"/>
  <c r="G125" i="25" s="1"/>
  <c r="F125" i="23"/>
  <c r="F125" i="25" s="1"/>
  <c r="E125" i="23"/>
  <c r="E125" i="25" s="1"/>
  <c r="I125" i="23"/>
  <c r="I125" i="25" s="1"/>
  <c r="D125" i="23"/>
  <c r="D125" i="25" s="1"/>
  <c r="H125" i="23"/>
  <c r="H125" i="25" s="1"/>
  <c r="Q66" i="25"/>
  <c r="E66" i="25"/>
  <c r="F64" i="25"/>
  <c r="R64" i="25"/>
  <c r="F46" i="25"/>
  <c r="R46" i="25"/>
  <c r="R58" i="25"/>
  <c r="F58" i="25"/>
  <c r="D47" i="25"/>
  <c r="P47" i="25"/>
  <c r="C62" i="23"/>
  <c r="C62" i="25" s="1"/>
  <c r="T40" i="25"/>
  <c r="H40" i="25"/>
  <c r="H42" i="23"/>
  <c r="D84" i="23"/>
  <c r="D84" i="25" s="1"/>
  <c r="B84" i="23"/>
  <c r="I84" i="23"/>
  <c r="I84" i="25" s="1"/>
  <c r="E84" i="23"/>
  <c r="E84" i="25" s="1"/>
  <c r="G84" i="23"/>
  <c r="G84" i="25" s="1"/>
  <c r="C84" i="23"/>
  <c r="C84" i="25" s="1"/>
  <c r="H84" i="23"/>
  <c r="H84" i="25" s="1"/>
  <c r="J84" i="23"/>
  <c r="J84" i="25" s="1"/>
  <c r="F84" i="23"/>
  <c r="F84" i="25" s="1"/>
  <c r="H73" i="23"/>
  <c r="F73" i="23"/>
  <c r="C73" i="23"/>
  <c r="J73" i="23"/>
  <c r="E73" i="23"/>
  <c r="G73" i="23"/>
  <c r="B73" i="23"/>
  <c r="I73" i="23"/>
  <c r="D73" i="23"/>
  <c r="C137" i="23"/>
  <c r="C7" i="26" s="1"/>
  <c r="K7" i="36"/>
  <c r="D7" i="34"/>
  <c r="F7" i="34"/>
  <c r="E7" i="34"/>
  <c r="G7" i="34"/>
  <c r="J7" i="34"/>
  <c r="C7" i="34"/>
  <c r="I7" i="34"/>
  <c r="H7" i="34"/>
  <c r="B7" i="34"/>
  <c r="G57" i="25"/>
  <c r="S57" i="25"/>
  <c r="C41" i="25"/>
  <c r="O41" i="25"/>
  <c r="K7" i="25"/>
  <c r="L7" i="23"/>
  <c r="K9" i="23"/>
  <c r="D124" i="23"/>
  <c r="D124" i="25" s="1"/>
  <c r="B124" i="23"/>
  <c r="E124" i="23"/>
  <c r="E124" i="25" s="1"/>
  <c r="C124" i="23"/>
  <c r="C124" i="25" s="1"/>
  <c r="G124" i="23"/>
  <c r="G124" i="25" s="1"/>
  <c r="F124" i="23"/>
  <c r="F124" i="25" s="1"/>
  <c r="J124" i="23"/>
  <c r="J124" i="25" s="1"/>
  <c r="I124" i="23"/>
  <c r="I124" i="25" s="1"/>
  <c r="H124" i="23"/>
  <c r="H124" i="25" s="1"/>
  <c r="K23" i="25"/>
  <c r="K28" i="23"/>
  <c r="L23" i="23"/>
  <c r="R44" i="25"/>
  <c r="F44" i="25"/>
  <c r="H13" i="34"/>
  <c r="J13" i="34"/>
  <c r="F13" i="34"/>
  <c r="G13" i="34"/>
  <c r="B13" i="34"/>
  <c r="E13" i="34"/>
  <c r="C13" i="34"/>
  <c r="I13" i="34"/>
  <c r="D13" i="34"/>
  <c r="K13" i="36"/>
  <c r="C60" i="25"/>
  <c r="O60" i="25"/>
  <c r="G112" i="23"/>
  <c r="G112" i="25" s="1"/>
  <c r="B112" i="23"/>
  <c r="E112" i="23"/>
  <c r="E112" i="25" s="1"/>
  <c r="J112" i="23"/>
  <c r="J112" i="25" s="1"/>
  <c r="C112" i="23"/>
  <c r="C112" i="25" s="1"/>
  <c r="F112" i="23"/>
  <c r="F112" i="25" s="1"/>
  <c r="H112" i="23"/>
  <c r="H112" i="25" s="1"/>
  <c r="I112" i="23"/>
  <c r="I112" i="25" s="1"/>
  <c r="D112" i="23"/>
  <c r="D112" i="25" s="1"/>
  <c r="F67" i="25"/>
  <c r="R67" i="25"/>
  <c r="K66" i="23"/>
  <c r="N66" i="25"/>
  <c r="B66" i="25"/>
  <c r="H64" i="25"/>
  <c r="T64" i="25"/>
  <c r="G53" i="23"/>
  <c r="G53" i="25" s="1"/>
  <c r="Q46" i="25"/>
  <c r="E46" i="25"/>
  <c r="K12" i="25"/>
  <c r="L12" i="23"/>
  <c r="O58" i="25"/>
  <c r="C58" i="25"/>
  <c r="F62" i="23"/>
  <c r="F62" i="25" s="1"/>
  <c r="C47" i="25"/>
  <c r="O47" i="25"/>
  <c r="F40" i="25"/>
  <c r="F42" i="23"/>
  <c r="F48" i="23" s="1"/>
  <c r="F48" i="25" s="1"/>
  <c r="R40" i="25"/>
  <c r="H28" i="25"/>
  <c r="B152" i="24"/>
  <c r="B68" i="24"/>
  <c r="B93" i="23"/>
  <c r="H93" i="23"/>
  <c r="H93" i="25" s="1"/>
  <c r="J93" i="23"/>
  <c r="J93" i="25" s="1"/>
  <c r="C93" i="23"/>
  <c r="I93" i="23"/>
  <c r="I93" i="25" s="1"/>
  <c r="F93" i="23"/>
  <c r="F93" i="25" s="1"/>
  <c r="D93" i="23"/>
  <c r="D93" i="25" s="1"/>
  <c r="E93" i="23"/>
  <c r="E93" i="25" s="1"/>
  <c r="G93" i="23"/>
  <c r="E78" i="23"/>
  <c r="F78" i="23"/>
  <c r="H78" i="23"/>
  <c r="C78" i="23"/>
  <c r="B78" i="23"/>
  <c r="G78" i="23"/>
  <c r="I78" i="23"/>
  <c r="J78" i="23"/>
  <c r="D78" i="23"/>
  <c r="K24" i="25"/>
  <c r="L24" i="23"/>
  <c r="Q56" i="25"/>
  <c r="E56" i="25"/>
  <c r="E61" i="23"/>
  <c r="E61" i="25" s="1"/>
  <c r="F8" i="34"/>
  <c r="E8" i="34"/>
  <c r="C8" i="34"/>
  <c r="H8" i="34"/>
  <c r="B8" i="34"/>
  <c r="I8" i="34"/>
  <c r="J8" i="34"/>
  <c r="D8" i="34"/>
  <c r="K8" i="36"/>
  <c r="G8" i="34"/>
  <c r="H20" i="25"/>
  <c r="V41" i="25"/>
  <c r="J41" i="25"/>
  <c r="E9" i="25"/>
  <c r="E60" i="25"/>
  <c r="Q60" i="25"/>
  <c r="L31" i="23"/>
  <c r="K31" i="25"/>
  <c r="F19" i="34"/>
  <c r="C19" i="34"/>
  <c r="G19" i="34"/>
  <c r="E19" i="34"/>
  <c r="J19" i="34"/>
  <c r="H19" i="34"/>
  <c r="I19" i="34"/>
  <c r="D19" i="34"/>
  <c r="K19" i="36"/>
  <c r="B19" i="34"/>
  <c r="B137" i="23"/>
  <c r="I9" i="25"/>
  <c r="I15" i="25" s="1"/>
  <c r="B117" i="23"/>
  <c r="C117" i="23"/>
  <c r="C117" i="25" s="1"/>
  <c r="J117" i="23"/>
  <c r="J117" i="25" s="1"/>
  <c r="G117" i="23"/>
  <c r="G117" i="25" s="1"/>
  <c r="H117" i="23"/>
  <c r="H117" i="25" s="1"/>
  <c r="I117" i="23"/>
  <c r="I117" i="25" s="1"/>
  <c r="D117" i="23"/>
  <c r="D117" i="25" s="1"/>
  <c r="E117" i="23"/>
  <c r="E117" i="25" s="1"/>
  <c r="F117" i="23"/>
  <c r="F117" i="25" s="1"/>
  <c r="D137" i="23"/>
  <c r="D7" i="26" s="1"/>
  <c r="H58" i="25"/>
  <c r="T58" i="25"/>
  <c r="I28" i="25"/>
  <c r="E47" i="25"/>
  <c r="Q47" i="25"/>
  <c r="K20" i="23"/>
  <c r="K17" i="25"/>
  <c r="L17" i="23"/>
  <c r="Q40" i="25"/>
  <c r="E40" i="25"/>
  <c r="E42" i="23"/>
  <c r="J77" i="23"/>
  <c r="J77" i="25" s="1"/>
  <c r="B77" i="23"/>
  <c r="D77" i="23"/>
  <c r="D77" i="25" s="1"/>
  <c r="H77" i="23"/>
  <c r="I77" i="23"/>
  <c r="I77" i="25" s="1"/>
  <c r="G77" i="23"/>
  <c r="G77" i="25" s="1"/>
  <c r="E77" i="23"/>
  <c r="E77" i="25" s="1"/>
  <c r="C77" i="23"/>
  <c r="F77" i="23"/>
  <c r="F77" i="25" s="1"/>
  <c r="E90" i="23"/>
  <c r="E90" i="25" s="1"/>
  <c r="D90" i="23"/>
  <c r="G90" i="23"/>
  <c r="I90" i="23"/>
  <c r="B90" i="23"/>
  <c r="C90" i="23"/>
  <c r="J90" i="23"/>
  <c r="H90" i="23"/>
  <c r="H90" i="25" s="1"/>
  <c r="F90" i="23"/>
  <c r="C9" i="25"/>
  <c r="K10" i="25"/>
  <c r="L10" i="23"/>
  <c r="O56" i="25"/>
  <c r="C61" i="23"/>
  <c r="C61" i="25" s="1"/>
  <c r="C56" i="25"/>
  <c r="E21" i="34"/>
  <c r="I21" i="34"/>
  <c r="B21" i="34"/>
  <c r="F21" i="34"/>
  <c r="G21" i="34"/>
  <c r="D21" i="34"/>
  <c r="J21" i="34"/>
  <c r="C21" i="34"/>
  <c r="K21" i="36"/>
  <c r="H21" i="34"/>
  <c r="P41" i="25"/>
  <c r="D41" i="25"/>
  <c r="P52" i="25"/>
  <c r="P53" i="25" s="1"/>
  <c r="D52" i="25"/>
  <c r="T67" i="25"/>
  <c r="H67" i="25"/>
  <c r="B9" i="25"/>
  <c r="I106" i="23"/>
  <c r="D106" i="23"/>
  <c r="B106" i="23"/>
  <c r="C106" i="23"/>
  <c r="F106" i="23"/>
  <c r="G106" i="23"/>
  <c r="H106" i="23"/>
  <c r="J106" i="23"/>
  <c r="E106" i="23"/>
  <c r="B46" i="25"/>
  <c r="K46" i="23"/>
  <c r="N46" i="25"/>
  <c r="L8" i="23"/>
  <c r="K8" i="25"/>
  <c r="G76" i="23"/>
  <c r="G76" i="25" s="1"/>
  <c r="I76" i="23"/>
  <c r="I76" i="25" s="1"/>
  <c r="F76" i="23"/>
  <c r="F76" i="25" s="1"/>
  <c r="D76" i="23"/>
  <c r="E76" i="23"/>
  <c r="C76" i="23"/>
  <c r="B76" i="23"/>
  <c r="H76" i="23"/>
  <c r="H76" i="25" s="1"/>
  <c r="J76" i="23"/>
  <c r="S56" i="25"/>
  <c r="G61" i="23"/>
  <c r="G61" i="25" s="1"/>
  <c r="G56" i="25"/>
  <c r="C78" i="34"/>
  <c r="C78" i="36" s="1"/>
  <c r="L18" i="23"/>
  <c r="K18" i="25"/>
  <c r="R43" i="25"/>
  <c r="F43" i="25"/>
  <c r="C133" i="23"/>
  <c r="C133" i="25" s="1"/>
  <c r="I133" i="23"/>
  <c r="I133" i="25" s="1"/>
  <c r="D133" i="23"/>
  <c r="D133" i="25" s="1"/>
  <c r="E133" i="23"/>
  <c r="E133" i="25" s="1"/>
  <c r="J133" i="23"/>
  <c r="J133" i="25" s="1"/>
  <c r="G133" i="23"/>
  <c r="G133" i="25" s="1"/>
  <c r="B133" i="23"/>
  <c r="H133" i="23"/>
  <c r="H133" i="25" s="1"/>
  <c r="F133" i="23"/>
  <c r="F133" i="25" s="1"/>
  <c r="G60" i="25"/>
  <c r="S60" i="25"/>
  <c r="B99" i="23"/>
  <c r="H99" i="23"/>
  <c r="I99" i="23"/>
  <c r="J99" i="23"/>
  <c r="J99" i="25" s="1"/>
  <c r="D99" i="23"/>
  <c r="D99" i="25" s="1"/>
  <c r="C99" i="23"/>
  <c r="G99" i="23"/>
  <c r="E99" i="23"/>
  <c r="E99" i="25" s="1"/>
  <c r="F99" i="23"/>
  <c r="F99" i="25" s="1"/>
  <c r="C129" i="23"/>
  <c r="I129" i="23"/>
  <c r="H129" i="23"/>
  <c r="D129" i="23"/>
  <c r="F129" i="23"/>
  <c r="B129" i="23"/>
  <c r="J129" i="23"/>
  <c r="E129" i="23"/>
  <c r="G129" i="23"/>
  <c r="D67" i="25"/>
  <c r="P67" i="25"/>
  <c r="Q44" i="25"/>
  <c r="E44" i="25"/>
  <c r="E67" i="25"/>
  <c r="Q67" i="25"/>
  <c r="F15" i="23"/>
  <c r="F21" i="23" s="1"/>
  <c r="G137" i="23"/>
  <c r="G7" i="26" s="1"/>
  <c r="D53" i="23"/>
  <c r="D53" i="25" s="1"/>
  <c r="F66" i="25"/>
  <c r="R66" i="25"/>
  <c r="E64" i="25"/>
  <c r="Q64" i="25"/>
  <c r="P46" i="25"/>
  <c r="D46" i="25"/>
  <c r="N52" i="25"/>
  <c r="N53" i="25" s="1"/>
  <c r="B52" i="25"/>
  <c r="K52" i="23"/>
  <c r="G118" i="23"/>
  <c r="G118" i="25" s="1"/>
  <c r="I118" i="23"/>
  <c r="I118" i="25" s="1"/>
  <c r="B118" i="23"/>
  <c r="D118" i="23"/>
  <c r="D118" i="25" s="1"/>
  <c r="J118" i="23"/>
  <c r="J118" i="25" s="1"/>
  <c r="E118" i="23"/>
  <c r="E118" i="25" s="1"/>
  <c r="C118" i="23"/>
  <c r="C118" i="25" s="1"/>
  <c r="H118" i="23"/>
  <c r="H118" i="25" s="1"/>
  <c r="F118" i="23"/>
  <c r="F118" i="25" s="1"/>
  <c r="B67" i="25"/>
  <c r="K67" i="23"/>
  <c r="N67" i="25"/>
  <c r="F9" i="25"/>
  <c r="S66" i="25"/>
  <c r="G66" i="25"/>
  <c r="U64" i="25"/>
  <c r="I64" i="25"/>
  <c r="B58" i="25"/>
  <c r="N58" i="25"/>
  <c r="K58" i="23"/>
  <c r="F47" i="25"/>
  <c r="R47" i="25"/>
  <c r="B20" i="25"/>
  <c r="G42" i="23"/>
  <c r="G48" i="23" s="1"/>
  <c r="G48" i="25" s="1"/>
  <c r="G40" i="25"/>
  <c r="S40" i="25"/>
  <c r="J79" i="23"/>
  <c r="B79" i="23"/>
  <c r="C79" i="23"/>
  <c r="G79" i="23"/>
  <c r="E79" i="23"/>
  <c r="E79" i="25" s="1"/>
  <c r="I79" i="23"/>
  <c r="I79" i="25" s="1"/>
  <c r="F79" i="23"/>
  <c r="F79" i="25" s="1"/>
  <c r="D79" i="23"/>
  <c r="D79" i="25" s="1"/>
  <c r="H79" i="23"/>
  <c r="H79" i="25" s="1"/>
  <c r="E80" i="23"/>
  <c r="B80" i="23"/>
  <c r="I80" i="23"/>
  <c r="I80" i="25" s="1"/>
  <c r="J80" i="23"/>
  <c r="J80" i="25" s="1"/>
  <c r="H80" i="23"/>
  <c r="C80" i="23"/>
  <c r="G80" i="23"/>
  <c r="G80" i="25" s="1"/>
  <c r="D80" i="23"/>
  <c r="F80" i="23"/>
  <c r="H137" i="23"/>
  <c r="H7" i="26" s="1"/>
  <c r="D43" i="25"/>
  <c r="P43" i="25"/>
  <c r="U56" i="25"/>
  <c r="I56" i="25"/>
  <c r="I61" i="23"/>
  <c r="I61" i="25" s="1"/>
  <c r="B18" i="34"/>
  <c r="J18" i="34"/>
  <c r="E18" i="34"/>
  <c r="G18" i="34"/>
  <c r="I18" i="34"/>
  <c r="H18" i="34"/>
  <c r="D18" i="34"/>
  <c r="F18" i="34"/>
  <c r="K18" i="36"/>
  <c r="C18" i="34"/>
  <c r="D9" i="25"/>
  <c r="Q41" i="25"/>
  <c r="E41" i="25"/>
  <c r="S43" i="25"/>
  <c r="G43" i="25"/>
  <c r="V56" i="25"/>
  <c r="J61" i="23"/>
  <c r="J61" i="25" s="1"/>
  <c r="J56" i="25"/>
  <c r="I41" i="25"/>
  <c r="U41" i="25"/>
  <c r="U46" i="25"/>
  <c r="I46" i="25"/>
  <c r="D44" i="25"/>
  <c r="P44" i="25"/>
  <c r="G89" i="23"/>
  <c r="D89" i="23"/>
  <c r="I89" i="23"/>
  <c r="F89" i="23"/>
  <c r="J89" i="23"/>
  <c r="C89" i="23"/>
  <c r="B89" i="23"/>
  <c r="H89" i="23"/>
  <c r="E89" i="23"/>
  <c r="I20" i="25"/>
  <c r="U66" i="25"/>
  <c r="I66" i="25"/>
  <c r="L11" i="23"/>
  <c r="K11" i="25"/>
  <c r="K59" i="23"/>
  <c r="B59" i="25"/>
  <c r="P66" i="25"/>
  <c r="D66" i="25"/>
  <c r="K25" i="25"/>
  <c r="L25" i="23"/>
  <c r="S52" i="25"/>
  <c r="S53" i="25" s="1"/>
  <c r="G52" i="25"/>
  <c r="D132" i="23"/>
  <c r="D132" i="25" s="1"/>
  <c r="C132" i="23"/>
  <c r="C132" i="25" s="1"/>
  <c r="B132" i="23"/>
  <c r="J132" i="23"/>
  <c r="J132" i="25" s="1"/>
  <c r="E132" i="23"/>
  <c r="E132" i="25" s="1"/>
  <c r="H132" i="23"/>
  <c r="H132" i="25" s="1"/>
  <c r="I132" i="23"/>
  <c r="I132" i="25" s="1"/>
  <c r="F132" i="23"/>
  <c r="F132" i="25" s="1"/>
  <c r="G132" i="23"/>
  <c r="G132" i="25" s="1"/>
  <c r="U67" i="25"/>
  <c r="I67" i="25"/>
  <c r="F137" i="23"/>
  <c r="F7" i="26" s="1"/>
  <c r="J58" i="25"/>
  <c r="V58" i="25"/>
  <c r="K29" i="23"/>
  <c r="K30" i="25"/>
  <c r="L30" i="23"/>
  <c r="S47" i="25"/>
  <c r="G47" i="25"/>
  <c r="J100" i="23"/>
  <c r="J100" i="25" s="1"/>
  <c r="C100" i="23"/>
  <c r="C100" i="25" s="1"/>
  <c r="I100" i="23"/>
  <c r="E100" i="23"/>
  <c r="G100" i="23"/>
  <c r="H100" i="23"/>
  <c r="H100" i="25" s="1"/>
  <c r="D100" i="23"/>
  <c r="F100" i="23"/>
  <c r="F100" i="25" s="1"/>
  <c r="B100" i="23"/>
  <c r="B43" i="25"/>
  <c r="K43" i="23"/>
  <c r="N43" i="25"/>
  <c r="R56" i="25"/>
  <c r="F61" i="23"/>
  <c r="F61" i="25" s="1"/>
  <c r="F56" i="25"/>
  <c r="L13" i="23"/>
  <c r="K13" i="25"/>
  <c r="F28" i="25"/>
  <c r="J20" i="34"/>
  <c r="I20" i="34"/>
  <c r="F20" i="34"/>
  <c r="C20" i="34"/>
  <c r="G20" i="34"/>
  <c r="H20" i="34"/>
  <c r="D20" i="34"/>
  <c r="E20" i="34"/>
  <c r="K20" i="36"/>
  <c r="B20" i="34"/>
  <c r="E28" i="25"/>
  <c r="B41" i="25"/>
  <c r="N41" i="25"/>
  <c r="K41" i="23"/>
  <c r="D109" i="23"/>
  <c r="D109" i="25" s="1"/>
  <c r="B109" i="23"/>
  <c r="G109" i="23"/>
  <c r="G109" i="25" s="1"/>
  <c r="F109" i="23"/>
  <c r="F109" i="25" s="1"/>
  <c r="H109" i="23"/>
  <c r="H109" i="25" s="1"/>
  <c r="C109" i="23"/>
  <c r="C109" i="25" s="1"/>
  <c r="I109" i="23"/>
  <c r="I109" i="25" s="1"/>
  <c r="J109" i="23"/>
  <c r="J109" i="25" s="1"/>
  <c r="E109" i="23"/>
  <c r="E109" i="25" s="1"/>
  <c r="P56" i="25"/>
  <c r="D56" i="25"/>
  <c r="D61" i="23"/>
  <c r="D61" i="25" s="1"/>
  <c r="G44" i="25"/>
  <c r="S44" i="25"/>
  <c r="H16" i="34"/>
  <c r="J16" i="34"/>
  <c r="D16" i="34"/>
  <c r="I16" i="34"/>
  <c r="B16" i="34"/>
  <c r="C16" i="34"/>
  <c r="F16" i="34"/>
  <c r="E16" i="34"/>
  <c r="G16" i="34"/>
  <c r="K16" i="36"/>
  <c r="F52" i="25"/>
  <c r="R52" i="25"/>
  <c r="G10" i="34"/>
  <c r="D10" i="34"/>
  <c r="F10" i="34"/>
  <c r="C10" i="34"/>
  <c r="I10" i="34"/>
  <c r="E10" i="34"/>
  <c r="H10" i="34"/>
  <c r="B10" i="34"/>
  <c r="J10" i="34"/>
  <c r="K10" i="36"/>
  <c r="D9" i="34"/>
  <c r="F9" i="34"/>
  <c r="H9" i="34"/>
  <c r="E9" i="34"/>
  <c r="I9" i="34"/>
  <c r="C9" i="34"/>
  <c r="J9" i="34"/>
  <c r="G9" i="34"/>
  <c r="B9" i="34"/>
  <c r="K9" i="36"/>
  <c r="J60" i="25"/>
  <c r="V60" i="25"/>
  <c r="V47" i="25"/>
  <c r="J47" i="25"/>
  <c r="C53" i="23"/>
  <c r="C53" i="25" s="1"/>
  <c r="J67" i="25"/>
  <c r="V67" i="25"/>
  <c r="J66" i="25"/>
  <c r="V66" i="25"/>
  <c r="P64" i="25"/>
  <c r="D64" i="25"/>
  <c r="L26" i="23"/>
  <c r="K26" i="25"/>
  <c r="P40" i="25"/>
  <c r="D40" i="25"/>
  <c r="D42" i="23"/>
  <c r="D48" i="23" s="1"/>
  <c r="V52" i="25"/>
  <c r="V53" i="25" s="1"/>
  <c r="J52" i="25"/>
  <c r="E126" i="23"/>
  <c r="E126" i="25" s="1"/>
  <c r="C126" i="23"/>
  <c r="C126" i="25" s="1"/>
  <c r="F126" i="23"/>
  <c r="F126" i="25" s="1"/>
  <c r="D126" i="23"/>
  <c r="D126" i="25" s="1"/>
  <c r="I126" i="23"/>
  <c r="I126" i="25" s="1"/>
  <c r="J126" i="23"/>
  <c r="J126" i="25" s="1"/>
  <c r="B126" i="23"/>
  <c r="G126" i="23"/>
  <c r="G126" i="25" s="1"/>
  <c r="H126" i="23"/>
  <c r="H126" i="25" s="1"/>
  <c r="H111" i="23"/>
  <c r="H111" i="25" s="1"/>
  <c r="I111" i="23"/>
  <c r="I111" i="25" s="1"/>
  <c r="F111" i="23"/>
  <c r="F111" i="25" s="1"/>
  <c r="B111" i="23"/>
  <c r="D111" i="23"/>
  <c r="D111" i="25" s="1"/>
  <c r="G111" i="23"/>
  <c r="G111" i="25" s="1"/>
  <c r="C111" i="23"/>
  <c r="C111" i="25" s="1"/>
  <c r="J111" i="23"/>
  <c r="J111" i="25" s="1"/>
  <c r="E111" i="23"/>
  <c r="E111" i="25" s="1"/>
  <c r="S67" i="25"/>
  <c r="G67" i="25"/>
  <c r="D60" i="25"/>
  <c r="P60" i="25"/>
  <c r="O44" i="25"/>
  <c r="C44" i="25"/>
  <c r="E62" i="23"/>
  <c r="E62" i="25" s="1"/>
  <c r="T66" i="25"/>
  <c r="H66" i="25"/>
  <c r="V64" i="25"/>
  <c r="J64" i="25"/>
  <c r="K19" i="25"/>
  <c r="L19" i="23"/>
  <c r="B53" i="23"/>
  <c r="B53" i="25" s="1"/>
  <c r="K33" i="25"/>
  <c r="L33" i="23"/>
  <c r="I58" i="25"/>
  <c r="U58" i="25"/>
  <c r="T47" i="25"/>
  <c r="H47" i="25"/>
  <c r="I137" i="23"/>
  <c r="I7" i="26" s="1"/>
  <c r="K40" i="23"/>
  <c r="B42" i="23"/>
  <c r="N40" i="25"/>
  <c r="B40" i="25"/>
  <c r="I83" i="23"/>
  <c r="D83" i="23"/>
  <c r="J83" i="23"/>
  <c r="F83" i="23"/>
  <c r="G83" i="23"/>
  <c r="B83" i="23"/>
  <c r="C83" i="23"/>
  <c r="E83" i="23"/>
  <c r="H83" i="23"/>
  <c r="C15" i="23"/>
  <c r="C21" i="23" s="1"/>
  <c r="E43" i="25"/>
  <c r="Q43" i="25"/>
  <c r="T56" i="25"/>
  <c r="H56" i="25"/>
  <c r="H61" i="23"/>
  <c r="H61" i="25" s="1"/>
  <c r="H15" i="34"/>
  <c r="F15" i="34"/>
  <c r="B15" i="34"/>
  <c r="G15" i="34"/>
  <c r="E15" i="34"/>
  <c r="J15" i="34"/>
  <c r="C15" i="34"/>
  <c r="I15" i="34"/>
  <c r="K15" i="36"/>
  <c r="D15" i="34"/>
  <c r="R54" i="24"/>
  <c r="D15" i="23"/>
  <c r="T41" i="25"/>
  <c r="H41" i="25"/>
  <c r="E15" i="23"/>
  <c r="E21" i="23" s="1"/>
  <c r="D77" i="34"/>
  <c r="D77" i="36" s="1"/>
  <c r="C77" i="34"/>
  <c r="C77" i="36" s="1"/>
  <c r="F75" i="34" l="1"/>
  <c r="F75" i="36" s="1"/>
  <c r="H75" i="34"/>
  <c r="H75" i="36" s="1"/>
  <c r="J77" i="34"/>
  <c r="J77" i="36" s="1"/>
  <c r="G77" i="34"/>
  <c r="G77" i="36" s="1"/>
  <c r="F42" i="25"/>
  <c r="I81" i="34"/>
  <c r="I81" i="36" s="1"/>
  <c r="E74" i="34"/>
  <c r="E74" i="36" s="1"/>
  <c r="C74" i="34"/>
  <c r="C74" i="36" s="1"/>
  <c r="B168" i="23"/>
  <c r="J74" i="34"/>
  <c r="J74" i="36" s="1"/>
  <c r="G74" i="34"/>
  <c r="G74" i="36" s="1"/>
  <c r="D74" i="34"/>
  <c r="D74" i="36" s="1"/>
  <c r="K56" i="34"/>
  <c r="K56" i="36" s="1"/>
  <c r="H74" i="34"/>
  <c r="H74" i="36" s="1"/>
  <c r="F77" i="34"/>
  <c r="F77" i="36" s="1"/>
  <c r="F73" i="34"/>
  <c r="F73" i="36" s="1"/>
  <c r="F74" i="34"/>
  <c r="F74" i="36" s="1"/>
  <c r="J76" i="34"/>
  <c r="J76" i="36" s="1"/>
  <c r="D76" i="34"/>
  <c r="D76" i="36" s="1"/>
  <c r="I74" i="34"/>
  <c r="I74" i="36" s="1"/>
  <c r="Q53" i="25"/>
  <c r="B80" i="34"/>
  <c r="B80" i="36" s="1"/>
  <c r="G68" i="34"/>
  <c r="G68" i="36" s="1"/>
  <c r="F72" i="34"/>
  <c r="F72" i="36" s="1"/>
  <c r="B72" i="34"/>
  <c r="B72" i="36" s="1"/>
  <c r="R53" i="25"/>
  <c r="J72" i="34"/>
  <c r="J72" i="36" s="1"/>
  <c r="I79" i="34"/>
  <c r="I79" i="36" s="1"/>
  <c r="F79" i="34"/>
  <c r="F79" i="36" s="1"/>
  <c r="H68" i="34"/>
  <c r="H68" i="36" s="1"/>
  <c r="F68" i="34"/>
  <c r="F68" i="36" s="1"/>
  <c r="H72" i="34"/>
  <c r="H72" i="36" s="1"/>
  <c r="D70" i="34"/>
  <c r="D70" i="36" s="1"/>
  <c r="H70" i="34"/>
  <c r="H70" i="36" s="1"/>
  <c r="C80" i="34"/>
  <c r="C80" i="36" s="1"/>
  <c r="J80" i="34"/>
  <c r="J80" i="36" s="1"/>
  <c r="I80" i="34"/>
  <c r="I80" i="36" s="1"/>
  <c r="E67" i="34"/>
  <c r="E67" i="36" s="1"/>
  <c r="J67" i="34"/>
  <c r="J67" i="36" s="1"/>
  <c r="E70" i="34"/>
  <c r="E70" i="36" s="1"/>
  <c r="D78" i="34"/>
  <c r="D78" i="36" s="1"/>
  <c r="F70" i="34"/>
  <c r="F70" i="36" s="1"/>
  <c r="G70" i="34"/>
  <c r="G70" i="36" s="1"/>
  <c r="I70" i="34"/>
  <c r="I70" i="36" s="1"/>
  <c r="E158" i="23"/>
  <c r="E72" i="34"/>
  <c r="E72" i="36" s="1"/>
  <c r="F80" i="34"/>
  <c r="F80" i="36" s="1"/>
  <c r="K62" i="23"/>
  <c r="H71" i="34"/>
  <c r="H71" i="36" s="1"/>
  <c r="F160" i="23"/>
  <c r="F71" i="34"/>
  <c r="F71" i="36" s="1"/>
  <c r="D72" i="34"/>
  <c r="D72" i="36" s="1"/>
  <c r="H80" i="34"/>
  <c r="H80" i="36" s="1"/>
  <c r="I71" i="34"/>
  <c r="I71" i="36" s="1"/>
  <c r="I72" i="34"/>
  <c r="I72" i="36" s="1"/>
  <c r="E80" i="34"/>
  <c r="E80" i="36" s="1"/>
  <c r="C72" i="34"/>
  <c r="C72" i="36" s="1"/>
  <c r="D80" i="34"/>
  <c r="D80" i="36" s="1"/>
  <c r="G42" i="25"/>
  <c r="D66" i="34"/>
  <c r="D66" i="36" s="1"/>
  <c r="K52" i="34"/>
  <c r="E52" i="34" s="1"/>
  <c r="E52" i="36" s="1"/>
  <c r="F76" i="34"/>
  <c r="F76" i="36" s="1"/>
  <c r="E73" i="34"/>
  <c r="E73" i="36" s="1"/>
  <c r="K58" i="34"/>
  <c r="H58" i="34" s="1"/>
  <c r="H58" i="36" s="1"/>
  <c r="E68" i="34"/>
  <c r="E68" i="36" s="1"/>
  <c r="D79" i="34"/>
  <c r="D79" i="36" s="1"/>
  <c r="K49" i="34"/>
  <c r="D49" i="34" s="1"/>
  <c r="D49" i="36" s="1"/>
  <c r="J68" i="34"/>
  <c r="J68" i="36" s="1"/>
  <c r="C79" i="34"/>
  <c r="C79" i="36" s="1"/>
  <c r="B76" i="34"/>
  <c r="B76" i="36" s="1"/>
  <c r="K46" i="34"/>
  <c r="J75" i="34"/>
  <c r="J75" i="36" s="1"/>
  <c r="C68" i="34"/>
  <c r="C68" i="36" s="1"/>
  <c r="E79" i="34"/>
  <c r="E79" i="36" s="1"/>
  <c r="K61" i="34"/>
  <c r="E61" i="34" s="1"/>
  <c r="E61" i="36" s="1"/>
  <c r="D75" i="34"/>
  <c r="D75" i="36" s="1"/>
  <c r="K53" i="34"/>
  <c r="F53" i="34" s="1"/>
  <c r="F53" i="36" s="1"/>
  <c r="E75" i="34"/>
  <c r="E75" i="36" s="1"/>
  <c r="K59" i="34"/>
  <c r="D59" i="34" s="1"/>
  <c r="D59" i="36" s="1"/>
  <c r="G75" i="34"/>
  <c r="G75" i="36" s="1"/>
  <c r="J79" i="34"/>
  <c r="J79" i="36" s="1"/>
  <c r="H73" i="34"/>
  <c r="H73" i="36" s="1"/>
  <c r="D73" i="34"/>
  <c r="D73" i="36" s="1"/>
  <c r="K51" i="34"/>
  <c r="D51" i="34" s="1"/>
  <c r="D51" i="36" s="1"/>
  <c r="I75" i="34"/>
  <c r="I75" i="36" s="1"/>
  <c r="G76" i="34"/>
  <c r="G76" i="36" s="1"/>
  <c r="H79" i="34"/>
  <c r="H79" i="36" s="1"/>
  <c r="H77" i="34"/>
  <c r="H77" i="36" s="1"/>
  <c r="B79" i="34"/>
  <c r="B79" i="36" s="1"/>
  <c r="I73" i="34"/>
  <c r="I73" i="36" s="1"/>
  <c r="K50" i="34"/>
  <c r="G50" i="34" s="1"/>
  <c r="G50" i="36" s="1"/>
  <c r="B75" i="34"/>
  <c r="B75" i="36" s="1"/>
  <c r="T61" i="25"/>
  <c r="R61" i="25"/>
  <c r="J73" i="34"/>
  <c r="J73" i="36" s="1"/>
  <c r="K57" i="34"/>
  <c r="I57" i="34" s="1"/>
  <c r="I57" i="36" s="1"/>
  <c r="B73" i="34"/>
  <c r="B73" i="36" s="1"/>
  <c r="E76" i="34"/>
  <c r="E76" i="36" s="1"/>
  <c r="B77" i="34"/>
  <c r="B77" i="36" s="1"/>
  <c r="I77" i="34"/>
  <c r="I77" i="36" s="1"/>
  <c r="I76" i="34"/>
  <c r="I76" i="36" s="1"/>
  <c r="C76" i="34"/>
  <c r="C76" i="36" s="1"/>
  <c r="G73" i="34"/>
  <c r="G73" i="36" s="1"/>
  <c r="K47" i="34"/>
  <c r="C47" i="34" s="1"/>
  <c r="C47" i="36" s="1"/>
  <c r="K48" i="34"/>
  <c r="G48" i="34" s="1"/>
  <c r="G48" i="36" s="1"/>
  <c r="K55" i="34"/>
  <c r="K55" i="36" s="1"/>
  <c r="K60" i="34"/>
  <c r="E60" i="34" s="1"/>
  <c r="E60" i="36" s="1"/>
  <c r="I68" i="34"/>
  <c r="I68" i="36" s="1"/>
  <c r="H67" i="34"/>
  <c r="H67" i="36" s="1"/>
  <c r="B71" i="34"/>
  <c r="B71" i="36" s="1"/>
  <c r="F67" i="34"/>
  <c r="F67" i="36" s="1"/>
  <c r="C67" i="34"/>
  <c r="C67" i="36" s="1"/>
  <c r="E66" i="34"/>
  <c r="E66" i="36" s="1"/>
  <c r="I67" i="34"/>
  <c r="I67" i="36" s="1"/>
  <c r="G67" i="34"/>
  <c r="G67" i="36" s="1"/>
  <c r="B66" i="34"/>
  <c r="B66" i="36" s="1"/>
  <c r="D67" i="34"/>
  <c r="D67" i="36" s="1"/>
  <c r="H66" i="34"/>
  <c r="H66" i="36" s="1"/>
  <c r="G71" i="34"/>
  <c r="G71" i="36" s="1"/>
  <c r="F66" i="34"/>
  <c r="F66" i="36" s="1"/>
  <c r="E71" i="34"/>
  <c r="E71" i="36" s="1"/>
  <c r="I66" i="34"/>
  <c r="I66" i="36" s="1"/>
  <c r="D71" i="34"/>
  <c r="D71" i="36" s="1"/>
  <c r="C66" i="34"/>
  <c r="C66" i="36" s="1"/>
  <c r="J71" i="34"/>
  <c r="J71" i="36" s="1"/>
  <c r="J66" i="34"/>
  <c r="J66" i="36" s="1"/>
  <c r="B167" i="23"/>
  <c r="B149" i="23"/>
  <c r="I146" i="23"/>
  <c r="D68" i="34"/>
  <c r="D68" i="36" s="1"/>
  <c r="D15" i="25"/>
  <c r="D21" i="25" s="1"/>
  <c r="P61" i="25"/>
  <c r="G160" i="23"/>
  <c r="J81" i="34"/>
  <c r="J81" i="36" s="1"/>
  <c r="F167" i="23"/>
  <c r="F81" i="34"/>
  <c r="F81" i="36" s="1"/>
  <c r="H160" i="23"/>
  <c r="E81" i="34"/>
  <c r="E81" i="36" s="1"/>
  <c r="E165" i="23"/>
  <c r="K82" i="34"/>
  <c r="M82" i="34" s="1"/>
  <c r="G81" i="34"/>
  <c r="G81" i="36" s="1"/>
  <c r="G158" i="23"/>
  <c r="C81" i="34"/>
  <c r="C81" i="36" s="1"/>
  <c r="H81" i="34"/>
  <c r="H81" i="36" s="1"/>
  <c r="I143" i="23"/>
  <c r="B78" i="34"/>
  <c r="B78" i="36" s="1"/>
  <c r="K28" i="25"/>
  <c r="E143" i="23"/>
  <c r="H69" i="34"/>
  <c r="H69" i="36" s="1"/>
  <c r="C162" i="24"/>
  <c r="C68" i="24"/>
  <c r="C165" i="24" s="1"/>
  <c r="G165" i="23"/>
  <c r="G69" i="34"/>
  <c r="G69" i="36" s="1"/>
  <c r="C15" i="25"/>
  <c r="C21" i="25" s="1"/>
  <c r="C70" i="34"/>
  <c r="C70" i="36" s="1"/>
  <c r="H48" i="23"/>
  <c r="H48" i="25" s="1"/>
  <c r="C165" i="23"/>
  <c r="I69" i="34"/>
  <c r="I69" i="36" s="1"/>
  <c r="G146" i="23"/>
  <c r="D69" i="34"/>
  <c r="D69" i="36" s="1"/>
  <c r="F69" i="34"/>
  <c r="F69" i="36" s="1"/>
  <c r="C168" i="23"/>
  <c r="J70" i="34"/>
  <c r="J70" i="36" s="1"/>
  <c r="E69" i="34"/>
  <c r="E69" i="36" s="1"/>
  <c r="H15" i="25"/>
  <c r="H21" i="25" s="1"/>
  <c r="H29" i="25" s="1"/>
  <c r="J69" i="34"/>
  <c r="J69" i="36" s="1"/>
  <c r="J78" i="34"/>
  <c r="J78" i="36" s="1"/>
  <c r="B69" i="34"/>
  <c r="B69" i="36" s="1"/>
  <c r="E78" i="34"/>
  <c r="E78" i="36" s="1"/>
  <c r="I78" i="34"/>
  <c r="I78" i="36" s="1"/>
  <c r="J147" i="23"/>
  <c r="J42" i="25"/>
  <c r="C69" i="34"/>
  <c r="C69" i="36" s="1"/>
  <c r="F78" i="34"/>
  <c r="F78" i="36" s="1"/>
  <c r="D161" i="23"/>
  <c r="H78" i="34"/>
  <c r="H78" i="36" s="1"/>
  <c r="K53" i="23"/>
  <c r="D48" i="25"/>
  <c r="D54" i="23"/>
  <c r="D54" i="25" s="1"/>
  <c r="C48" i="25"/>
  <c r="C54" i="23"/>
  <c r="C54" i="25" s="1"/>
  <c r="L20" i="23"/>
  <c r="G15" i="36"/>
  <c r="K83" i="23"/>
  <c r="B83" i="25"/>
  <c r="B86" i="23"/>
  <c r="B153" i="23"/>
  <c r="B10" i="36"/>
  <c r="F16" i="36"/>
  <c r="J20" i="36"/>
  <c r="J89" i="25"/>
  <c r="J94" i="23"/>
  <c r="E18" i="36"/>
  <c r="C80" i="25"/>
  <c r="C150" i="23"/>
  <c r="J79" i="25"/>
  <c r="J149" i="23"/>
  <c r="I129" i="25"/>
  <c r="I128" i="23"/>
  <c r="J76" i="25"/>
  <c r="J146" i="23"/>
  <c r="B21" i="36"/>
  <c r="B7" i="26"/>
  <c r="K137" i="23"/>
  <c r="I8" i="36"/>
  <c r="J78" i="25"/>
  <c r="J148" i="23"/>
  <c r="L9" i="23"/>
  <c r="J7" i="36"/>
  <c r="J73" i="25"/>
  <c r="J75" i="23"/>
  <c r="J143" i="23"/>
  <c r="I17" i="36"/>
  <c r="F12" i="36"/>
  <c r="E91" i="25"/>
  <c r="E160" i="23"/>
  <c r="G14" i="36"/>
  <c r="G85" i="25"/>
  <c r="G154" i="23"/>
  <c r="H22" i="34"/>
  <c r="H6" i="36"/>
  <c r="J11" i="36"/>
  <c r="J150" i="23"/>
  <c r="F147" i="23"/>
  <c r="H159" i="23"/>
  <c r="B15" i="36"/>
  <c r="G83" i="25"/>
  <c r="G86" i="23"/>
  <c r="G153" i="23"/>
  <c r="H10" i="36"/>
  <c r="C16" i="36"/>
  <c r="D100" i="25"/>
  <c r="D168" i="23"/>
  <c r="L29" i="23"/>
  <c r="F89" i="25"/>
  <c r="F94" i="23"/>
  <c r="V61" i="25"/>
  <c r="J18" i="36"/>
  <c r="H80" i="25"/>
  <c r="H150" i="23"/>
  <c r="G54" i="23"/>
  <c r="G65" i="23" s="1"/>
  <c r="F165" i="23"/>
  <c r="C128" i="23"/>
  <c r="C129" i="25"/>
  <c r="E106" i="25"/>
  <c r="E108" i="23"/>
  <c r="I21" i="36"/>
  <c r="H165" i="23"/>
  <c r="K20" i="25"/>
  <c r="B19" i="36"/>
  <c r="E15" i="25"/>
  <c r="E21" i="25" s="1"/>
  <c r="B8" i="36"/>
  <c r="I78" i="25"/>
  <c r="I148" i="23"/>
  <c r="D160" i="23"/>
  <c r="G7" i="36"/>
  <c r="C73" i="25"/>
  <c r="C75" i="23"/>
  <c r="H42" i="25"/>
  <c r="K125" i="23"/>
  <c r="K125" i="25" s="1"/>
  <c r="B125" i="25"/>
  <c r="J17" i="36"/>
  <c r="G12" i="36"/>
  <c r="C91" i="25"/>
  <c r="C160" i="23"/>
  <c r="E74" i="25"/>
  <c r="E144" i="23"/>
  <c r="J14" i="36"/>
  <c r="E11" i="36"/>
  <c r="D97" i="25"/>
  <c r="D165" i="23"/>
  <c r="J168" i="23"/>
  <c r="D149" i="23"/>
  <c r="D147" i="23"/>
  <c r="D16" i="36"/>
  <c r="E100" i="25"/>
  <c r="E168" i="23"/>
  <c r="B133" i="25"/>
  <c r="K133" i="23"/>
  <c r="K133" i="25" s="1"/>
  <c r="E76" i="25"/>
  <c r="E146" i="23"/>
  <c r="G106" i="25"/>
  <c r="G108" i="23"/>
  <c r="G114" i="23" s="1"/>
  <c r="K117" i="23"/>
  <c r="K117" i="25" s="1"/>
  <c r="B117" i="25"/>
  <c r="D19" i="36"/>
  <c r="E8" i="36"/>
  <c r="D7" i="36"/>
  <c r="I12" i="36"/>
  <c r="F83" i="25"/>
  <c r="F86" i="23"/>
  <c r="F153" i="23"/>
  <c r="K76" i="23"/>
  <c r="B76" i="25"/>
  <c r="H77" i="25"/>
  <c r="H147" i="23"/>
  <c r="K93" i="23"/>
  <c r="B93" i="25"/>
  <c r="B161" i="23"/>
  <c r="D53" i="34"/>
  <c r="D53" i="36" s="1"/>
  <c r="K53" i="36"/>
  <c r="D89" i="25"/>
  <c r="D94" i="23"/>
  <c r="H73" i="25"/>
  <c r="H75" i="23"/>
  <c r="H143" i="23"/>
  <c r="C10" i="36"/>
  <c r="B20" i="36"/>
  <c r="B132" i="25"/>
  <c r="K132" i="23"/>
  <c r="K132" i="25" s="1"/>
  <c r="K80" i="23"/>
  <c r="B80" i="25"/>
  <c r="B150" i="23"/>
  <c r="J90" i="25"/>
  <c r="J159" i="23"/>
  <c r="K77" i="23"/>
  <c r="K77" i="25" s="1"/>
  <c r="B77" i="25"/>
  <c r="C78" i="25"/>
  <c r="C148" i="23"/>
  <c r="C13" i="36"/>
  <c r="K15" i="23"/>
  <c r="K21" i="23" s="1"/>
  <c r="K32" i="23" s="1"/>
  <c r="V42" i="25"/>
  <c r="V48" i="25" s="1"/>
  <c r="H14" i="36"/>
  <c r="H154" i="23"/>
  <c r="C11" i="36"/>
  <c r="J97" i="25"/>
  <c r="J165" i="23"/>
  <c r="G21" i="25"/>
  <c r="G29" i="25" s="1"/>
  <c r="H146" i="23"/>
  <c r="D158" i="23"/>
  <c r="I83" i="25"/>
  <c r="I86" i="23"/>
  <c r="I153" i="23"/>
  <c r="F146" i="23"/>
  <c r="C9" i="36"/>
  <c r="F10" i="36"/>
  <c r="J16" i="36"/>
  <c r="I100" i="25"/>
  <c r="I168" i="23"/>
  <c r="I150" i="23"/>
  <c r="E80" i="25"/>
  <c r="E150" i="23"/>
  <c r="D76" i="25"/>
  <c r="D146" i="23"/>
  <c r="F106" i="25"/>
  <c r="F108" i="23"/>
  <c r="O61" i="25"/>
  <c r="C90" i="25"/>
  <c r="C159" i="23"/>
  <c r="E161" i="23"/>
  <c r="I19" i="36"/>
  <c r="F8" i="36"/>
  <c r="H78" i="25"/>
  <c r="H148" i="23"/>
  <c r="E13" i="36"/>
  <c r="H50" i="34"/>
  <c r="H50" i="36" s="1"/>
  <c r="K116" i="23"/>
  <c r="B116" i="25"/>
  <c r="B119" i="23"/>
  <c r="K130" i="23"/>
  <c r="K130" i="25" s="1"/>
  <c r="B130" i="25"/>
  <c r="H12" i="36"/>
  <c r="H11" i="36"/>
  <c r="C122" i="25"/>
  <c r="C127" i="25" s="1"/>
  <c r="C127" i="23"/>
  <c r="K96" i="23"/>
  <c r="B95" i="23"/>
  <c r="B96" i="25"/>
  <c r="B164" i="23"/>
  <c r="I144" i="23"/>
  <c r="H168" i="23"/>
  <c r="G147" i="23"/>
  <c r="B16" i="36"/>
  <c r="J106" i="25"/>
  <c r="J108" i="23"/>
  <c r="E21" i="36"/>
  <c r="H8" i="36"/>
  <c r="F11" i="36"/>
  <c r="K97" i="23"/>
  <c r="B97" i="25"/>
  <c r="B165" i="23"/>
  <c r="J83" i="25"/>
  <c r="J86" i="23"/>
  <c r="J153" i="23"/>
  <c r="G100" i="25"/>
  <c r="G168" i="23"/>
  <c r="S42" i="25"/>
  <c r="S48" i="25" s="1"/>
  <c r="S54" i="25" s="1"/>
  <c r="C76" i="25"/>
  <c r="C146" i="23"/>
  <c r="K78" i="23"/>
  <c r="B78" i="25"/>
  <c r="B148" i="23"/>
  <c r="C106" i="25"/>
  <c r="C108" i="23"/>
  <c r="C114" i="23" s="1"/>
  <c r="H21" i="36"/>
  <c r="K90" i="23"/>
  <c r="B90" i="25"/>
  <c r="F78" i="25"/>
  <c r="F148" i="23"/>
  <c r="B13" i="36"/>
  <c r="J116" i="25"/>
  <c r="J119" i="25" s="1"/>
  <c r="J119" i="23"/>
  <c r="B12" i="36"/>
  <c r="I91" i="25"/>
  <c r="I160" i="23"/>
  <c r="J54" i="23"/>
  <c r="J54" i="25" s="1"/>
  <c r="B110" i="25"/>
  <c r="K110" i="23"/>
  <c r="K110" i="25" s="1"/>
  <c r="B6" i="36"/>
  <c r="B22" i="34"/>
  <c r="I11" i="36"/>
  <c r="E122" i="25"/>
  <c r="E127" i="25" s="1"/>
  <c r="E127" i="23"/>
  <c r="F96" i="25"/>
  <c r="F95" i="23"/>
  <c r="F95" i="25" s="1"/>
  <c r="F164" i="23"/>
  <c r="F168" i="23"/>
  <c r="J167" i="23"/>
  <c r="E149" i="23"/>
  <c r="D15" i="36"/>
  <c r="D42" i="25"/>
  <c r="E9" i="36"/>
  <c r="G10" i="36"/>
  <c r="E20" i="36"/>
  <c r="I161" i="23"/>
  <c r="G129" i="25"/>
  <c r="G128" i="23"/>
  <c r="C99" i="25"/>
  <c r="C167" i="23"/>
  <c r="B106" i="25"/>
  <c r="K106" i="23"/>
  <c r="B108" i="23"/>
  <c r="B114" i="23" s="1"/>
  <c r="I90" i="25"/>
  <c r="I159" i="23"/>
  <c r="J19" i="36"/>
  <c r="E78" i="25"/>
  <c r="E148" i="23"/>
  <c r="F54" i="23"/>
  <c r="F54" i="25" s="1"/>
  <c r="G13" i="36"/>
  <c r="E47" i="34"/>
  <c r="E47" i="36" s="1"/>
  <c r="F116" i="25"/>
  <c r="F119" i="25" s="1"/>
  <c r="F119" i="23"/>
  <c r="D12" i="36"/>
  <c r="B92" i="25"/>
  <c r="K92" i="23"/>
  <c r="K92" i="25" s="1"/>
  <c r="D22" i="34"/>
  <c r="D6" i="36"/>
  <c r="J122" i="25"/>
  <c r="J127" i="25" s="1"/>
  <c r="J127" i="23"/>
  <c r="D95" i="23"/>
  <c r="D96" i="25"/>
  <c r="D164" i="23"/>
  <c r="C154" i="23"/>
  <c r="H9" i="36"/>
  <c r="E128" i="23"/>
  <c r="E129" i="25"/>
  <c r="D106" i="25"/>
  <c r="D108" i="23"/>
  <c r="G90" i="25"/>
  <c r="G159" i="23"/>
  <c r="E19" i="36"/>
  <c r="Q61" i="25"/>
  <c r="G93" i="25"/>
  <c r="G161" i="23"/>
  <c r="R42" i="25"/>
  <c r="F13" i="36"/>
  <c r="B159" i="23"/>
  <c r="K54" i="36"/>
  <c r="E54" i="34"/>
  <c r="E54" i="36" s="1"/>
  <c r="J54" i="34"/>
  <c r="J54" i="36" s="1"/>
  <c r="D54" i="34"/>
  <c r="D54" i="36" s="1"/>
  <c r="I54" i="34"/>
  <c r="I54" i="36" s="1"/>
  <c r="C54" i="34"/>
  <c r="C54" i="36" s="1"/>
  <c r="F54" i="34"/>
  <c r="F54" i="36" s="1"/>
  <c r="B54" i="34"/>
  <c r="B54" i="36" s="1"/>
  <c r="H54" i="34"/>
  <c r="H54" i="36" s="1"/>
  <c r="G54" i="34"/>
  <c r="G54" i="36" s="1"/>
  <c r="B17" i="36"/>
  <c r="D116" i="25"/>
  <c r="D119" i="25" s="1"/>
  <c r="D119" i="23"/>
  <c r="E12" i="36"/>
  <c r="J74" i="25"/>
  <c r="J144" i="23"/>
  <c r="U42" i="25"/>
  <c r="U48" i="25" s="1"/>
  <c r="U54" i="25" s="1"/>
  <c r="J6" i="36"/>
  <c r="J22" i="34"/>
  <c r="K61" i="23"/>
  <c r="H127" i="23"/>
  <c r="H122" i="25"/>
  <c r="H127" i="25" s="1"/>
  <c r="G95" i="23"/>
  <c r="G95" i="25" s="1"/>
  <c r="G96" i="25"/>
  <c r="G164" i="23"/>
  <c r="D154" i="23"/>
  <c r="H21" i="23"/>
  <c r="B18" i="36"/>
  <c r="K74" i="23"/>
  <c r="K74" i="25" s="1"/>
  <c r="B74" i="25"/>
  <c r="B144" i="23"/>
  <c r="I85" i="25"/>
  <c r="I154" i="23"/>
  <c r="D21" i="23"/>
  <c r="D32" i="23" s="1"/>
  <c r="H15" i="36"/>
  <c r="I16" i="36"/>
  <c r="F7" i="36"/>
  <c r="H19" i="36"/>
  <c r="D20" i="36"/>
  <c r="H149" i="23"/>
  <c r="B48" i="23"/>
  <c r="F9" i="36"/>
  <c r="H20" i="36"/>
  <c r="I165" i="23"/>
  <c r="F18" i="36"/>
  <c r="C143" i="23"/>
  <c r="F15" i="25"/>
  <c r="F21" i="25" s="1"/>
  <c r="K118" i="23"/>
  <c r="K118" i="25" s="1"/>
  <c r="B118" i="25"/>
  <c r="J128" i="23"/>
  <c r="J129" i="25"/>
  <c r="I106" i="25"/>
  <c r="I108" i="23"/>
  <c r="C21" i="36"/>
  <c r="D90" i="25"/>
  <c r="D159" i="23"/>
  <c r="E42" i="25"/>
  <c r="G19" i="36"/>
  <c r="G8" i="36"/>
  <c r="G144" i="23"/>
  <c r="J13" i="36"/>
  <c r="D73" i="25"/>
  <c r="D75" i="23"/>
  <c r="C17" i="36"/>
  <c r="I119" i="23"/>
  <c r="I116" i="25"/>
  <c r="I119" i="25" s="1"/>
  <c r="J32" i="23"/>
  <c r="D74" i="25"/>
  <c r="D144" i="23"/>
  <c r="J85" i="25"/>
  <c r="J154" i="23"/>
  <c r="I6" i="36"/>
  <c r="I22" i="34"/>
  <c r="E154" i="23"/>
  <c r="F122" i="25"/>
  <c r="F127" i="25" s="1"/>
  <c r="F127" i="23"/>
  <c r="H95" i="23"/>
  <c r="H96" i="25"/>
  <c r="H164" i="23"/>
  <c r="G17" i="26"/>
  <c r="E159" i="23"/>
  <c r="B9" i="36"/>
  <c r="I94" i="23"/>
  <c r="I89" i="25"/>
  <c r="I158" i="23"/>
  <c r="G78" i="25"/>
  <c r="G148" i="23"/>
  <c r="D13" i="36"/>
  <c r="H17" i="36"/>
  <c r="D14" i="36"/>
  <c r="C8" i="36"/>
  <c r="L28" i="23"/>
  <c r="T42" i="25"/>
  <c r="D11" i="36"/>
  <c r="R152" i="24"/>
  <c r="G20" i="36"/>
  <c r="E89" i="25"/>
  <c r="E94" i="23"/>
  <c r="D18" i="36"/>
  <c r="K129" i="23"/>
  <c r="B128" i="23"/>
  <c r="B129" i="25"/>
  <c r="I99" i="25"/>
  <c r="I167" i="23"/>
  <c r="J21" i="36"/>
  <c r="E48" i="23"/>
  <c r="E48" i="25" s="1"/>
  <c r="C19" i="36"/>
  <c r="H13" i="36"/>
  <c r="B7" i="36"/>
  <c r="I73" i="25"/>
  <c r="I75" i="23"/>
  <c r="B147" i="23"/>
  <c r="E56" i="34"/>
  <c r="E56" i="36" s="1"/>
  <c r="I56" i="34"/>
  <c r="I56" i="36" s="1"/>
  <c r="C56" i="34"/>
  <c r="C56" i="36" s="1"/>
  <c r="B56" i="34"/>
  <c r="B56" i="36" s="1"/>
  <c r="G56" i="34"/>
  <c r="G56" i="36" s="1"/>
  <c r="D56" i="34"/>
  <c r="D56" i="36" s="1"/>
  <c r="F56" i="34"/>
  <c r="F56" i="36" s="1"/>
  <c r="G17" i="36"/>
  <c r="H119" i="23"/>
  <c r="H116" i="25"/>
  <c r="H119" i="25" s="1"/>
  <c r="I42" i="25"/>
  <c r="B14" i="36"/>
  <c r="H161" i="23"/>
  <c r="J15" i="25"/>
  <c r="J21" i="25" s="1"/>
  <c r="B123" i="25"/>
  <c r="K123" i="23"/>
  <c r="K123" i="25" s="1"/>
  <c r="F6" i="36"/>
  <c r="F22" i="34"/>
  <c r="G11" i="36"/>
  <c r="N61" i="25"/>
  <c r="C42" i="25"/>
  <c r="G122" i="25"/>
  <c r="G127" i="25" s="1"/>
  <c r="G127" i="23"/>
  <c r="J95" i="23"/>
  <c r="J96" i="25"/>
  <c r="J164" i="23"/>
  <c r="D143" i="23"/>
  <c r="E147" i="23"/>
  <c r="F15" i="36"/>
  <c r="K9" i="25"/>
  <c r="E7" i="36"/>
  <c r="F73" i="25"/>
  <c r="F75" i="23"/>
  <c r="F143" i="23"/>
  <c r="J9" i="36"/>
  <c r="G89" i="25"/>
  <c r="G94" i="23"/>
  <c r="B42" i="25"/>
  <c r="I9" i="36"/>
  <c r="D10" i="36"/>
  <c r="N42" i="25"/>
  <c r="N48" i="25" s="1"/>
  <c r="P42" i="25"/>
  <c r="P48" i="25" s="1"/>
  <c r="C20" i="36"/>
  <c r="H89" i="25"/>
  <c r="H94" i="25" s="1"/>
  <c r="H94" i="23"/>
  <c r="H158" i="23"/>
  <c r="H18" i="36"/>
  <c r="F80" i="25"/>
  <c r="F150" i="23"/>
  <c r="G79" i="25"/>
  <c r="G149" i="23"/>
  <c r="F32" i="23"/>
  <c r="F129" i="25"/>
  <c r="F128" i="23"/>
  <c r="H99" i="25"/>
  <c r="H167" i="23"/>
  <c r="D21" i="36"/>
  <c r="Q42" i="25"/>
  <c r="Q48" i="25" s="1"/>
  <c r="I21" i="25"/>
  <c r="I29" i="25" s="1"/>
  <c r="F19" i="36"/>
  <c r="H7" i="36"/>
  <c r="K73" i="23"/>
  <c r="B73" i="25"/>
  <c r="B75" i="23"/>
  <c r="B81" i="23" s="1"/>
  <c r="B143" i="23"/>
  <c r="K84" i="23"/>
  <c r="K84" i="25" s="1"/>
  <c r="B84" i="25"/>
  <c r="D17" i="36"/>
  <c r="C119" i="23"/>
  <c r="C116" i="25"/>
  <c r="C119" i="25" s="1"/>
  <c r="B107" i="25"/>
  <c r="K107" i="23"/>
  <c r="K107" i="25" s="1"/>
  <c r="C74" i="25"/>
  <c r="C144" i="23"/>
  <c r="G66" i="36"/>
  <c r="I14" i="36"/>
  <c r="F85" i="25"/>
  <c r="F154" i="23"/>
  <c r="C22" i="34"/>
  <c r="C6" i="36"/>
  <c r="K122" i="23"/>
  <c r="B122" i="25"/>
  <c r="B127" i="23"/>
  <c r="I95" i="23"/>
  <c r="I96" i="25"/>
  <c r="I164" i="23"/>
  <c r="I149" i="23"/>
  <c r="J161" i="23"/>
  <c r="I21" i="23"/>
  <c r="I32" i="23" s="1"/>
  <c r="E167" i="23"/>
  <c r="D9" i="36"/>
  <c r="C15" i="36"/>
  <c r="J15" i="36"/>
  <c r="E86" i="23"/>
  <c r="E83" i="25"/>
  <c r="E86" i="25" s="1"/>
  <c r="E153" i="23"/>
  <c r="K42" i="23"/>
  <c r="K48" i="23" s="1"/>
  <c r="J10" i="36"/>
  <c r="G16" i="36"/>
  <c r="B15" i="25"/>
  <c r="G21" i="36"/>
  <c r="C77" i="25"/>
  <c r="C147" i="23"/>
  <c r="D8" i="36"/>
  <c r="K112" i="23"/>
  <c r="K112" i="25" s="1"/>
  <c r="B112" i="25"/>
  <c r="K124" i="23"/>
  <c r="K124" i="25" s="1"/>
  <c r="B124" i="25"/>
  <c r="I7" i="36"/>
  <c r="G73" i="25"/>
  <c r="G75" i="23"/>
  <c r="G143" i="23"/>
  <c r="E17" i="36"/>
  <c r="E119" i="23"/>
  <c r="E116" i="25"/>
  <c r="E119" i="25" s="1"/>
  <c r="F74" i="25"/>
  <c r="F144" i="23"/>
  <c r="I48" i="23"/>
  <c r="F14" i="36"/>
  <c r="B85" i="25"/>
  <c r="K85" i="23"/>
  <c r="B154" i="23"/>
  <c r="E6" i="36"/>
  <c r="E22" i="34"/>
  <c r="B113" i="25"/>
  <c r="K113" i="23"/>
  <c r="K113" i="25" s="1"/>
  <c r="D127" i="23"/>
  <c r="D122" i="25"/>
  <c r="D127" i="25" s="1"/>
  <c r="C95" i="23"/>
  <c r="C96" i="25"/>
  <c r="C164" i="23"/>
  <c r="F161" i="23"/>
  <c r="D167" i="23"/>
  <c r="F149" i="23"/>
  <c r="E10" i="36"/>
  <c r="F90" i="25"/>
  <c r="F159" i="23"/>
  <c r="C12" i="36"/>
  <c r="J91" i="25"/>
  <c r="J160" i="23"/>
  <c r="B146" i="23"/>
  <c r="G9" i="36"/>
  <c r="I10" i="36"/>
  <c r="H106" i="25"/>
  <c r="H108" i="23"/>
  <c r="H114" i="23" s="1"/>
  <c r="B165" i="24"/>
  <c r="I13" i="36"/>
  <c r="J12" i="36"/>
  <c r="E14" i="36"/>
  <c r="K22" i="36"/>
  <c r="D86" i="23"/>
  <c r="D83" i="25"/>
  <c r="D86" i="25" s="1"/>
  <c r="D153" i="23"/>
  <c r="G150" i="23"/>
  <c r="K111" i="23"/>
  <c r="K111" i="25" s="1"/>
  <c r="B111" i="25"/>
  <c r="H16" i="36"/>
  <c r="B109" i="25"/>
  <c r="K109" i="23"/>
  <c r="K109" i="25" s="1"/>
  <c r="C18" i="36"/>
  <c r="U61" i="25"/>
  <c r="G99" i="25"/>
  <c r="G167" i="23"/>
  <c r="I15" i="36"/>
  <c r="K126" i="23"/>
  <c r="K126" i="25" s="1"/>
  <c r="B126" i="25"/>
  <c r="H83" i="25"/>
  <c r="H86" i="25" s="1"/>
  <c r="H86" i="23"/>
  <c r="H153" i="23"/>
  <c r="F20" i="36"/>
  <c r="K89" i="23"/>
  <c r="B89" i="25"/>
  <c r="B94" i="23"/>
  <c r="B158" i="23"/>
  <c r="I18" i="36"/>
  <c r="D80" i="25"/>
  <c r="D150" i="23"/>
  <c r="C79" i="25"/>
  <c r="C149" i="23"/>
  <c r="D129" i="25"/>
  <c r="D128" i="23"/>
  <c r="B99" i="25"/>
  <c r="K99" i="23"/>
  <c r="E32" i="23"/>
  <c r="E15" i="36"/>
  <c r="C83" i="25"/>
  <c r="C86" i="25" s="1"/>
  <c r="C86" i="23"/>
  <c r="C153" i="23"/>
  <c r="E16" i="36"/>
  <c r="R65" i="24"/>
  <c r="R162" i="24" s="1"/>
  <c r="I20" i="36"/>
  <c r="K100" i="23"/>
  <c r="B100" i="25"/>
  <c r="C89" i="25"/>
  <c r="C94" i="23"/>
  <c r="C158" i="23"/>
  <c r="G18" i="36"/>
  <c r="B79" i="25"/>
  <c r="K79" i="23"/>
  <c r="H128" i="23"/>
  <c r="H129" i="25"/>
  <c r="S61" i="25"/>
  <c r="F21" i="36"/>
  <c r="J8" i="36"/>
  <c r="D78" i="25"/>
  <c r="D148" i="23"/>
  <c r="C93" i="25"/>
  <c r="C161" i="23"/>
  <c r="B35" i="23"/>
  <c r="C7" i="36"/>
  <c r="E73" i="25"/>
  <c r="E75" i="23"/>
  <c r="F17" i="36"/>
  <c r="G119" i="23"/>
  <c r="G116" i="25"/>
  <c r="G119" i="25" s="1"/>
  <c r="K91" i="23"/>
  <c r="K91" i="25" s="1"/>
  <c r="B91" i="25"/>
  <c r="B160" i="23"/>
  <c r="I147" i="23"/>
  <c r="H74" i="25"/>
  <c r="H144" i="23"/>
  <c r="C14" i="36"/>
  <c r="G22" i="34"/>
  <c r="G6" i="36"/>
  <c r="B11" i="36"/>
  <c r="C32" i="23"/>
  <c r="C35" i="23" s="1"/>
  <c r="O42" i="25"/>
  <c r="O48" i="25" s="1"/>
  <c r="I127" i="23"/>
  <c r="I122" i="25"/>
  <c r="I127" i="25" s="1"/>
  <c r="E95" i="23"/>
  <c r="E95" i="25" s="1"/>
  <c r="E96" i="25"/>
  <c r="E164" i="23"/>
  <c r="J158" i="23"/>
  <c r="F158" i="23"/>
  <c r="J56" i="34" l="1"/>
  <c r="J56" i="36" s="1"/>
  <c r="H56" i="34"/>
  <c r="H56" i="36" s="1"/>
  <c r="J60" i="34"/>
  <c r="J60" i="36" s="1"/>
  <c r="G162" i="23"/>
  <c r="K74" i="36"/>
  <c r="E49" i="34"/>
  <c r="E49" i="36" s="1"/>
  <c r="G58" i="34"/>
  <c r="G58" i="36" s="1"/>
  <c r="B55" i="34"/>
  <c r="B55" i="36" s="1"/>
  <c r="C55" i="34"/>
  <c r="C55" i="36" s="1"/>
  <c r="C48" i="34"/>
  <c r="C48" i="36" s="1"/>
  <c r="E53" i="34"/>
  <c r="E53" i="36" s="1"/>
  <c r="F55" i="34"/>
  <c r="F55" i="36" s="1"/>
  <c r="E58" i="34"/>
  <c r="E58" i="36" s="1"/>
  <c r="D58" i="34"/>
  <c r="D58" i="36" s="1"/>
  <c r="D55" i="34"/>
  <c r="D55" i="36" s="1"/>
  <c r="I58" i="34"/>
  <c r="I58" i="36" s="1"/>
  <c r="B58" i="34"/>
  <c r="B58" i="36" s="1"/>
  <c r="E55" i="34"/>
  <c r="E55" i="36" s="1"/>
  <c r="F58" i="34"/>
  <c r="F58" i="36" s="1"/>
  <c r="D60" i="34"/>
  <c r="D60" i="36" s="1"/>
  <c r="E59" i="34"/>
  <c r="E59" i="36" s="1"/>
  <c r="H60" i="34"/>
  <c r="H60" i="36" s="1"/>
  <c r="F48" i="34"/>
  <c r="F48" i="36" s="1"/>
  <c r="C59" i="34"/>
  <c r="C59" i="36" s="1"/>
  <c r="F59" i="34"/>
  <c r="F59" i="36" s="1"/>
  <c r="B48" i="34"/>
  <c r="B48" i="36" s="1"/>
  <c r="G59" i="34"/>
  <c r="G59" i="36" s="1"/>
  <c r="J59" i="34"/>
  <c r="J59" i="36" s="1"/>
  <c r="I59" i="34"/>
  <c r="I59" i="36" s="1"/>
  <c r="B59" i="34"/>
  <c r="B59" i="36" s="1"/>
  <c r="C60" i="34"/>
  <c r="C60" i="36" s="1"/>
  <c r="I49" i="34"/>
  <c r="I49" i="36" s="1"/>
  <c r="C51" i="34"/>
  <c r="C51" i="36" s="1"/>
  <c r="G145" i="23"/>
  <c r="H61" i="34"/>
  <c r="H61" i="36" s="1"/>
  <c r="D61" i="34"/>
  <c r="D61" i="36" s="1"/>
  <c r="K47" i="36"/>
  <c r="I61" i="34"/>
  <c r="I61" i="36" s="1"/>
  <c r="B61" i="34"/>
  <c r="B61" i="36" s="1"/>
  <c r="K61" i="36"/>
  <c r="F61" i="34"/>
  <c r="F61" i="36" s="1"/>
  <c r="J52" i="34"/>
  <c r="J52" i="36" s="1"/>
  <c r="K52" i="36"/>
  <c r="F52" i="34"/>
  <c r="F52" i="36" s="1"/>
  <c r="G52" i="34"/>
  <c r="G52" i="36" s="1"/>
  <c r="I52" i="34"/>
  <c r="I52" i="36" s="1"/>
  <c r="H52" i="34"/>
  <c r="H52" i="36" s="1"/>
  <c r="C61" i="34"/>
  <c r="C61" i="36" s="1"/>
  <c r="D52" i="34"/>
  <c r="D52" i="36" s="1"/>
  <c r="G61" i="34"/>
  <c r="G61" i="36" s="1"/>
  <c r="C52" i="34"/>
  <c r="C52" i="36" s="1"/>
  <c r="J61" i="34"/>
  <c r="J61" i="36" s="1"/>
  <c r="B52" i="34"/>
  <c r="B52" i="36" s="1"/>
  <c r="B47" i="34"/>
  <c r="B47" i="36" s="1"/>
  <c r="B155" i="23"/>
  <c r="F47" i="34"/>
  <c r="F47" i="36" s="1"/>
  <c r="K60" i="36"/>
  <c r="G60" i="34"/>
  <c r="G60" i="36" s="1"/>
  <c r="E48" i="34"/>
  <c r="E48" i="36" s="1"/>
  <c r="I53" i="34"/>
  <c r="I53" i="36" s="1"/>
  <c r="K59" i="36"/>
  <c r="B60" i="34"/>
  <c r="B60" i="36" s="1"/>
  <c r="H48" i="34"/>
  <c r="H48" i="36" s="1"/>
  <c r="B50" i="34"/>
  <c r="B50" i="36" s="1"/>
  <c r="J53" i="34"/>
  <c r="J53" i="36" s="1"/>
  <c r="K75" i="36"/>
  <c r="G53" i="34"/>
  <c r="G53" i="36" s="1"/>
  <c r="K49" i="36"/>
  <c r="I60" i="34"/>
  <c r="I60" i="36" s="1"/>
  <c r="B53" i="34"/>
  <c r="B53" i="36" s="1"/>
  <c r="E50" i="34"/>
  <c r="E50" i="36" s="1"/>
  <c r="F49" i="34"/>
  <c r="F49" i="36" s="1"/>
  <c r="D155" i="23"/>
  <c r="F60" i="34"/>
  <c r="F60" i="36" s="1"/>
  <c r="D47" i="34"/>
  <c r="D47" i="36" s="1"/>
  <c r="D50" i="34"/>
  <c r="D50" i="36" s="1"/>
  <c r="H53" i="34"/>
  <c r="H53" i="36" s="1"/>
  <c r="I47" i="34"/>
  <c r="I47" i="36" s="1"/>
  <c r="C50" i="34"/>
  <c r="C50" i="36" s="1"/>
  <c r="J49" i="34"/>
  <c r="J49" i="36" s="1"/>
  <c r="K48" i="36"/>
  <c r="G47" i="34"/>
  <c r="G47" i="36" s="1"/>
  <c r="J50" i="34"/>
  <c r="J50" i="36" s="1"/>
  <c r="K77" i="36"/>
  <c r="K62" i="34"/>
  <c r="M62" i="34" s="1"/>
  <c r="K72" i="36"/>
  <c r="H49" i="34"/>
  <c r="H49" i="36" s="1"/>
  <c r="D48" i="34"/>
  <c r="D48" i="36" s="1"/>
  <c r="H47" i="34"/>
  <c r="H47" i="36" s="1"/>
  <c r="I50" i="34"/>
  <c r="I50" i="36" s="1"/>
  <c r="K80" i="36"/>
  <c r="F50" i="34"/>
  <c r="F50" i="36" s="1"/>
  <c r="J48" i="34"/>
  <c r="J48" i="36" s="1"/>
  <c r="J47" i="34"/>
  <c r="J47" i="36" s="1"/>
  <c r="K50" i="36"/>
  <c r="C53" i="34"/>
  <c r="C53" i="36" s="1"/>
  <c r="F82" i="34"/>
  <c r="F82" i="36" s="1"/>
  <c r="I48" i="34"/>
  <c r="I48" i="36" s="1"/>
  <c r="B49" i="34"/>
  <c r="B49" i="36" s="1"/>
  <c r="C49" i="34"/>
  <c r="C49" i="36" s="1"/>
  <c r="G49" i="34"/>
  <c r="G49" i="36" s="1"/>
  <c r="H59" i="34"/>
  <c r="H59" i="36" s="1"/>
  <c r="K73" i="36"/>
  <c r="J51" i="34"/>
  <c r="J51" i="36" s="1"/>
  <c r="B57" i="34"/>
  <c r="B57" i="36" s="1"/>
  <c r="K58" i="36"/>
  <c r="G46" i="34"/>
  <c r="G46" i="36" s="1"/>
  <c r="E46" i="34"/>
  <c r="E46" i="36" s="1"/>
  <c r="H55" i="34"/>
  <c r="H55" i="36" s="1"/>
  <c r="H46" i="34"/>
  <c r="H46" i="36" s="1"/>
  <c r="C82" i="34"/>
  <c r="C82" i="36" s="1"/>
  <c r="G55" i="34"/>
  <c r="G55" i="36" s="1"/>
  <c r="F51" i="34"/>
  <c r="F51" i="36" s="1"/>
  <c r="C46" i="34"/>
  <c r="C46" i="36" s="1"/>
  <c r="B46" i="34"/>
  <c r="B46" i="36" s="1"/>
  <c r="J55" i="34"/>
  <c r="J55" i="36" s="1"/>
  <c r="K51" i="36"/>
  <c r="J46" i="34"/>
  <c r="J46" i="36" s="1"/>
  <c r="K71" i="36"/>
  <c r="J58" i="34"/>
  <c r="J58" i="36" s="1"/>
  <c r="I51" i="34"/>
  <c r="I51" i="36" s="1"/>
  <c r="F46" i="34"/>
  <c r="F46" i="36" s="1"/>
  <c r="I46" i="34"/>
  <c r="I46" i="36" s="1"/>
  <c r="D82" i="34"/>
  <c r="D82" i="36" s="1"/>
  <c r="I55" i="34"/>
  <c r="I55" i="36" s="1"/>
  <c r="C58" i="34"/>
  <c r="C58" i="36" s="1"/>
  <c r="E51" i="34"/>
  <c r="E51" i="36" s="1"/>
  <c r="D46" i="34"/>
  <c r="D46" i="36" s="1"/>
  <c r="H51" i="34"/>
  <c r="H51" i="36" s="1"/>
  <c r="K76" i="36"/>
  <c r="K79" i="36"/>
  <c r="K68" i="36"/>
  <c r="D57" i="34"/>
  <c r="D57" i="36" s="1"/>
  <c r="K81" i="36"/>
  <c r="K67" i="36"/>
  <c r="F57" i="34"/>
  <c r="F57" i="36" s="1"/>
  <c r="K57" i="36"/>
  <c r="K26" i="34" a="1"/>
  <c r="K30" i="34" s="1"/>
  <c r="E82" i="34"/>
  <c r="E82" i="36" s="1"/>
  <c r="H57" i="34"/>
  <c r="H57" i="36" s="1"/>
  <c r="G57" i="34"/>
  <c r="G57" i="36" s="1"/>
  <c r="E57" i="34"/>
  <c r="E57" i="36" s="1"/>
  <c r="C57" i="34"/>
  <c r="C57" i="36" s="1"/>
  <c r="I162" i="23"/>
  <c r="J57" i="34"/>
  <c r="J57" i="36" s="1"/>
  <c r="B51" i="34"/>
  <c r="B51" i="36" s="1"/>
  <c r="K46" i="36"/>
  <c r="G51" i="34"/>
  <c r="G51" i="36" s="1"/>
  <c r="I94" i="25"/>
  <c r="E54" i="23"/>
  <c r="E54" i="25" s="1"/>
  <c r="E94" i="25"/>
  <c r="I82" i="34"/>
  <c r="I82" i="36" s="1"/>
  <c r="G94" i="25"/>
  <c r="G155" i="23"/>
  <c r="D65" i="23"/>
  <c r="D68" i="23" s="1"/>
  <c r="D68" i="25" s="1"/>
  <c r="D22" i="26" s="1"/>
  <c r="G82" i="34"/>
  <c r="G82" i="36" s="1"/>
  <c r="B82" i="34"/>
  <c r="B82" i="36" s="1"/>
  <c r="K69" i="36"/>
  <c r="C155" i="23"/>
  <c r="H54" i="23"/>
  <c r="F163" i="23"/>
  <c r="E162" i="23"/>
  <c r="B127" i="25"/>
  <c r="C81" i="23"/>
  <c r="C151" i="23" s="1"/>
  <c r="K78" i="36"/>
  <c r="O54" i="25"/>
  <c r="O62" i="25" s="1"/>
  <c r="G86" i="25"/>
  <c r="C65" i="23"/>
  <c r="C68" i="23" s="1"/>
  <c r="C68" i="25" s="1"/>
  <c r="C22" i="26" s="1"/>
  <c r="D29" i="25"/>
  <c r="D32" i="25" s="1"/>
  <c r="C162" i="23"/>
  <c r="T48" i="25"/>
  <c r="K70" i="36"/>
  <c r="G163" i="23"/>
  <c r="C29" i="25"/>
  <c r="C32" i="25" s="1"/>
  <c r="C35" i="25" s="1"/>
  <c r="D94" i="25"/>
  <c r="H32" i="25"/>
  <c r="H35" i="25" s="1"/>
  <c r="S62" i="25"/>
  <c r="H145" i="23"/>
  <c r="F65" i="23"/>
  <c r="F68" i="23" s="1"/>
  <c r="F68" i="25" s="1"/>
  <c r="F22" i="26" s="1"/>
  <c r="P54" i="25"/>
  <c r="P62" i="25" s="1"/>
  <c r="I114" i="23"/>
  <c r="C120" i="23"/>
  <c r="C131" i="23" s="1"/>
  <c r="C134" i="23" s="1"/>
  <c r="E163" i="23"/>
  <c r="G32" i="25"/>
  <c r="G35" i="25" s="1"/>
  <c r="I86" i="25"/>
  <c r="J114" i="23"/>
  <c r="J120" i="23" s="1"/>
  <c r="J131" i="23" s="1"/>
  <c r="J134" i="23" s="1"/>
  <c r="D162" i="23"/>
  <c r="E155" i="23"/>
  <c r="G81" i="23"/>
  <c r="G151" i="23" s="1"/>
  <c r="B120" i="23"/>
  <c r="B131" i="23" s="1"/>
  <c r="H155" i="23"/>
  <c r="J82" i="34"/>
  <c r="J82" i="36" s="1"/>
  <c r="H82" i="34"/>
  <c r="H82" i="36" s="1"/>
  <c r="J94" i="25"/>
  <c r="N54" i="25"/>
  <c r="N62" i="25" s="1"/>
  <c r="N65" i="25" s="1"/>
  <c r="N68" i="25" s="1"/>
  <c r="I145" i="23"/>
  <c r="C145" i="23"/>
  <c r="D114" i="23"/>
  <c r="D120" i="23" s="1"/>
  <c r="D131" i="23" s="1"/>
  <c r="D134" i="23" s="1"/>
  <c r="G65" i="25"/>
  <c r="S65" i="25"/>
  <c r="S68" i="25" s="1"/>
  <c r="F29" i="25"/>
  <c r="F32" i="25" s="1"/>
  <c r="C12" i="26"/>
  <c r="U62" i="25"/>
  <c r="E29" i="25"/>
  <c r="E32" i="25" s="1"/>
  <c r="K86" i="23"/>
  <c r="K83" i="25"/>
  <c r="K153" i="23"/>
  <c r="I48" i="25"/>
  <c r="F35" i="23"/>
  <c r="F75" i="25"/>
  <c r="F81" i="25" s="1"/>
  <c r="H95" i="25"/>
  <c r="H163" i="23"/>
  <c r="L32" i="23"/>
  <c r="C108" i="25"/>
  <c r="C114" i="25" s="1"/>
  <c r="J155" i="23"/>
  <c r="G108" i="25"/>
  <c r="K160" i="23"/>
  <c r="B12" i="26"/>
  <c r="H120" i="23"/>
  <c r="K127" i="23"/>
  <c r="K122" i="25"/>
  <c r="K127" i="25" s="1"/>
  <c r="J95" i="25"/>
  <c r="J163" i="23"/>
  <c r="K128" i="23"/>
  <c r="K129" i="25"/>
  <c r="L21" i="23"/>
  <c r="J86" i="25"/>
  <c r="F108" i="25"/>
  <c r="F114" i="25" s="1"/>
  <c r="F120" i="25" s="1"/>
  <c r="H81" i="23"/>
  <c r="J162" i="23"/>
  <c r="B54" i="23"/>
  <c r="B65" i="23" s="1"/>
  <c r="H32" i="23"/>
  <c r="H35" i="23" s="1"/>
  <c r="E22" i="36"/>
  <c r="Q54" i="25"/>
  <c r="Q62" i="25" s="1"/>
  <c r="I22" i="36"/>
  <c r="J35" i="23"/>
  <c r="D35" i="23"/>
  <c r="D95" i="25"/>
  <c r="D163" i="23"/>
  <c r="K108" i="23"/>
  <c r="K114" i="23" s="1"/>
  <c r="K106" i="25"/>
  <c r="K78" i="25"/>
  <c r="K148" i="23"/>
  <c r="K97" i="25"/>
  <c r="K165" i="23"/>
  <c r="I155" i="23"/>
  <c r="K80" i="25"/>
  <c r="K150" i="23"/>
  <c r="K93" i="25"/>
  <c r="K161" i="23"/>
  <c r="C75" i="25"/>
  <c r="C81" i="25" s="1"/>
  <c r="H22" i="36"/>
  <c r="J81" i="23"/>
  <c r="B21" i="25"/>
  <c r="B29" i="25" s="1"/>
  <c r="I54" i="23"/>
  <c r="I54" i="25" s="1"/>
  <c r="I35" i="23"/>
  <c r="B87" i="23"/>
  <c r="B98" i="23" s="1"/>
  <c r="B101" i="23" s="1"/>
  <c r="E145" i="23"/>
  <c r="J29" i="25"/>
  <c r="J32" i="25" s="1"/>
  <c r="D81" i="23"/>
  <c r="R48" i="25"/>
  <c r="D145" i="23"/>
  <c r="V54" i="25"/>
  <c r="V62" i="25" s="1"/>
  <c r="L15" i="23"/>
  <c r="J108" i="25"/>
  <c r="I108" i="25"/>
  <c r="I114" i="25" s="1"/>
  <c r="K54" i="23"/>
  <c r="J145" i="23"/>
  <c r="B162" i="23"/>
  <c r="K15" i="25"/>
  <c r="F22" i="36"/>
  <c r="B145" i="23"/>
  <c r="K76" i="25"/>
  <c r="K146" i="23"/>
  <c r="E114" i="23"/>
  <c r="I32" i="25"/>
  <c r="I35" i="25" s="1"/>
  <c r="G54" i="25"/>
  <c r="G68" i="23"/>
  <c r="H108" i="25"/>
  <c r="K99" i="25"/>
  <c r="K167" i="23"/>
  <c r="J22" i="36"/>
  <c r="F162" i="23"/>
  <c r="F145" i="23"/>
  <c r="C22" i="36"/>
  <c r="E35" i="23"/>
  <c r="B94" i="25"/>
  <c r="G75" i="25"/>
  <c r="D108" i="25"/>
  <c r="D114" i="25" s="1"/>
  <c r="D22" i="36"/>
  <c r="B95" i="25"/>
  <c r="B163" i="23"/>
  <c r="K35" i="23"/>
  <c r="B138" i="23" s="1"/>
  <c r="F155" i="23"/>
  <c r="G120" i="23"/>
  <c r="F94" i="25"/>
  <c r="K66" i="36"/>
  <c r="B108" i="25"/>
  <c r="B114" i="25" s="1"/>
  <c r="B22" i="36"/>
  <c r="K144" i="23"/>
  <c r="C94" i="25"/>
  <c r="J75" i="25"/>
  <c r="E81" i="23"/>
  <c r="K100" i="25"/>
  <c r="K168" i="23"/>
  <c r="K89" i="25"/>
  <c r="K94" i="23"/>
  <c r="K158" i="23"/>
  <c r="B75" i="25"/>
  <c r="I81" i="23"/>
  <c r="I87" i="23" s="1"/>
  <c r="C95" i="25"/>
  <c r="C163" i="23"/>
  <c r="K75" i="23"/>
  <c r="K81" i="23" s="1"/>
  <c r="K73" i="25"/>
  <c r="K143" i="23"/>
  <c r="H162" i="23"/>
  <c r="F81" i="23"/>
  <c r="K96" i="25"/>
  <c r="K95" i="23"/>
  <c r="K164" i="23"/>
  <c r="B119" i="25"/>
  <c r="F114" i="23"/>
  <c r="F120" i="23" s="1"/>
  <c r="F131" i="23" s="1"/>
  <c r="F86" i="25"/>
  <c r="K147" i="23"/>
  <c r="K79" i="25"/>
  <c r="K149" i="23"/>
  <c r="H75" i="25"/>
  <c r="H81" i="25" s="1"/>
  <c r="H87" i="25" s="1"/>
  <c r="B48" i="25"/>
  <c r="B151" i="23"/>
  <c r="K90" i="25"/>
  <c r="K159" i="23"/>
  <c r="G22" i="36"/>
  <c r="K85" i="25"/>
  <c r="K154" i="23"/>
  <c r="E75" i="25"/>
  <c r="E81" i="25" s="1"/>
  <c r="I95" i="25"/>
  <c r="I163" i="23"/>
  <c r="I75" i="25"/>
  <c r="I81" i="25" s="1"/>
  <c r="R68" i="24"/>
  <c r="R165" i="24" s="1"/>
  <c r="D75" i="25"/>
  <c r="K119" i="23"/>
  <c r="K116" i="25"/>
  <c r="K119" i="25" s="1"/>
  <c r="E108" i="25"/>
  <c r="B86" i="25"/>
  <c r="J65" i="23"/>
  <c r="K38" i="34" l="1"/>
  <c r="F65" i="25"/>
  <c r="D65" i="25"/>
  <c r="P65" i="25"/>
  <c r="P68" i="25" s="1"/>
  <c r="K34" i="34"/>
  <c r="J34" i="34" s="1"/>
  <c r="K36" i="34"/>
  <c r="I36" i="34" s="1"/>
  <c r="E65" i="23"/>
  <c r="G87" i="23"/>
  <c r="G98" i="23" s="1"/>
  <c r="D62" i="34"/>
  <c r="D62" i="36" s="1"/>
  <c r="R65" i="25"/>
  <c r="R68" i="25" s="1"/>
  <c r="K39" i="34"/>
  <c r="G39" i="34" s="1"/>
  <c r="F62" i="34"/>
  <c r="F62" i="36" s="1"/>
  <c r="I62" i="34"/>
  <c r="I62" i="36" s="1"/>
  <c r="K62" i="36"/>
  <c r="B62" i="34"/>
  <c r="B62" i="36" s="1"/>
  <c r="K40" i="34"/>
  <c r="K100" i="34" s="1"/>
  <c r="K33" i="34"/>
  <c r="F33" i="34" s="1"/>
  <c r="K35" i="34"/>
  <c r="D35" i="34" s="1"/>
  <c r="K27" i="34"/>
  <c r="H27" i="34" s="1"/>
  <c r="E62" i="34"/>
  <c r="E62" i="36" s="1"/>
  <c r="K28" i="34"/>
  <c r="I28" i="34" s="1"/>
  <c r="C62" i="34"/>
  <c r="C62" i="36" s="1"/>
  <c r="K37" i="34"/>
  <c r="J37" i="34" s="1"/>
  <c r="C65" i="25"/>
  <c r="O65" i="25"/>
  <c r="O68" i="25" s="1"/>
  <c r="K41" i="34"/>
  <c r="H41" i="34" s="1"/>
  <c r="K26" i="34"/>
  <c r="K26" i="36" s="1"/>
  <c r="K82" i="36"/>
  <c r="J62" i="34"/>
  <c r="J62" i="36" s="1"/>
  <c r="K32" i="34"/>
  <c r="E32" i="34" s="1"/>
  <c r="G62" i="34"/>
  <c r="G62" i="36" s="1"/>
  <c r="K31" i="34"/>
  <c r="F31" i="34" s="1"/>
  <c r="D35" i="25"/>
  <c r="J151" i="23"/>
  <c r="H62" i="34"/>
  <c r="H62" i="36" s="1"/>
  <c r="K29" i="34"/>
  <c r="K89" i="34" s="1"/>
  <c r="B134" i="23"/>
  <c r="J87" i="23"/>
  <c r="J156" i="23" s="1"/>
  <c r="H54" i="25"/>
  <c r="H65" i="23"/>
  <c r="T54" i="25"/>
  <c r="T62" i="25" s="1"/>
  <c r="K120" i="23"/>
  <c r="K131" i="23" s="1"/>
  <c r="K134" i="23" s="1"/>
  <c r="G23" i="36"/>
  <c r="C87" i="23"/>
  <c r="I98" i="23"/>
  <c r="I101" i="23" s="1"/>
  <c r="I120" i="25"/>
  <c r="I128" i="25" s="1"/>
  <c r="I131" i="25" s="1"/>
  <c r="C87" i="25"/>
  <c r="C98" i="25" s="1"/>
  <c r="C101" i="25" s="1"/>
  <c r="K145" i="23"/>
  <c r="E120" i="23"/>
  <c r="I151" i="23"/>
  <c r="K155" i="23"/>
  <c r="G131" i="23"/>
  <c r="I120" i="23"/>
  <c r="I131" i="23" s="1"/>
  <c r="I134" i="23" s="1"/>
  <c r="B32" i="25"/>
  <c r="B35" i="25" s="1"/>
  <c r="K162" i="23"/>
  <c r="H12" i="26"/>
  <c r="H138" i="23"/>
  <c r="H8" i="26" s="1"/>
  <c r="H9" i="26" s="1"/>
  <c r="H10" i="26" s="1"/>
  <c r="I87" i="25"/>
  <c r="B8" i="26"/>
  <c r="B9" i="26" s="1"/>
  <c r="B10" i="26" s="1"/>
  <c r="C17" i="26"/>
  <c r="H151" i="23"/>
  <c r="F87" i="25"/>
  <c r="R54" i="25"/>
  <c r="R62" i="25" s="1"/>
  <c r="B81" i="25"/>
  <c r="B87" i="25" s="1"/>
  <c r="K151" i="23"/>
  <c r="B65" i="25"/>
  <c r="B166" i="23"/>
  <c r="C31" i="34"/>
  <c r="J31" i="34"/>
  <c r="B68" i="23"/>
  <c r="E35" i="25"/>
  <c r="C120" i="25"/>
  <c r="C128" i="25" s="1"/>
  <c r="C131" i="25" s="1"/>
  <c r="C134" i="25" s="1"/>
  <c r="C23" i="26" s="1"/>
  <c r="F12" i="26"/>
  <c r="F138" i="23"/>
  <c r="F8" i="26" s="1"/>
  <c r="F9" i="26" s="1"/>
  <c r="F10" i="26" s="1"/>
  <c r="K65" i="23"/>
  <c r="L35" i="23"/>
  <c r="G138" i="23"/>
  <c r="G8" i="26" s="1"/>
  <c r="G9" i="26" s="1"/>
  <c r="G10" i="26" s="1"/>
  <c r="G81" i="25"/>
  <c r="G87" i="25" s="1"/>
  <c r="E114" i="25"/>
  <c r="E120" i="25" s="1"/>
  <c r="E65" i="25"/>
  <c r="Q65" i="25"/>
  <c r="Q68" i="25" s="1"/>
  <c r="E68" i="23"/>
  <c r="E68" i="25" s="1"/>
  <c r="E22" i="26" s="1"/>
  <c r="F128" i="25"/>
  <c r="B17" i="26"/>
  <c r="B30" i="34"/>
  <c r="I30" i="34"/>
  <c r="C30" i="34"/>
  <c r="D30" i="34"/>
  <c r="G30" i="34"/>
  <c r="J30" i="34"/>
  <c r="H30" i="34"/>
  <c r="E30" i="34"/>
  <c r="F30" i="34"/>
  <c r="K30" i="36"/>
  <c r="K90" i="34"/>
  <c r="F134" i="23"/>
  <c r="K75" i="25"/>
  <c r="E138" i="23"/>
  <c r="E8" i="26" s="1"/>
  <c r="E9" i="26" s="1"/>
  <c r="E10" i="26" s="1"/>
  <c r="E12" i="26"/>
  <c r="D151" i="23"/>
  <c r="D87" i="23"/>
  <c r="D98" i="23" s="1"/>
  <c r="D166" i="23" s="1"/>
  <c r="H131" i="23"/>
  <c r="H134" i="23" s="1"/>
  <c r="K108" i="25"/>
  <c r="K114" i="25" s="1"/>
  <c r="I65" i="23"/>
  <c r="F35" i="25"/>
  <c r="J35" i="25"/>
  <c r="C34" i="34"/>
  <c r="H34" i="34"/>
  <c r="B34" i="34"/>
  <c r="F34" i="34"/>
  <c r="I34" i="34"/>
  <c r="E34" i="34"/>
  <c r="K94" i="34"/>
  <c r="J81" i="25"/>
  <c r="H114" i="25"/>
  <c r="D120" i="25"/>
  <c r="J114" i="25"/>
  <c r="G114" i="25"/>
  <c r="G120" i="25" s="1"/>
  <c r="J36" i="34"/>
  <c r="H36" i="34"/>
  <c r="D36" i="34"/>
  <c r="E36" i="34"/>
  <c r="K36" i="36"/>
  <c r="K96" i="34"/>
  <c r="K38" i="36"/>
  <c r="D38" i="34"/>
  <c r="H38" i="34"/>
  <c r="J38" i="34"/>
  <c r="F38" i="34"/>
  <c r="I38" i="34"/>
  <c r="C38" i="34"/>
  <c r="E38" i="34"/>
  <c r="G38" i="34"/>
  <c r="B38" i="34"/>
  <c r="K98" i="34"/>
  <c r="K87" i="23"/>
  <c r="B120" i="25"/>
  <c r="B128" i="25" s="1"/>
  <c r="B131" i="25" s="1"/>
  <c r="E151" i="23"/>
  <c r="K21" i="25"/>
  <c r="D12" i="26"/>
  <c r="D138" i="23"/>
  <c r="D8" i="26" s="1"/>
  <c r="D9" i="26" s="1"/>
  <c r="D10" i="26" s="1"/>
  <c r="H33" i="34"/>
  <c r="H87" i="23"/>
  <c r="H156" i="23" s="1"/>
  <c r="F151" i="23"/>
  <c r="F87" i="23"/>
  <c r="F156" i="23" s="1"/>
  <c r="G68" i="25"/>
  <c r="G22" i="26" s="1"/>
  <c r="K94" i="25"/>
  <c r="D81" i="25"/>
  <c r="E87" i="25"/>
  <c r="H98" i="25"/>
  <c r="H101" i="25" s="1"/>
  <c r="K95" i="25"/>
  <c r="K163" i="23"/>
  <c r="J138" i="23"/>
  <c r="J8" i="26" s="1"/>
  <c r="J9" i="26" s="1"/>
  <c r="J10" i="26" s="1"/>
  <c r="J12" i="26"/>
  <c r="B54" i="25"/>
  <c r="B156" i="23"/>
  <c r="J27" i="34"/>
  <c r="F27" i="34"/>
  <c r="D27" i="34"/>
  <c r="C138" i="23"/>
  <c r="C8" i="26" s="1"/>
  <c r="C9" i="26" s="1"/>
  <c r="C10" i="26" s="1"/>
  <c r="I138" i="23"/>
  <c r="I8" i="26" s="1"/>
  <c r="I9" i="26" s="1"/>
  <c r="I10" i="26" s="1"/>
  <c r="I12" i="26"/>
  <c r="J65" i="25"/>
  <c r="V65" i="25"/>
  <c r="V68" i="25" s="1"/>
  <c r="J68" i="23"/>
  <c r="J68" i="25" s="1"/>
  <c r="J22" i="26" s="1"/>
  <c r="K86" i="25"/>
  <c r="E87" i="23"/>
  <c r="G34" i="34" l="1"/>
  <c r="J39" i="34"/>
  <c r="C36" i="34"/>
  <c r="D34" i="34"/>
  <c r="F36" i="34"/>
  <c r="K34" i="36"/>
  <c r="B36" i="34"/>
  <c r="C35" i="34"/>
  <c r="C35" i="36" s="1"/>
  <c r="H29" i="34"/>
  <c r="H39" i="34"/>
  <c r="H39" i="36" s="1"/>
  <c r="B39" i="34"/>
  <c r="D39" i="34"/>
  <c r="D39" i="36" s="1"/>
  <c r="C39" i="34"/>
  <c r="C99" i="34" s="1"/>
  <c r="C29" i="34"/>
  <c r="C29" i="36" s="1"/>
  <c r="K95" i="34"/>
  <c r="G35" i="34"/>
  <c r="G35" i="36" s="1"/>
  <c r="F35" i="34"/>
  <c r="F35" i="36" s="1"/>
  <c r="H35" i="34"/>
  <c r="H35" i="36" s="1"/>
  <c r="J35" i="34"/>
  <c r="J35" i="36" s="1"/>
  <c r="G101" i="23"/>
  <c r="G156" i="23"/>
  <c r="G166" i="23"/>
  <c r="K86" i="34"/>
  <c r="G36" i="34"/>
  <c r="G36" i="36" s="1"/>
  <c r="K39" i="36"/>
  <c r="E37" i="34"/>
  <c r="E37" i="36" s="1"/>
  <c r="E39" i="34"/>
  <c r="E99" i="34" s="1"/>
  <c r="K99" i="34"/>
  <c r="I39" i="34"/>
  <c r="I99" i="34" s="1"/>
  <c r="K91" i="34"/>
  <c r="K101" i="34"/>
  <c r="K41" i="36"/>
  <c r="F37" i="34"/>
  <c r="F97" i="34" s="1"/>
  <c r="D40" i="34"/>
  <c r="D40" i="36" s="1"/>
  <c r="F39" i="34"/>
  <c r="F39" i="36" s="1"/>
  <c r="D41" i="34"/>
  <c r="D101" i="34" s="1"/>
  <c r="J41" i="34"/>
  <c r="J41" i="36" s="1"/>
  <c r="I41" i="34"/>
  <c r="I41" i="36" s="1"/>
  <c r="B41" i="34"/>
  <c r="B41" i="36" s="1"/>
  <c r="F41" i="34"/>
  <c r="F41" i="36" s="1"/>
  <c r="E41" i="34"/>
  <c r="E41" i="36" s="1"/>
  <c r="C41" i="34"/>
  <c r="C101" i="34" s="1"/>
  <c r="G41" i="34"/>
  <c r="G101" i="34" s="1"/>
  <c r="B26" i="34"/>
  <c r="H26" i="34"/>
  <c r="H26" i="36" s="1"/>
  <c r="D26" i="34"/>
  <c r="D26" i="36" s="1"/>
  <c r="E26" i="34"/>
  <c r="E26" i="36" s="1"/>
  <c r="G26" i="34"/>
  <c r="G26" i="36" s="1"/>
  <c r="C26" i="34"/>
  <c r="C86" i="34" s="1"/>
  <c r="I26" i="34"/>
  <c r="I86" i="34" s="1"/>
  <c r="F26" i="34"/>
  <c r="F26" i="36" s="1"/>
  <c r="J26" i="34"/>
  <c r="J26" i="36" s="1"/>
  <c r="K37" i="36"/>
  <c r="I40" i="34"/>
  <c r="I100" i="34" s="1"/>
  <c r="K40" i="36"/>
  <c r="H40" i="34"/>
  <c r="H40" i="36" s="1"/>
  <c r="G40" i="34"/>
  <c r="G40" i="36" s="1"/>
  <c r="E40" i="34"/>
  <c r="J40" i="34"/>
  <c r="I37" i="34"/>
  <c r="I97" i="34" s="1"/>
  <c r="B40" i="34"/>
  <c r="B40" i="36" s="1"/>
  <c r="C40" i="34"/>
  <c r="C40" i="36" s="1"/>
  <c r="F40" i="34"/>
  <c r="F40" i="36" s="1"/>
  <c r="C33" i="34"/>
  <c r="C33" i="36" s="1"/>
  <c r="I27" i="34"/>
  <c r="I27" i="36" s="1"/>
  <c r="K93" i="34"/>
  <c r="K27" i="36"/>
  <c r="K88" i="34"/>
  <c r="G33" i="34"/>
  <c r="G33" i="36" s="1"/>
  <c r="D28" i="34"/>
  <c r="D28" i="36" s="1"/>
  <c r="B33" i="34"/>
  <c r="B93" i="34" s="1"/>
  <c r="E33" i="34"/>
  <c r="E33" i="36" s="1"/>
  <c r="D33" i="34"/>
  <c r="D33" i="36" s="1"/>
  <c r="J33" i="34"/>
  <c r="J33" i="36" s="1"/>
  <c r="K87" i="34"/>
  <c r="K33" i="36"/>
  <c r="I33" i="34"/>
  <c r="I33" i="36" s="1"/>
  <c r="B27" i="34"/>
  <c r="B27" i="36" s="1"/>
  <c r="E35" i="34"/>
  <c r="E35" i="36" s="1"/>
  <c r="C27" i="34"/>
  <c r="C27" i="36" s="1"/>
  <c r="G28" i="34"/>
  <c r="G28" i="36" s="1"/>
  <c r="B31" i="34"/>
  <c r="B31" i="36" s="1"/>
  <c r="K92" i="34"/>
  <c r="K31" i="36"/>
  <c r="D32" i="34"/>
  <c r="D32" i="36" s="1"/>
  <c r="E27" i="34"/>
  <c r="E87" i="34" s="1"/>
  <c r="K35" i="36"/>
  <c r="G31" i="34"/>
  <c r="G31" i="36" s="1"/>
  <c r="J32" i="34"/>
  <c r="J92" i="34" s="1"/>
  <c r="I35" i="34"/>
  <c r="I35" i="36" s="1"/>
  <c r="E31" i="34"/>
  <c r="E31" i="36" s="1"/>
  <c r="C32" i="34"/>
  <c r="C92" i="34" s="1"/>
  <c r="G27" i="34"/>
  <c r="G27" i="36" s="1"/>
  <c r="B35" i="34"/>
  <c r="B95" i="34" s="1"/>
  <c r="H31" i="34"/>
  <c r="H31" i="36" s="1"/>
  <c r="K32" i="36"/>
  <c r="I31" i="34"/>
  <c r="I91" i="34" s="1"/>
  <c r="F32" i="34"/>
  <c r="F32" i="36" s="1"/>
  <c r="J98" i="23"/>
  <c r="J101" i="23" s="1"/>
  <c r="J169" i="23" s="1"/>
  <c r="B37" i="34"/>
  <c r="F28" i="34"/>
  <c r="F28" i="36" s="1"/>
  <c r="K28" i="36"/>
  <c r="G37" i="34"/>
  <c r="G97" i="34" s="1"/>
  <c r="E28" i="34"/>
  <c r="E88" i="34" s="1"/>
  <c r="J28" i="34"/>
  <c r="B28" i="34"/>
  <c r="C28" i="34"/>
  <c r="C28" i="36" s="1"/>
  <c r="D37" i="34"/>
  <c r="D37" i="36" s="1"/>
  <c r="H28" i="34"/>
  <c r="K97" i="34"/>
  <c r="C37" i="34"/>
  <c r="C37" i="36" s="1"/>
  <c r="H37" i="34"/>
  <c r="H37" i="36" s="1"/>
  <c r="B29" i="34"/>
  <c r="B29" i="36" s="1"/>
  <c r="D29" i="34"/>
  <c r="K29" i="36"/>
  <c r="D31" i="34"/>
  <c r="B32" i="34"/>
  <c r="B32" i="36" s="1"/>
  <c r="G29" i="34"/>
  <c r="G29" i="36" s="1"/>
  <c r="I32" i="34"/>
  <c r="I92" i="34" s="1"/>
  <c r="E29" i="34"/>
  <c r="E29" i="36" s="1"/>
  <c r="G32" i="34"/>
  <c r="G92" i="34" s="1"/>
  <c r="F29" i="34"/>
  <c r="F89" i="34" s="1"/>
  <c r="H32" i="34"/>
  <c r="H32" i="36" s="1"/>
  <c r="I29" i="34"/>
  <c r="K42" i="34"/>
  <c r="K102" i="34" s="1"/>
  <c r="J29" i="34"/>
  <c r="J29" i="36" s="1"/>
  <c r="K156" i="23"/>
  <c r="I156" i="23"/>
  <c r="H65" i="25"/>
  <c r="T65" i="25"/>
  <c r="T68" i="25" s="1"/>
  <c r="H68" i="23"/>
  <c r="H68" i="25" s="1"/>
  <c r="H22" i="26" s="1"/>
  <c r="K12" i="26"/>
  <c r="I13" i="26" s="1"/>
  <c r="I15" i="26" s="1"/>
  <c r="I18" i="26" s="1"/>
  <c r="I19" i="26" s="1"/>
  <c r="I98" i="25"/>
  <c r="I101" i="25" s="1"/>
  <c r="C156" i="23"/>
  <c r="C98" i="23"/>
  <c r="G98" i="25"/>
  <c r="G101" i="25" s="1"/>
  <c r="K98" i="23"/>
  <c r="K101" i="23" s="1"/>
  <c r="E131" i="23"/>
  <c r="E134" i="23" s="1"/>
  <c r="F98" i="23"/>
  <c r="F166" i="23" s="1"/>
  <c r="G134" i="23"/>
  <c r="I134" i="25"/>
  <c r="I23" i="26" s="1"/>
  <c r="F131" i="25"/>
  <c r="F134" i="25" s="1"/>
  <c r="F23" i="26" s="1"/>
  <c r="K120" i="25"/>
  <c r="H36" i="36"/>
  <c r="H96" i="34"/>
  <c r="C34" i="36"/>
  <c r="C94" i="34"/>
  <c r="I17" i="26"/>
  <c r="J30" i="36"/>
  <c r="J90" i="34"/>
  <c r="I65" i="25"/>
  <c r="U65" i="25"/>
  <c r="U68" i="25" s="1"/>
  <c r="I68" i="23"/>
  <c r="I166" i="23"/>
  <c r="H17" i="26"/>
  <c r="I38" i="36"/>
  <c r="I98" i="34"/>
  <c r="D38" i="36"/>
  <c r="D98" i="34"/>
  <c r="C38" i="36"/>
  <c r="C98" i="34"/>
  <c r="E93" i="34"/>
  <c r="J36" i="36"/>
  <c r="J96" i="34"/>
  <c r="E40" i="36"/>
  <c r="E100" i="34"/>
  <c r="D35" i="36"/>
  <c r="D95" i="34"/>
  <c r="H38" i="36"/>
  <c r="H98" i="34"/>
  <c r="C30" i="36"/>
  <c r="C90" i="34"/>
  <c r="J31" i="36"/>
  <c r="J91" i="34"/>
  <c r="H29" i="36"/>
  <c r="H89" i="34"/>
  <c r="F31" i="36"/>
  <c r="F91" i="34"/>
  <c r="E98" i="25"/>
  <c r="E101" i="25" s="1"/>
  <c r="E36" i="36"/>
  <c r="E96" i="34"/>
  <c r="C39" i="36"/>
  <c r="J37" i="36"/>
  <c r="J97" i="34"/>
  <c r="J87" i="25"/>
  <c r="J98" i="25" s="1"/>
  <c r="H30" i="36"/>
  <c r="H90" i="34"/>
  <c r="H41" i="36"/>
  <c r="H101" i="34"/>
  <c r="B98" i="25"/>
  <c r="B101" i="25" s="1"/>
  <c r="G39" i="36"/>
  <c r="G99" i="34"/>
  <c r="K10" i="26"/>
  <c r="H120" i="25"/>
  <c r="H128" i="25" s="1"/>
  <c r="K81" i="25"/>
  <c r="K87" i="25" s="1"/>
  <c r="D87" i="25"/>
  <c r="D98" i="25" s="1"/>
  <c r="D101" i="25" s="1"/>
  <c r="J34" i="36"/>
  <c r="J94" i="34"/>
  <c r="K29" i="25"/>
  <c r="D128" i="25"/>
  <c r="D131" i="25" s="1"/>
  <c r="B134" i="25"/>
  <c r="B23" i="26" s="1"/>
  <c r="B68" i="25"/>
  <c r="B22" i="26" s="1"/>
  <c r="B169" i="23"/>
  <c r="E128" i="25"/>
  <c r="E17" i="26"/>
  <c r="J17" i="26"/>
  <c r="I30" i="36"/>
  <c r="I90" i="34"/>
  <c r="C36" i="36"/>
  <c r="C96" i="34"/>
  <c r="C31" i="36"/>
  <c r="C91" i="34"/>
  <c r="E156" i="23"/>
  <c r="E98" i="23"/>
  <c r="E101" i="23" s="1"/>
  <c r="B39" i="36"/>
  <c r="B99" i="34"/>
  <c r="K138" i="23"/>
  <c r="I36" i="36"/>
  <c r="I96" i="34"/>
  <c r="J39" i="36"/>
  <c r="J99" i="34"/>
  <c r="D36" i="36"/>
  <c r="D96" i="34"/>
  <c r="F34" i="36"/>
  <c r="F94" i="34"/>
  <c r="D101" i="23"/>
  <c r="D169" i="23" s="1"/>
  <c r="D156" i="23"/>
  <c r="H98" i="23"/>
  <c r="F17" i="26"/>
  <c r="I28" i="36"/>
  <c r="I88" i="34"/>
  <c r="F98" i="25"/>
  <c r="F101" i="25" s="1"/>
  <c r="H91" i="34"/>
  <c r="F33" i="36"/>
  <c r="F93" i="34"/>
  <c r="J38" i="36"/>
  <c r="J98" i="34"/>
  <c r="J40" i="36"/>
  <c r="J100" i="34"/>
  <c r="D30" i="36"/>
  <c r="D90" i="34"/>
  <c r="E32" i="36"/>
  <c r="E92" i="34"/>
  <c r="H33" i="36"/>
  <c r="H93" i="34"/>
  <c r="G34" i="36"/>
  <c r="G94" i="34"/>
  <c r="D34" i="36"/>
  <c r="D94" i="34"/>
  <c r="B30" i="36"/>
  <c r="B90" i="34"/>
  <c r="E27" i="36"/>
  <c r="D17" i="26"/>
  <c r="J120" i="25"/>
  <c r="J128" i="25" s="1"/>
  <c r="B37" i="36"/>
  <c r="B97" i="34"/>
  <c r="B101" i="34"/>
  <c r="D29" i="36"/>
  <c r="D89" i="34"/>
  <c r="F38" i="36"/>
  <c r="F98" i="34"/>
  <c r="G30" i="36"/>
  <c r="G90" i="34"/>
  <c r="D27" i="36"/>
  <c r="D87" i="34"/>
  <c r="C95" i="34"/>
  <c r="F27" i="36"/>
  <c r="F87" i="34"/>
  <c r="E34" i="36"/>
  <c r="E94" i="34"/>
  <c r="F95" i="34"/>
  <c r="J27" i="36"/>
  <c r="J87" i="34"/>
  <c r="I34" i="36"/>
  <c r="I94" i="34"/>
  <c r="B38" i="36"/>
  <c r="B98" i="34"/>
  <c r="G38" i="36"/>
  <c r="G98" i="34"/>
  <c r="F36" i="36"/>
  <c r="F96" i="34"/>
  <c r="B34" i="36"/>
  <c r="B94" i="34"/>
  <c r="F30" i="36"/>
  <c r="F90" i="34"/>
  <c r="K68" i="23"/>
  <c r="H27" i="36"/>
  <c r="H87" i="34"/>
  <c r="B26" i="36"/>
  <c r="B86" i="34"/>
  <c r="E38" i="36"/>
  <c r="E98" i="34"/>
  <c r="B36" i="36"/>
  <c r="B96" i="34"/>
  <c r="G128" i="25"/>
  <c r="H34" i="36"/>
  <c r="H94" i="34"/>
  <c r="E30" i="36"/>
  <c r="E90" i="34"/>
  <c r="I101" i="34" l="1"/>
  <c r="H99" i="34"/>
  <c r="G88" i="34"/>
  <c r="G96" i="34"/>
  <c r="E39" i="36"/>
  <c r="C41" i="36"/>
  <c r="C89" i="34"/>
  <c r="H86" i="34"/>
  <c r="D99" i="34"/>
  <c r="F88" i="34"/>
  <c r="G95" i="34"/>
  <c r="D93" i="34"/>
  <c r="F37" i="36"/>
  <c r="J95" i="34"/>
  <c r="H95" i="34"/>
  <c r="C26" i="36"/>
  <c r="D41" i="36"/>
  <c r="I26" i="36"/>
  <c r="F99" i="34"/>
  <c r="D100" i="34"/>
  <c r="C93" i="34"/>
  <c r="G169" i="23"/>
  <c r="F101" i="34"/>
  <c r="I39" i="36"/>
  <c r="E97" i="34"/>
  <c r="C87" i="34"/>
  <c r="F100" i="34"/>
  <c r="J86" i="34"/>
  <c r="J101" i="34"/>
  <c r="B35" i="36"/>
  <c r="F29" i="36"/>
  <c r="C100" i="34"/>
  <c r="B91" i="34"/>
  <c r="E101" i="34"/>
  <c r="G41" i="36"/>
  <c r="I40" i="36"/>
  <c r="G86" i="34"/>
  <c r="I93" i="34"/>
  <c r="J32" i="36"/>
  <c r="E86" i="34"/>
  <c r="I37" i="36"/>
  <c r="B100" i="34"/>
  <c r="D86" i="34"/>
  <c r="B92" i="34"/>
  <c r="G37" i="36"/>
  <c r="E95" i="34"/>
  <c r="D88" i="34"/>
  <c r="H97" i="34"/>
  <c r="B33" i="36"/>
  <c r="I31" i="36"/>
  <c r="H100" i="34"/>
  <c r="B42" i="34"/>
  <c r="B42" i="36" s="1"/>
  <c r="B89" i="34"/>
  <c r="J42" i="34"/>
  <c r="J42" i="36" s="1"/>
  <c r="D92" i="34"/>
  <c r="G100" i="34"/>
  <c r="F86" i="34"/>
  <c r="J166" i="23"/>
  <c r="C97" i="34"/>
  <c r="I87" i="34"/>
  <c r="G93" i="34"/>
  <c r="G32" i="36"/>
  <c r="D42" i="34"/>
  <c r="D42" i="36" s="1"/>
  <c r="D97" i="34"/>
  <c r="E28" i="36"/>
  <c r="B87" i="34"/>
  <c r="D91" i="34"/>
  <c r="D31" i="36"/>
  <c r="J93" i="34"/>
  <c r="G89" i="34"/>
  <c r="G91" i="34"/>
  <c r="I95" i="34"/>
  <c r="J88" i="34"/>
  <c r="F92" i="34"/>
  <c r="C32" i="36"/>
  <c r="J28" i="36"/>
  <c r="G87" i="34"/>
  <c r="B88" i="34"/>
  <c r="E42" i="34"/>
  <c r="E42" i="36" s="1"/>
  <c r="B28" i="36"/>
  <c r="G42" i="34"/>
  <c r="G42" i="36" s="1"/>
  <c r="E89" i="34"/>
  <c r="E91" i="34"/>
  <c r="C88" i="34"/>
  <c r="I42" i="34"/>
  <c r="I42" i="36" s="1"/>
  <c r="I32" i="36"/>
  <c r="H42" i="34"/>
  <c r="H42" i="36" s="1"/>
  <c r="C42" i="34"/>
  <c r="C42" i="36" s="1"/>
  <c r="H88" i="34"/>
  <c r="I89" i="34"/>
  <c r="H28" i="36"/>
  <c r="I29" i="36"/>
  <c r="K166" i="23"/>
  <c r="H92" i="34"/>
  <c r="K42" i="36"/>
  <c r="H13" i="26"/>
  <c r="H15" i="26" s="1"/>
  <c r="H18" i="26" s="1"/>
  <c r="H19" i="26" s="1"/>
  <c r="M42" i="34"/>
  <c r="F13" i="26"/>
  <c r="F15" i="26" s="1"/>
  <c r="F18" i="26" s="1"/>
  <c r="F19" i="26" s="1"/>
  <c r="F42" i="34"/>
  <c r="F102" i="34" s="1"/>
  <c r="J89" i="34"/>
  <c r="B13" i="26"/>
  <c r="B15" i="26" s="1"/>
  <c r="B18" i="26" s="1"/>
  <c r="B19" i="26" s="1"/>
  <c r="E13" i="26"/>
  <c r="E15" i="26" s="1"/>
  <c r="E18" i="26" s="1"/>
  <c r="E19" i="26" s="1"/>
  <c r="J13" i="26"/>
  <c r="J15" i="26" s="1"/>
  <c r="J18" i="26" s="1"/>
  <c r="J19" i="26" s="1"/>
  <c r="G13" i="26"/>
  <c r="G15" i="26" s="1"/>
  <c r="G18" i="26" s="1"/>
  <c r="G19" i="26" s="1"/>
  <c r="C13" i="26"/>
  <c r="C15" i="26" s="1"/>
  <c r="C18" i="26" s="1"/>
  <c r="C19" i="26" s="1"/>
  <c r="D13" i="26"/>
  <c r="D15" i="26" s="1"/>
  <c r="D18" i="26" s="1"/>
  <c r="D19" i="26" s="1"/>
  <c r="E166" i="23"/>
  <c r="F101" i="23"/>
  <c r="F169" i="23" s="1"/>
  <c r="C101" i="23"/>
  <c r="C169" i="23" s="1"/>
  <c r="C166" i="23"/>
  <c r="J101" i="25"/>
  <c r="K169" i="23"/>
  <c r="E169" i="23"/>
  <c r="K17" i="26"/>
  <c r="J131" i="25"/>
  <c r="J134" i="25" s="1"/>
  <c r="J23" i="26" s="1"/>
  <c r="H131" i="25"/>
  <c r="H134" i="25" s="1"/>
  <c r="H23" i="26" s="1"/>
  <c r="K128" i="25"/>
  <c r="K131" i="25" s="1"/>
  <c r="E131" i="25"/>
  <c r="E134" i="25" s="1"/>
  <c r="E23" i="26" s="1"/>
  <c r="D102" i="34"/>
  <c r="I68" i="25"/>
  <c r="I22" i="26" s="1"/>
  <c r="I169" i="23"/>
  <c r="G131" i="25"/>
  <c r="G134" i="25" s="1"/>
  <c r="G23" i="26" s="1"/>
  <c r="K32" i="25"/>
  <c r="K35" i="25" s="1"/>
  <c r="D134" i="25"/>
  <c r="D23" i="26" s="1"/>
  <c r="H166" i="23"/>
  <c r="H101" i="23"/>
  <c r="H169" i="23" s="1"/>
  <c r="K98" i="25"/>
  <c r="K101" i="25" s="1"/>
  <c r="B102" i="34" l="1"/>
  <c r="J102" i="34"/>
  <c r="H102" i="34"/>
  <c r="G102" i="34"/>
  <c r="C102" i="34"/>
  <c r="F42" i="36"/>
  <c r="E102" i="34"/>
  <c r="I102" i="34"/>
  <c r="K13" i="26"/>
  <c r="K15" i="26" s="1"/>
  <c r="K18" i="26"/>
  <c r="K134" i="25"/>
  <c r="K23"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Chymko Consulting</author>
  </authors>
  <commentList>
    <comment ref="E23" authorId="0" shapeId="0" xr:uid="{00000000-0006-0000-1600-000001000000}">
      <text>
        <r>
          <rPr>
            <sz val="9"/>
            <color indexed="81"/>
            <rFont val="Tahoma"/>
            <family val="2"/>
          </rPr>
          <t>Related to over-earnings</t>
        </r>
      </text>
    </comment>
    <comment ref="E24" authorId="0" shapeId="0" xr:uid="{00000000-0006-0000-1600-000002000000}">
      <text>
        <r>
          <rPr>
            <sz val="9"/>
            <color indexed="81"/>
            <rFont val="Tahoma"/>
            <family val="2"/>
          </rPr>
          <t>Income tax loss carry forward</t>
        </r>
      </text>
    </comment>
    <comment ref="E26" authorId="0" shapeId="0" xr:uid="{00000000-0006-0000-1600-000003000000}">
      <text>
        <r>
          <rPr>
            <sz val="9"/>
            <color indexed="81"/>
            <rFont val="Tahoma"/>
            <family val="2"/>
          </rPr>
          <t>Tax benefit</t>
        </r>
      </text>
    </comment>
    <comment ref="E31" authorId="0" shapeId="0" xr:uid="{00000000-0006-0000-1600-000004000000}">
      <text>
        <r>
          <rPr>
            <sz val="9"/>
            <color indexed="81"/>
            <rFont val="Tahoma"/>
            <family val="2"/>
          </rPr>
          <t>Rebate earnings above allowed ROE</t>
        </r>
      </text>
    </comment>
    <comment ref="E34" authorId="0" shapeId="0" xr:uid="{00000000-0006-0000-1600-000005000000}">
      <text>
        <r>
          <rPr>
            <sz val="9"/>
            <color indexed="81"/>
            <rFont val="Tahoma"/>
            <family val="2"/>
          </rPr>
          <t>Actuarial gains/losses on employee benefits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Chymko Consulting</author>
  </authors>
  <commentList>
    <comment ref="A32" authorId="0" shapeId="0" xr:uid="{00000000-0006-0000-1900-000001000000}">
      <text>
        <r>
          <rPr>
            <sz val="9"/>
            <color indexed="81"/>
            <rFont val="Tahoma"/>
            <family val="2"/>
          </rPr>
          <t>50% of finance admin account 8110 is postage and stationary</t>
        </r>
      </text>
    </comment>
    <comment ref="A41" authorId="0" shapeId="0" xr:uid="{00000000-0006-0000-1900-000002000000}">
      <text>
        <r>
          <rPr>
            <sz val="9"/>
            <color indexed="81"/>
            <rFont val="Tahoma"/>
            <family val="2"/>
          </rPr>
          <t>Proportions of accounts 8020, 8030, 8055-65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Chymko Consulting</author>
  </authors>
  <commentList>
    <comment ref="A145" authorId="0" shapeId="0" xr:uid="{00000000-0006-0000-1A00-000003000000}">
      <text>
        <r>
          <rPr>
            <sz val="9"/>
            <color indexed="81"/>
            <rFont val="Tahoma"/>
            <family val="2"/>
          </rPr>
          <t>Included in Street Light revenue in trial balance, but not included in CB730 reporting of Street Light revenue. CB730 is more appropriate for revenue to cost ratio, so this needs to be added to other revenue.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Anju</author>
  </authors>
  <commentList>
    <comment ref="A61" authorId="0" shapeId="0" xr:uid="{BB7E19F4-55EA-44C4-AEE4-E34F4D522313}">
      <text>
        <r>
          <rPr>
            <b/>
            <sz val="9"/>
            <color indexed="81"/>
            <rFont val="Tahoma"/>
            <family val="2"/>
          </rPr>
          <t>Anju:</t>
        </r>
        <r>
          <rPr>
            <sz val="9"/>
            <color indexed="81"/>
            <rFont val="Tahoma"/>
            <family val="2"/>
          </rPr>
          <t xml:space="preserve">
Rolly Young says "do not use."</t>
        </r>
      </text>
    </comment>
  </commentList>
</comments>
</file>

<file path=xl/sharedStrings.xml><?xml version="1.0" encoding="utf-8"?>
<sst xmlns="http://schemas.openxmlformats.org/spreadsheetml/2006/main" count="3446" uniqueCount="739">
  <si>
    <t>Standard Lists</t>
  </si>
  <si>
    <t>Rate Classes</t>
  </si>
  <si>
    <t>Residential</t>
  </si>
  <si>
    <t>Residential (S)</t>
  </si>
  <si>
    <t>General Service 1</t>
  </si>
  <si>
    <t>General Service 1 (S)</t>
  </si>
  <si>
    <t>Small Industrial</t>
  </si>
  <si>
    <t>Large Industrial</t>
  </si>
  <si>
    <t>Lights</t>
  </si>
  <si>
    <t>Unmetered</t>
  </si>
  <si>
    <t>Generation</t>
  </si>
  <si>
    <t>Purchased Power</t>
  </si>
  <si>
    <t>Transmission</t>
  </si>
  <si>
    <t>Substations</t>
  </si>
  <si>
    <t>Primary Lines</t>
  </si>
  <si>
    <t>Transformers</t>
  </si>
  <si>
    <t>Secondary Lines</t>
  </si>
  <si>
    <t>Service Lines</t>
  </si>
  <si>
    <t>Meter Assets</t>
  </si>
  <si>
    <t>Meter Reading</t>
  </si>
  <si>
    <t>Billing</t>
  </si>
  <si>
    <t>Remittance &amp; Collection</t>
  </si>
  <si>
    <t>Uncollectibles &amp; Damage Claims</t>
  </si>
  <si>
    <t>Service Connections</t>
  </si>
  <si>
    <t>Late Payments</t>
  </si>
  <si>
    <t>Allocators</t>
  </si>
  <si>
    <t>1CP - Input</t>
  </si>
  <si>
    <t>1CP - Transmission</t>
  </si>
  <si>
    <t>1CP - Distribution Primary</t>
  </si>
  <si>
    <t>NCP - Distribution Primary</t>
  </si>
  <si>
    <t>NCP - Distribution Secondary</t>
  </si>
  <si>
    <t>Energy - Input</t>
  </si>
  <si>
    <t>Sites</t>
  </si>
  <si>
    <t>Sites - Distribution Primary</t>
  </si>
  <si>
    <t>Sites - Distribution Secondary</t>
  </si>
  <si>
    <t>Sites - Mass Market</t>
  </si>
  <si>
    <t>Service Connection Revenue</t>
  </si>
  <si>
    <t>Penalty Revenue</t>
  </si>
  <si>
    <t>Lighting Direct Assign</t>
  </si>
  <si>
    <t>MECL Generation</t>
  </si>
  <si>
    <t>MECL Purchases</t>
  </si>
  <si>
    <t>Primary System</t>
  </si>
  <si>
    <t>Distribution Transformers</t>
  </si>
  <si>
    <t>Secondary System</t>
  </si>
  <si>
    <t>Functions</t>
  </si>
  <si>
    <t>Schedule 6.1</t>
  </si>
  <si>
    <t>Farm</t>
  </si>
  <si>
    <t>Account</t>
  </si>
  <si>
    <t>Name</t>
  </si>
  <si>
    <t>Prod Power Plant Land</t>
  </si>
  <si>
    <t>Prod Power Plant Build &amp; Structures</t>
  </si>
  <si>
    <t>Prod Pumphouse Elect Equip</t>
  </si>
  <si>
    <t>Prod Pumphouse Mech Equip</t>
  </si>
  <si>
    <t>Prod Boiler Plant Equip</t>
  </si>
  <si>
    <t>Prod Turbine &amp; Aux Equip</t>
  </si>
  <si>
    <t>Gas Turbine &amp; Aux Equip</t>
  </si>
  <si>
    <t>Prod Elect Equip Plant &amp; Yard</t>
  </si>
  <si>
    <t>Prod Misc Power Plant Equip</t>
  </si>
  <si>
    <t>Prod Shop Equip</t>
  </si>
  <si>
    <t>Prod River Pumphouse Build</t>
  </si>
  <si>
    <t>Prod Borden Power Plant Land</t>
  </si>
  <si>
    <t>Prod Borden Build &amp; Structures</t>
  </si>
  <si>
    <t>Prod Borden Gas Turbine &amp; Aux Equip</t>
  </si>
  <si>
    <t>Prod Borden Misc Equip</t>
  </si>
  <si>
    <t>ECC Land</t>
  </si>
  <si>
    <t>Prod ECC Misc Power Plant Equip</t>
  </si>
  <si>
    <t>ECC UG Cables</t>
  </si>
  <si>
    <t>ECC Build</t>
  </si>
  <si>
    <t>Dist Substation Land</t>
  </si>
  <si>
    <t>Dist Substation Equip Build &amp; Structures</t>
  </si>
  <si>
    <t>Dist Land</t>
  </si>
  <si>
    <t>Dist OH Conductors</t>
  </si>
  <si>
    <t>Dist Poles &amp; Fixtures</t>
  </si>
  <si>
    <t>Dist Line Control Devices</t>
  </si>
  <si>
    <t>Dist Tranformers</t>
  </si>
  <si>
    <t>Dist Transformer Installations</t>
  </si>
  <si>
    <t>Dist Service Lines</t>
  </si>
  <si>
    <t>Dist Street &amp; Yard Lights</t>
  </si>
  <si>
    <t>Dist UG Conductors</t>
  </si>
  <si>
    <t>Dist UG Service Lines</t>
  </si>
  <si>
    <t>Dist UG System Street Lights</t>
  </si>
  <si>
    <t>Dist Meters</t>
  </si>
  <si>
    <t>Dist Meter Installations</t>
  </si>
  <si>
    <t>Dist Communications System</t>
  </si>
  <si>
    <t>Dist Eng Test &amp; Survey Equip</t>
  </si>
  <si>
    <t>Dist Tools &amp; Stores Equip</t>
  </si>
  <si>
    <t>Supervisory Scada System</t>
  </si>
  <si>
    <t>Dist General Property Land</t>
  </si>
  <si>
    <t>Dist General Prop Build Office</t>
  </si>
  <si>
    <t>Dist General Property Build Districts</t>
  </si>
  <si>
    <t>Office Equip</t>
  </si>
  <si>
    <t>Transportation Equip</t>
  </si>
  <si>
    <t>Computer Hardware</t>
  </si>
  <si>
    <t>Computer Software</t>
  </si>
  <si>
    <t>Marketing &amp; Transition</t>
  </si>
  <si>
    <t>Trans Substation Land</t>
  </si>
  <si>
    <t>Trans Substation Equip, Build &amp; Structur</t>
  </si>
  <si>
    <t>Trans Land</t>
  </si>
  <si>
    <t>Road &amp; Trails</t>
  </si>
  <si>
    <t>Trans Towers</t>
  </si>
  <si>
    <t>Trans OH Conductors</t>
  </si>
  <si>
    <t>Trans Poles &amp; Fixtures</t>
  </si>
  <si>
    <t>Trans Line Control Devices</t>
  </si>
  <si>
    <t>Trans UG Cables</t>
  </si>
  <si>
    <t>Trans General Property Land</t>
  </si>
  <si>
    <t>Open</t>
  </si>
  <si>
    <t>Close</t>
  </si>
  <si>
    <t>3200</t>
  </si>
  <si>
    <t>Material &amp; Supply Line Hardwar</t>
  </si>
  <si>
    <t>3205</t>
  </si>
  <si>
    <t>PST Material &amp; Supply Line Har</t>
  </si>
  <si>
    <t>3210</t>
  </si>
  <si>
    <t>COGP Line Hardware</t>
  </si>
  <si>
    <t>3212</t>
  </si>
  <si>
    <t>COGP LH Price Variance</t>
  </si>
  <si>
    <t>3215</t>
  </si>
  <si>
    <t>COGP Other</t>
  </si>
  <si>
    <t>3217</t>
  </si>
  <si>
    <t>COGP Other Price Variance</t>
  </si>
  <si>
    <t>3220</t>
  </si>
  <si>
    <t>Material Quantity Variance</t>
  </si>
  <si>
    <t>3305</t>
  </si>
  <si>
    <t>HRLY Clearing</t>
  </si>
  <si>
    <t>Variance</t>
  </si>
  <si>
    <t>Distribution</t>
  </si>
  <si>
    <t>Other</t>
  </si>
  <si>
    <t>Subtotal PPE</t>
  </si>
  <si>
    <t>Subtotal Inventory</t>
  </si>
  <si>
    <t>Total Fixed Assets</t>
  </si>
  <si>
    <t>Fixed Assets</t>
  </si>
  <si>
    <t>WIP Adjustment</t>
  </si>
  <si>
    <t>Net Fixed Assets</t>
  </si>
  <si>
    <t>Deferred Financing Costs</t>
  </si>
  <si>
    <t>Regulatory Liabilities - Other</t>
  </si>
  <si>
    <t>Regulatory Asset - Other</t>
  </si>
  <si>
    <t>Deferred Charge</t>
  </si>
  <si>
    <t>Working Capital</t>
  </si>
  <si>
    <t>Accumulated Amortization</t>
  </si>
  <si>
    <t>Amortization</t>
  </si>
  <si>
    <t>Annual</t>
  </si>
  <si>
    <t>Lines and Line Transformers</t>
  </si>
  <si>
    <t>SCADA and Communications</t>
  </si>
  <si>
    <t>Meters</t>
  </si>
  <si>
    <t>Street &amp; Private Area Lights</t>
  </si>
  <si>
    <t>Transportation</t>
  </si>
  <si>
    <t>Unrecoverd pre-2004 costs recoverable</t>
  </si>
  <si>
    <t>Unrecoverd post-2003 costs recoverable</t>
  </si>
  <si>
    <t>Future Income Taxes</t>
  </si>
  <si>
    <t>Fixed Assets Recovery</t>
  </si>
  <si>
    <t>ECAM</t>
  </si>
  <si>
    <t>Deferred Charges</t>
  </si>
  <si>
    <t>Employee Future Benefits</t>
  </si>
  <si>
    <t>DSM</t>
  </si>
  <si>
    <t>Total Future Income Taxes</t>
  </si>
  <si>
    <t>Mid Year</t>
  </si>
  <si>
    <t>Total Net</t>
  </si>
  <si>
    <t>Labour</t>
  </si>
  <si>
    <t>WIP</t>
  </si>
  <si>
    <t>Net</t>
  </si>
  <si>
    <t>4500</t>
  </si>
  <si>
    <t>Contributions - New Services</t>
  </si>
  <si>
    <t>4503</t>
  </si>
  <si>
    <t>Contributions - Extensions</t>
  </si>
  <si>
    <t>4510</t>
  </si>
  <si>
    <t>Refundable Contributions</t>
  </si>
  <si>
    <t>4505</t>
  </si>
  <si>
    <t>Contributions - Other</t>
  </si>
  <si>
    <t>4501</t>
  </si>
  <si>
    <t>Amortization Contributions</t>
  </si>
  <si>
    <t>Total Gross</t>
  </si>
  <si>
    <t>Total Accumulated Amortization</t>
  </si>
  <si>
    <t>Contributions</t>
  </si>
  <si>
    <t>Production</t>
  </si>
  <si>
    <t>Transmission &amp; Distribution</t>
  </si>
  <si>
    <t>Total Transmission &amp; Distribution</t>
  </si>
  <si>
    <t>Administrative &amp; General</t>
  </si>
  <si>
    <t>Contributions - Net</t>
  </si>
  <si>
    <t>Inventory</t>
  </si>
  <si>
    <t>Total Working Capital</t>
  </si>
  <si>
    <t>Rate Base</t>
  </si>
  <si>
    <t>3580</t>
  </si>
  <si>
    <t>ROW Distribution</t>
  </si>
  <si>
    <t>ROW Transmission</t>
  </si>
  <si>
    <t>3585</t>
  </si>
  <si>
    <t>CIS and EPS</t>
  </si>
  <si>
    <t>Intangible</t>
  </si>
  <si>
    <t>Intangible Assets</t>
  </si>
  <si>
    <t>Total Intangible Assets</t>
  </si>
  <si>
    <t>Future Income Tax Asset</t>
  </si>
  <si>
    <t>Future Income Tax Liability</t>
  </si>
  <si>
    <t>Tax Adjustments for CAR</t>
  </si>
  <si>
    <t>Distribution Lines</t>
  </si>
  <si>
    <t>O&amp;M</t>
  </si>
  <si>
    <t>Schedule 5.0</t>
  </si>
  <si>
    <t>Functional Allocator Summary</t>
  </si>
  <si>
    <t>Percent (%)</t>
  </si>
  <si>
    <t>Functional Allocator</t>
  </si>
  <si>
    <t>Exogenous Allocators</t>
  </si>
  <si>
    <t>Primary &amp; Secondary</t>
  </si>
  <si>
    <t>Call Center</t>
  </si>
  <si>
    <t>ECC</t>
  </si>
  <si>
    <t>SCADA</t>
  </si>
  <si>
    <t>Environmental</t>
  </si>
  <si>
    <t>T&amp;D Transformers</t>
  </si>
  <si>
    <t>Distribution Facilities</t>
  </si>
  <si>
    <t>Engineering</t>
  </si>
  <si>
    <t>Procurement</t>
  </si>
  <si>
    <t>Distribution Network</t>
  </si>
  <si>
    <t>T&amp;D Plant</t>
  </si>
  <si>
    <t>Total Plant</t>
  </si>
  <si>
    <t>Allocators Based on O&amp;M</t>
  </si>
  <si>
    <t>Blended Allocators</t>
  </si>
  <si>
    <t>Head Office</t>
  </si>
  <si>
    <t>Gross Fixed Assets</t>
  </si>
  <si>
    <t>Total</t>
  </si>
  <si>
    <t>Allocators Based on Fixed Assets</t>
  </si>
  <si>
    <t>Functional Allocator Worksheet</t>
  </si>
  <si>
    <t>Wires</t>
  </si>
  <si>
    <t>Basis for Functionalization</t>
  </si>
  <si>
    <t>Used for Functional Allocator</t>
  </si>
  <si>
    <t>Presentation Header</t>
  </si>
  <si>
    <t>Allocators Based on Fixed Assets ($,000)</t>
  </si>
  <si>
    <t>Schedule 4.0</t>
  </si>
  <si>
    <t>Functionalized Gross Plant</t>
  </si>
  <si>
    <t>Direct Assigned ($,000)</t>
  </si>
  <si>
    <t>For Allocation</t>
  </si>
  <si>
    <t>First Allocation</t>
  </si>
  <si>
    <t>Second Allocation</t>
  </si>
  <si>
    <t>Third Allocation</t>
  </si>
  <si>
    <t>Required Allocation Factors</t>
  </si>
  <si>
    <t>CHECKS</t>
  </si>
  <si>
    <t>Direct Assigned</t>
  </si>
  <si>
    <t>Total Allocated</t>
  </si>
  <si>
    <t>Original</t>
  </si>
  <si>
    <t>Horizontal sum</t>
  </si>
  <si>
    <t>Functionalized Contributions Related Distribution Plant</t>
  </si>
  <si>
    <t>Contributions Related Distribution Plant</t>
  </si>
  <si>
    <t>Allocation</t>
  </si>
  <si>
    <t>Right of Ways</t>
  </si>
  <si>
    <t>Software</t>
  </si>
  <si>
    <t>Net Plant</t>
  </si>
  <si>
    <t>Gross operating expenses</t>
  </si>
  <si>
    <t>Income taxes paid</t>
  </si>
  <si>
    <t>Functionalized Rate Base</t>
  </si>
  <si>
    <t>Functionalized Amortization</t>
  </si>
  <si>
    <t>Schedule 4.2</t>
  </si>
  <si>
    <t>Financing Expenses</t>
  </si>
  <si>
    <t>Energy Costs</t>
  </si>
  <si>
    <t>ECAM Adjustment</t>
  </si>
  <si>
    <t>Net Energy Costs</t>
  </si>
  <si>
    <t>Transmission and Distribution - Other</t>
  </si>
  <si>
    <t>Transmission - OATT</t>
  </si>
  <si>
    <t>General</t>
  </si>
  <si>
    <t>Total Operating Expenses</t>
  </si>
  <si>
    <t>Total Amortization</t>
  </si>
  <si>
    <t xml:space="preserve">Long-Term Debt </t>
  </si>
  <si>
    <t xml:space="preserve">Short-Term Debt </t>
  </si>
  <si>
    <t xml:space="preserve">Interest Charged To Construction </t>
  </si>
  <si>
    <t>Amortization of Financing Costs</t>
  </si>
  <si>
    <t>Total Financing Expenses</t>
  </si>
  <si>
    <t>Earnings before Income Taxes</t>
  </si>
  <si>
    <t xml:space="preserve">Income Taxes </t>
  </si>
  <si>
    <t>Operating Expenses</t>
  </si>
  <si>
    <t xml:space="preserve">Total Operating Income </t>
  </si>
  <si>
    <t>Communication</t>
  </si>
  <si>
    <t>Insurance</t>
  </si>
  <si>
    <t>Regulation</t>
  </si>
  <si>
    <t>7000</t>
  </si>
  <si>
    <t>NB Power Assured</t>
  </si>
  <si>
    <t>7002</t>
  </si>
  <si>
    <t>NB Power Capacity</t>
  </si>
  <si>
    <t>7007</t>
  </si>
  <si>
    <t>Wind Energy</t>
  </si>
  <si>
    <t>7008</t>
  </si>
  <si>
    <t>Other Energy</t>
  </si>
  <si>
    <t>7020</t>
  </si>
  <si>
    <t>Lepreau Fuel</t>
  </si>
  <si>
    <t>7021</t>
  </si>
  <si>
    <t>Lepreau Cost of Carrying Fuel</t>
  </si>
  <si>
    <t>7023</t>
  </si>
  <si>
    <t>Lepreau Cost of Capital</t>
  </si>
  <si>
    <t>7025</t>
  </si>
  <si>
    <t>Lepreau O&amp;M &amp; Indirect</t>
  </si>
  <si>
    <t>7027</t>
  </si>
  <si>
    <t>Lepreau Decommissioning Charge</t>
  </si>
  <si>
    <t>7029</t>
  </si>
  <si>
    <t>Lepreau Guarantee Fee</t>
  </si>
  <si>
    <t>7031</t>
  </si>
  <si>
    <t>Lepreau Inventory Common Stock</t>
  </si>
  <si>
    <t>7040</t>
  </si>
  <si>
    <t>O&amp;M Murray Corner</t>
  </si>
  <si>
    <t>7041</t>
  </si>
  <si>
    <t>O&amp;M Memramcook</t>
  </si>
  <si>
    <t>7042</t>
  </si>
  <si>
    <t>Breaker Rental NB Power</t>
  </si>
  <si>
    <t>7046</t>
  </si>
  <si>
    <t>NB Power Secure</t>
  </si>
  <si>
    <t>7051</t>
  </si>
  <si>
    <t>NB Power Firm 2</t>
  </si>
  <si>
    <t>7053</t>
  </si>
  <si>
    <t>Imbalance Energy</t>
  </si>
  <si>
    <t>7054</t>
  </si>
  <si>
    <t>Imbalance Premium</t>
  </si>
  <si>
    <t>7056</t>
  </si>
  <si>
    <t>E-Tagging and Scheduling</t>
  </si>
  <si>
    <t>7057</t>
  </si>
  <si>
    <t>Cost of Energy for Sales</t>
  </si>
  <si>
    <t>7058</t>
  </si>
  <si>
    <t>IPL Transmission Sch 1, 2, 7</t>
  </si>
  <si>
    <t>7090</t>
  </si>
  <si>
    <t>ECAM Recovery</t>
  </si>
  <si>
    <t>7102</t>
  </si>
  <si>
    <t>CTGS Build and Serv</t>
  </si>
  <si>
    <t>7103</t>
  </si>
  <si>
    <t>CTGS Maintenance</t>
  </si>
  <si>
    <t>7105</t>
  </si>
  <si>
    <t>CTGS Operating</t>
  </si>
  <si>
    <t>7116</t>
  </si>
  <si>
    <t>CTGS Superintendence</t>
  </si>
  <si>
    <t>7117</t>
  </si>
  <si>
    <t>CTGS Generation Fuel Bunker</t>
  </si>
  <si>
    <t>7150</t>
  </si>
  <si>
    <t>ECC Operations</t>
  </si>
  <si>
    <t>7209</t>
  </si>
  <si>
    <t>BGS CT Operating</t>
  </si>
  <si>
    <t>7210</t>
  </si>
  <si>
    <t>BGS CT Maintenance</t>
  </si>
  <si>
    <t>7217</t>
  </si>
  <si>
    <t>BGS CT Fuel - Diesel</t>
  </si>
  <si>
    <t>7302</t>
  </si>
  <si>
    <t>CTGS CT Building and Services</t>
  </si>
  <si>
    <t>7303</t>
  </si>
  <si>
    <t>CTGS CT Maint</t>
  </si>
  <si>
    <t>7305</t>
  </si>
  <si>
    <t>CTGS CT Operating</t>
  </si>
  <si>
    <t>7317</t>
  </si>
  <si>
    <t>CTGS CT Fuel - Diesel</t>
  </si>
  <si>
    <t>7350</t>
  </si>
  <si>
    <t>7355</t>
  </si>
  <si>
    <t>Prop Taxes</t>
  </si>
  <si>
    <t>7415</t>
  </si>
  <si>
    <t>MICF Gov Misc Lab &amp; Exp</t>
  </si>
  <si>
    <t>7450</t>
  </si>
  <si>
    <t>Mech Maint BUDGET</t>
  </si>
  <si>
    <t>7510</t>
  </si>
  <si>
    <t>OATT</t>
  </si>
  <si>
    <t>7741</t>
  </si>
  <si>
    <t>Maint Sub, Build, Prop</t>
  </si>
  <si>
    <t>7745</t>
  </si>
  <si>
    <t>Maint ROW Line Clearing</t>
  </si>
  <si>
    <t>7748</t>
  </si>
  <si>
    <t>Maint Lines</t>
  </si>
  <si>
    <t>7750</t>
  </si>
  <si>
    <t>Maint Line Devices</t>
  </si>
  <si>
    <t>7751</t>
  </si>
  <si>
    <t>Maint Trans</t>
  </si>
  <si>
    <t>7755</t>
  </si>
  <si>
    <t>Maint UG system</t>
  </si>
  <si>
    <t>7756</t>
  </si>
  <si>
    <t>Maint UG service lines</t>
  </si>
  <si>
    <t>7758</t>
  </si>
  <si>
    <t>Maint Meters</t>
  </si>
  <si>
    <t>7760</t>
  </si>
  <si>
    <t>7763</t>
  </si>
  <si>
    <t>Scada</t>
  </si>
  <si>
    <t>7765</t>
  </si>
  <si>
    <t>Eng</t>
  </si>
  <si>
    <t>7768</t>
  </si>
  <si>
    <t>Misc labor and expense</t>
  </si>
  <si>
    <t>7841</t>
  </si>
  <si>
    <t>Maint sub equip</t>
  </si>
  <si>
    <t>7845</t>
  </si>
  <si>
    <t>7848</t>
  </si>
  <si>
    <t>Maint Trans Lines</t>
  </si>
  <si>
    <t>7850</t>
  </si>
  <si>
    <t>Maint line devices</t>
  </si>
  <si>
    <t>7865</t>
  </si>
  <si>
    <t>7950</t>
  </si>
  <si>
    <t>7955</t>
  </si>
  <si>
    <t>8000</t>
  </si>
  <si>
    <t>Super</t>
  </si>
  <si>
    <t>Admin</t>
  </si>
  <si>
    <t>8020</t>
  </si>
  <si>
    <t>CSS</t>
  </si>
  <si>
    <t>8030</t>
  </si>
  <si>
    <t>8040</t>
  </si>
  <si>
    <t>Training</t>
  </si>
  <si>
    <t>8055</t>
  </si>
  <si>
    <t>Claims</t>
  </si>
  <si>
    <t>8060</t>
  </si>
  <si>
    <t>Collections</t>
  </si>
  <si>
    <t>8065</t>
  </si>
  <si>
    <t>Uncollectible</t>
  </si>
  <si>
    <t>8100</t>
  </si>
  <si>
    <t>8110</t>
  </si>
  <si>
    <t>8130</t>
  </si>
  <si>
    <t>Aud, Tax &amp; Prof Services</t>
  </si>
  <si>
    <t>8140</t>
  </si>
  <si>
    <t>8200</t>
  </si>
  <si>
    <t>8210</t>
  </si>
  <si>
    <t>Operational Costs</t>
  </si>
  <si>
    <t>8240</t>
  </si>
  <si>
    <t>8300</t>
  </si>
  <si>
    <t>8340</t>
  </si>
  <si>
    <t>8345</t>
  </si>
  <si>
    <t>8350</t>
  </si>
  <si>
    <t>WRSC Prop Exp</t>
  </si>
  <si>
    <t>8360</t>
  </si>
  <si>
    <t>East Prop Exp</t>
  </si>
  <si>
    <t>8365</t>
  </si>
  <si>
    <t>West Prop Exp</t>
  </si>
  <si>
    <t>8370</t>
  </si>
  <si>
    <t>Sub Prop</t>
  </si>
  <si>
    <t>8400</t>
  </si>
  <si>
    <t>8415</t>
  </si>
  <si>
    <t>Donations</t>
  </si>
  <si>
    <t>8500</t>
  </si>
  <si>
    <t>8510</t>
  </si>
  <si>
    <t>8540</t>
  </si>
  <si>
    <t>8600</t>
  </si>
  <si>
    <t>8602</t>
  </si>
  <si>
    <t>8603</t>
  </si>
  <si>
    <t>Legal</t>
  </si>
  <si>
    <t>8605</t>
  </si>
  <si>
    <t>Future Benefits</t>
  </si>
  <si>
    <t>8606</t>
  </si>
  <si>
    <t>Supplementary Retirement Pensi</t>
  </si>
  <si>
    <t>8607</t>
  </si>
  <si>
    <t>8613</t>
  </si>
  <si>
    <t>Directors' Fees</t>
  </si>
  <si>
    <t>8614</t>
  </si>
  <si>
    <t>Gen Admin</t>
  </si>
  <si>
    <t>8615</t>
  </si>
  <si>
    <t>Gen Admin - Parent</t>
  </si>
  <si>
    <t>8640</t>
  </si>
  <si>
    <t>HO Prop Exp</t>
  </si>
  <si>
    <t>Schedule 6.0</t>
  </si>
  <si>
    <t>Description</t>
  </si>
  <si>
    <t>Functionalization Method</t>
  </si>
  <si>
    <t>Demand Related</t>
  </si>
  <si>
    <t>Labour Related</t>
  </si>
  <si>
    <t>6604</t>
  </si>
  <si>
    <t>6611</t>
  </si>
  <si>
    <t>9002</t>
  </si>
  <si>
    <t>9003</t>
  </si>
  <si>
    <t>9004</t>
  </si>
  <si>
    <t>9008</t>
  </si>
  <si>
    <t>9009</t>
  </si>
  <si>
    <t>9100</t>
  </si>
  <si>
    <t>9200</t>
  </si>
  <si>
    <t>9400</t>
  </si>
  <si>
    <t>9415</t>
  </si>
  <si>
    <t>9420</t>
  </si>
  <si>
    <t>9425</t>
  </si>
  <si>
    <t>9427</t>
  </si>
  <si>
    <t>9600</t>
  </si>
  <si>
    <t>Customer service</t>
  </si>
  <si>
    <t>Finance</t>
  </si>
  <si>
    <t>IT</t>
  </si>
  <si>
    <t>Property &amp; Stores</t>
  </si>
  <si>
    <t>Corporate Communications and Public Affairs</t>
  </si>
  <si>
    <t>Regulatory</t>
  </si>
  <si>
    <t>Corporate</t>
  </si>
  <si>
    <t>G&amp;T Rate Base</t>
  </si>
  <si>
    <t>Customer Service</t>
  </si>
  <si>
    <t>O&amp;M Reporting</t>
  </si>
  <si>
    <t>Interest 2031 8.92%</t>
  </si>
  <si>
    <t>Interest 2027 8.625%</t>
  </si>
  <si>
    <t>Interest 2038 6.054%</t>
  </si>
  <si>
    <t>Interest 2025 7.57%</t>
  </si>
  <si>
    <t>Interest 2061 4.915%</t>
  </si>
  <si>
    <t>Other Interest</t>
  </si>
  <si>
    <t>Amortization Finance Costs Tem</t>
  </si>
  <si>
    <t>Amortization - Lepreau Writedo</t>
  </si>
  <si>
    <t>Amortization - DSM Costs</t>
  </si>
  <si>
    <t>Amortization - Developed Softw</t>
  </si>
  <si>
    <t>Amortization - ROW and Easemen</t>
  </si>
  <si>
    <t>Income Tax</t>
  </si>
  <si>
    <t>Interest Income Misc</t>
  </si>
  <si>
    <t>Amortization Other</t>
  </si>
  <si>
    <t>Amortization Plant And Equipment</t>
  </si>
  <si>
    <t>Interest During Construction</t>
  </si>
  <si>
    <t>N/A</t>
  </si>
  <si>
    <t>Total Net Earnings</t>
  </si>
  <si>
    <t>Functionalized Revenue Requirement</t>
  </si>
  <si>
    <t>Functionalized Labour</t>
  </si>
  <si>
    <t>Schedule 3.1</t>
  </si>
  <si>
    <t>Allocators Based on O&amp;M ($,000)</t>
  </si>
  <si>
    <t>Change</t>
  </si>
  <si>
    <t>Gross</t>
  </si>
  <si>
    <t>Rate Base Excluding WC</t>
  </si>
  <si>
    <t>Allocation of Head Office Floor Space</t>
  </si>
  <si>
    <t>Function</t>
  </si>
  <si>
    <t>Floor</t>
  </si>
  <si>
    <t>Occupancy</t>
  </si>
  <si>
    <t>Allocator</t>
  </si>
  <si>
    <t>Information Technology</t>
  </si>
  <si>
    <t>Executive</t>
  </si>
  <si>
    <t>Average</t>
  </si>
  <si>
    <t>Detailed Analysis</t>
  </si>
  <si>
    <t>Allocator Components</t>
  </si>
  <si>
    <t>Weight</t>
  </si>
  <si>
    <t>6241</t>
  </si>
  <si>
    <t>6260</t>
  </si>
  <si>
    <t>Late Payment Charges</t>
  </si>
  <si>
    <t>6605</t>
  </si>
  <si>
    <t>Misc Revenue</t>
  </si>
  <si>
    <t>6606</t>
  </si>
  <si>
    <t>Accrued Revenue Adjustment</t>
  </si>
  <si>
    <t>Power Supply Demand Related</t>
  </si>
  <si>
    <t>Power Supply Demand Related (%)</t>
  </si>
  <si>
    <t>Energy Costs ($,000)</t>
  </si>
  <si>
    <t>Energy Related</t>
  </si>
  <si>
    <t>Site Related</t>
  </si>
  <si>
    <t>Blended Allocator Assumptions</t>
  </si>
  <si>
    <t>Energy Cost Classification</t>
  </si>
  <si>
    <t>Schedule 2.2</t>
  </si>
  <si>
    <t>Base Allocators</t>
  </si>
  <si>
    <t>Site Allocator Weighting Assumptions</t>
  </si>
  <si>
    <t>Energy - Input (MWh)</t>
  </si>
  <si>
    <t>Service Lines ($,000)</t>
  </si>
  <si>
    <t>Meter Assets ($,000)</t>
  </si>
  <si>
    <t>Service Connection Revenue ($,000)</t>
  </si>
  <si>
    <t>Penalty Revenue ($,000)</t>
  </si>
  <si>
    <t>1CP - Input (kW)</t>
  </si>
  <si>
    <t>1CP - Transmission (kW)</t>
  </si>
  <si>
    <t>1CP - Distribution Primary (kW)</t>
  </si>
  <si>
    <t>NCP - Distribution Primary (kW)</t>
  </si>
  <si>
    <t>NCP - Distribution Secondary (kW)</t>
  </si>
  <si>
    <t>Demand Allocators, Isolated (%)</t>
  </si>
  <si>
    <t>Energy Allocators, Isolated (%)</t>
  </si>
  <si>
    <t>Site Allocators, Isolated (%)</t>
  </si>
  <si>
    <t>Schedule 2.1</t>
  </si>
  <si>
    <t>Allocators by Function</t>
  </si>
  <si>
    <t>Classification Assumptions</t>
  </si>
  <si>
    <t>Allocator by Function Assumptions</t>
  </si>
  <si>
    <t>Full Revenue Requirement</t>
  </si>
  <si>
    <t>Demand Related Revenue Requirement</t>
  </si>
  <si>
    <t>Site Related Revenue Requirement</t>
  </si>
  <si>
    <t>Energy Related Revenue Requirement</t>
  </si>
  <si>
    <t>Reconciliation Check</t>
  </si>
  <si>
    <t>Functionalized Revenue Requirement, Summary</t>
  </si>
  <si>
    <t>Revenue Requirement ($,000)</t>
  </si>
  <si>
    <t>Revenue Requirement, Demand Related ($,000)</t>
  </si>
  <si>
    <t>Revenue Requirement, Site Related ($,000)</t>
  </si>
  <si>
    <t>Revenue Requirement, Energy Related ($,000)</t>
  </si>
  <si>
    <t>Schedule 1.2</t>
  </si>
  <si>
    <t>Unit Cost Summary</t>
  </si>
  <si>
    <t>Energy Related Revenue Requirement (¢/kWh)</t>
  </si>
  <si>
    <t>Demand Related Revenue Requirement ($/kW/Mo Billing Demand)</t>
  </si>
  <si>
    <t>Schedule 1.0</t>
  </si>
  <si>
    <t>Summary of Cost Allocation Results</t>
  </si>
  <si>
    <t>Allocated Cost (net of Other Revenue)</t>
  </si>
  <si>
    <t>Revenue Collected</t>
  </si>
  <si>
    <t>Unit Cost</t>
  </si>
  <si>
    <t>Demand Related ($/kW/Mo Billing Demand)</t>
  </si>
  <si>
    <t>Site Related ($/Bill/Mo)</t>
  </si>
  <si>
    <t>Allocated Share</t>
  </si>
  <si>
    <t>Schedule Index</t>
  </si>
  <si>
    <t>Schedule 2.4</t>
  </si>
  <si>
    <t>Schedule 2.0</t>
  </si>
  <si>
    <t>Schedule 3.0</t>
  </si>
  <si>
    <t>Schedule 3.2</t>
  </si>
  <si>
    <t>Schedule 5.1</t>
  </si>
  <si>
    <t>Schedule 6.3</t>
  </si>
  <si>
    <t>1.0: Summary of Cost Allocation Results</t>
  </si>
  <si>
    <t>2.0: Allocators by Function</t>
  </si>
  <si>
    <t>2.1: Allocators</t>
  </si>
  <si>
    <t>3.0: Functionalized Revenue Requirement, Summary</t>
  </si>
  <si>
    <t>3.1: Functionalized Revenue Requirement</t>
  </si>
  <si>
    <t>4.0: Functionalized Gross Plant</t>
  </si>
  <si>
    <t>5.0: Functional Allocator Summary</t>
  </si>
  <si>
    <t>5.1: Functional Allocator Worksheet</t>
  </si>
  <si>
    <t>6.3: Standard Lists</t>
  </si>
  <si>
    <t>Billing Demand (kW * 12 Months)</t>
  </si>
  <si>
    <t>Peak metered demand</t>
  </si>
  <si>
    <t>Sales (MWh)</t>
  </si>
  <si>
    <t>Finance Labour</t>
  </si>
  <si>
    <t>FTEs by Function</t>
  </si>
  <si>
    <t>Customer Payments</t>
  </si>
  <si>
    <t>Purchasing</t>
  </si>
  <si>
    <t>Payroll</t>
  </si>
  <si>
    <t>Accounts Receivable (Non-Electric)</t>
  </si>
  <si>
    <t>Accounts Payable</t>
  </si>
  <si>
    <t>Collection</t>
  </si>
  <si>
    <t>Finance Admin</t>
  </si>
  <si>
    <t>Weighting</t>
  </si>
  <si>
    <t>Schedule 5.2</t>
  </si>
  <si>
    <t>Call Centre</t>
  </si>
  <si>
    <t>Vehicle Related</t>
  </si>
  <si>
    <t>Functionalized Vehicle</t>
  </si>
  <si>
    <t>For Allocation (First)</t>
  </si>
  <si>
    <t>For Allocation (Second)</t>
  </si>
  <si>
    <t>Sales Data</t>
  </si>
  <si>
    <t>Revenue ($,000)</t>
  </si>
  <si>
    <t>Full Revenue Requirement (¢/kWh Sales)</t>
  </si>
  <si>
    <t>Allocated Revenue Requirement ($,000)</t>
  </si>
  <si>
    <t>Lighting</t>
  </si>
  <si>
    <t>Demand Related Revenue Requirement ($/1CP)</t>
  </si>
  <si>
    <t>Meter Reading  (Weighted Sites x 1000)</t>
  </si>
  <si>
    <t>Billing (Weighted Sites x 1000)</t>
  </si>
  <si>
    <t>Remittance &amp; Collection (Weighted Sites x 1000)</t>
  </si>
  <si>
    <t>Lighting &amp; Unmetered Fixtures</t>
  </si>
  <si>
    <t>Lighting &amp; Unmetered Equivalence</t>
  </si>
  <si>
    <t>Site Related Revenue Requirement ($/Bill)</t>
  </si>
  <si>
    <t>Average Bills per Month</t>
  </si>
  <si>
    <t>Net Earnings</t>
  </si>
  <si>
    <t>Unit Cost by Function</t>
  </si>
  <si>
    <t>Schedule 1.3</t>
  </si>
  <si>
    <t>Schedule 1.1</t>
  </si>
  <si>
    <t>Schedule 1.4</t>
  </si>
  <si>
    <t>Schedule 2.5</t>
  </si>
  <si>
    <t>Schedule 3.3</t>
  </si>
  <si>
    <t>Schedule 3.4</t>
  </si>
  <si>
    <t>Schedule 3.5</t>
  </si>
  <si>
    <t>Schedule 3.6</t>
  </si>
  <si>
    <t>Schedule 4.1</t>
  </si>
  <si>
    <t>1.1: Unit Cost Summary</t>
  </si>
  <si>
    <t>1.2: Unit Cost by Function</t>
  </si>
  <si>
    <t>1.3: Allocated Revenue Requirement ($,000)</t>
  </si>
  <si>
    <t>1.4: Allocated Revenue Requirement ($,000)</t>
  </si>
  <si>
    <t>2.4: Classification Assumptions</t>
  </si>
  <si>
    <t>2.5: Allocator by Function Assumptions</t>
  </si>
  <si>
    <t>3.2: Functionalized Labour</t>
  </si>
  <si>
    <t>3.3: Functionalized Vehicle</t>
  </si>
  <si>
    <t>3.4: Functionalized Rate Base</t>
  </si>
  <si>
    <t>3.5: Functionalized Contributions Related Distribution Plant</t>
  </si>
  <si>
    <t>3.6: Functionalized Amortization</t>
  </si>
  <si>
    <t>Substations 1841 Account</t>
  </si>
  <si>
    <t>Gross Revenue Requirement</t>
  </si>
  <si>
    <t>Net Revenue Requirement</t>
  </si>
  <si>
    <t>Other Revenue</t>
  </si>
  <si>
    <t>OATT Revenue</t>
  </si>
  <si>
    <t>7500</t>
  </si>
  <si>
    <t>Transmission Access</t>
  </si>
  <si>
    <t>7502</t>
  </si>
  <si>
    <t>Scheduling Service</t>
  </si>
  <si>
    <t>7503</t>
  </si>
  <si>
    <t>Wind Regulation and Load Follo</t>
  </si>
  <si>
    <t>7504</t>
  </si>
  <si>
    <t>Reactive Supply and Voltage Co</t>
  </si>
  <si>
    <t>7505</t>
  </si>
  <si>
    <t>Energy Imbalance OATT</t>
  </si>
  <si>
    <t>7507</t>
  </si>
  <si>
    <t>Residual Uplift</t>
  </si>
  <si>
    <t>7508</t>
  </si>
  <si>
    <t>Non-Capital Support Charge</t>
  </si>
  <si>
    <t>6340</t>
  </si>
  <si>
    <t>6342</t>
  </si>
  <si>
    <t>6343</t>
  </si>
  <si>
    <t>Regulation and Load Following</t>
  </si>
  <si>
    <t>6344</t>
  </si>
  <si>
    <t>6345</t>
  </si>
  <si>
    <t>6347</t>
  </si>
  <si>
    <t>6348</t>
  </si>
  <si>
    <t>Revenue Share</t>
  </si>
  <si>
    <t>Pole Revenue</t>
  </si>
  <si>
    <t>Right of Way Amortization</t>
  </si>
  <si>
    <t>Transmission Component</t>
  </si>
  <si>
    <t>Distribution Component</t>
  </si>
  <si>
    <t>less Rate of Return Adjustment</t>
  </si>
  <si>
    <t>Rate of Return Adjustment</t>
  </si>
  <si>
    <t>Proportional Allocation of Revenue Adjustments on Schedule 1.0</t>
  </si>
  <si>
    <t>1CP - Input Firm (kW)</t>
  </si>
  <si>
    <t>1CP - Input Firm</t>
  </si>
  <si>
    <t>9006</t>
  </si>
  <si>
    <t>7049</t>
  </si>
  <si>
    <t>Capacity Other</t>
  </si>
  <si>
    <t>7055</t>
  </si>
  <si>
    <t>COS Energy Purchase</t>
  </si>
  <si>
    <t>7180</t>
  </si>
  <si>
    <t>7202</t>
  </si>
  <si>
    <t>BGS CT Building and Services</t>
  </si>
  <si>
    <t>7780</t>
  </si>
  <si>
    <t>7754</t>
  </si>
  <si>
    <t>Maint street lights</t>
  </si>
  <si>
    <t>Additional Identifier</t>
  </si>
  <si>
    <t>Wind PPAs</t>
  </si>
  <si>
    <t>Lepreau Participation</t>
  </si>
  <si>
    <t>CT Fuel</t>
  </si>
  <si>
    <t>Check</t>
  </si>
  <si>
    <t xml:space="preserve">Revenue Requirement Summary </t>
  </si>
  <si>
    <t>Weather Normalization</t>
  </si>
  <si>
    <t>add Weather Normalization</t>
  </si>
  <si>
    <t xml:space="preserve">4.1: Revenue Requirement Summary </t>
  </si>
  <si>
    <t>7043</t>
  </si>
  <si>
    <t>Reserve 10 Minute Non Spinning</t>
  </si>
  <si>
    <t>7044</t>
  </si>
  <si>
    <t>Reserve 30 Minute Non Spinning</t>
  </si>
  <si>
    <t>7216</t>
  </si>
  <si>
    <t>BGS CT Superintendance</t>
  </si>
  <si>
    <t>7316</t>
  </si>
  <si>
    <t>CTGS CT Superintendance</t>
  </si>
  <si>
    <t>8440</t>
  </si>
  <si>
    <t>9005</t>
  </si>
  <si>
    <t>Interest 2058 4.148%</t>
  </si>
  <si>
    <t>2020 Trial Balance</t>
  </si>
  <si>
    <t>3582</t>
  </si>
  <si>
    <t>3586</t>
  </si>
  <si>
    <t>Order 16-04, Section 16(D) - Sch 3 Rate Base Filing (2020)</t>
  </si>
  <si>
    <t>Revenue Requirement 2020</t>
  </si>
  <si>
    <t>Plant In Service 2020</t>
  </si>
  <si>
    <t>Contributions &amp; Intangible Assets (2020)</t>
  </si>
  <si>
    <t>Functional Allocator Worksheet, Blended Allocators (2020)</t>
  </si>
  <si>
    <t>2020 Rate Base ($,000)</t>
  </si>
  <si>
    <t>Allocator Assumptions (2020)</t>
  </si>
  <si>
    <t xml:space="preserve">NTD: These account numbers used to be 3580, 3580, and 3585. </t>
  </si>
  <si>
    <t>($,000)</t>
  </si>
  <si>
    <t>Schedule 6.2</t>
  </si>
  <si>
    <t>2.2: Allocator Assumptions (2020)</t>
  </si>
  <si>
    <t>4.2: 2020 Rate Base ($,000)</t>
  </si>
  <si>
    <t>5.2: Functional Allocator Worksheet, Blended Allocators (2020)</t>
  </si>
  <si>
    <t>6.0: Revenue Requirement 2020</t>
  </si>
  <si>
    <t>6.1: Plant In Service 2020</t>
  </si>
  <si>
    <t>6.2: Contributions &amp; Intangible Assets (2020)</t>
  </si>
  <si>
    <t>Retirements not appearing on I/S</t>
  </si>
  <si>
    <t>Adjustment</t>
  </si>
  <si>
    <t>for</t>
  </si>
  <si>
    <t>adjustment</t>
  </si>
  <si>
    <t>Envl</t>
  </si>
  <si>
    <t>IDC</t>
  </si>
  <si>
    <t>3.4%</t>
  </si>
  <si>
    <t>5.2%</t>
  </si>
  <si>
    <t>Amort CTGS</t>
  </si>
  <si>
    <t>Future Income Tax</t>
  </si>
  <si>
    <t>Amortization - CTGS Reserve Variance</t>
  </si>
  <si>
    <t>R&amp;T</t>
  </si>
  <si>
    <t>EV</t>
  </si>
  <si>
    <t>Interest Income</t>
  </si>
  <si>
    <t>Non-Finance Labour</t>
  </si>
  <si>
    <t>Regulatory Asset - CTGS</t>
  </si>
  <si>
    <t>Regulatory Asset - Weather Normalization</t>
  </si>
  <si>
    <t>Revenue to Cost Ratio (2023)</t>
  </si>
  <si>
    <t xml:space="preserve">NB Power Firm  </t>
  </si>
  <si>
    <t>Dollar Variance Under/(Over)</t>
  </si>
  <si>
    <t>Dollar Variance Under/(Over) 95:105</t>
  </si>
  <si>
    <t>Average Rate Adjustment Req'd 95:105</t>
  </si>
  <si>
    <t xml:space="preserve">Base Revenue, </t>
  </si>
  <si>
    <t>Loan Payment Cable Interconection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</si>
</sst>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_);\(#,##0\);0_)"/>
    <numFmt numFmtId="165" formatCode="#,##0_)%;\(#,##0\)%;0_)%"/>
    <numFmt numFmtId="166" formatCode="#,##0,_);\(#,##0,\);0,_)"/>
    <numFmt numFmtId="167" formatCode="#,##0.00_);\(#,##0.00\);0.00_)"/>
    <numFmt numFmtId="168" formatCode="#,##0.0_);\(#,##0.0\);0.0_)"/>
    <numFmt numFmtId="169" formatCode="#,##0.0_)%;\(#,##0.0\)%;0.0_)%"/>
    <numFmt numFmtId="170" formatCode="0.0%"/>
    <numFmt numFmtId="171" formatCode="_-* #,##0_-;\-* #,##0_-;_-* &quot;-&quot;??_-;_-@_-"/>
    <numFmt numFmtId="172" formatCode="#,##0.00,_);\(#,##0.00,\);0.00_)"/>
    <numFmt numFmtId="173" formatCode="#,##0.000000_);\(#,##0.000000\);0.000000_)"/>
    <numFmt numFmtId="175" formatCode="#,##0.0000_);\(#,##0.0000\);0.0000_)"/>
    <numFmt numFmtId="181" formatCode="#,##0.000000,_);\(#,##0.000000,\);0.000000,_)"/>
  </numFmts>
  <fonts count="13" x14ac:knownFonts="1">
    <font>
      <sz val="11"/>
      <color theme="1"/>
      <name val="Verdana"/>
      <family val="2"/>
    </font>
    <font>
      <sz val="10"/>
      <color theme="1"/>
      <name val="Verdana"/>
      <family val="2"/>
    </font>
    <font>
      <sz val="9"/>
      <color indexed="81"/>
      <name val="Tahoma"/>
      <family val="2"/>
    </font>
    <font>
      <u/>
      <sz val="11"/>
      <color theme="10"/>
      <name val="Verdana"/>
      <family val="2"/>
    </font>
    <font>
      <sz val="10"/>
      <color theme="1"/>
      <name val="Verdana"/>
      <family val="2"/>
    </font>
    <font>
      <sz val="10"/>
      <color theme="3"/>
      <name val="Verdana"/>
      <family val="2"/>
    </font>
    <font>
      <sz val="10"/>
      <name val="Verdana"/>
      <family val="2"/>
    </font>
    <font>
      <sz val="8"/>
      <color theme="1"/>
      <name val="Verdana"/>
      <family val="2"/>
    </font>
    <font>
      <b/>
      <sz val="9"/>
      <color indexed="81"/>
      <name val="Tahoma"/>
      <family val="2"/>
    </font>
    <font>
      <sz val="9"/>
      <color theme="1"/>
      <name val="Verdana"/>
      <family val="2"/>
    </font>
    <font>
      <u/>
      <sz val="11"/>
      <color theme="11"/>
      <name val="Verdana"/>
      <family val="2"/>
    </font>
    <font>
      <sz val="11"/>
      <color theme="1"/>
      <name val="Verdana"/>
      <family val="2"/>
    </font>
    <font>
      <b/>
      <sz val="10"/>
      <color theme="1"/>
      <name val="Verdana"/>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3"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15">
    <xf numFmtId="0" fontId="0" fillId="0" borderId="0" xfId="0"/>
    <xf numFmtId="166" fontId="4" fillId="0" borderId="0" xfId="0" applyNumberFormat="1" applyFont="1"/>
    <xf numFmtId="166" fontId="4" fillId="0" borderId="0" xfId="0" applyNumberFormat="1" applyFont="1" applyAlignment="1">
      <alignment horizontal="left"/>
    </xf>
    <xf numFmtId="166" fontId="4" fillId="0" borderId="0" xfId="0" applyNumberFormat="1" applyFont="1" applyAlignment="1">
      <alignment horizontal="left" indent="1"/>
    </xf>
    <xf numFmtId="166" fontId="4" fillId="0" borderId="0" xfId="0" applyNumberFormat="1" applyFont="1" applyAlignment="1">
      <alignment horizontal="left" indent="2"/>
    </xf>
    <xf numFmtId="164" fontId="4" fillId="0" borderId="0" xfId="0" applyNumberFormat="1" applyFont="1"/>
    <xf numFmtId="164" fontId="5" fillId="0" borderId="0" xfId="0" applyNumberFormat="1" applyFont="1"/>
    <xf numFmtId="165" fontId="5" fillId="0" borderId="0" xfId="0" applyNumberFormat="1" applyFont="1" applyAlignment="1">
      <alignment horizontal="right"/>
    </xf>
    <xf numFmtId="164" fontId="6" fillId="0" borderId="0" xfId="0" applyNumberFormat="1" applyFont="1"/>
    <xf numFmtId="166" fontId="4" fillId="0" borderId="0" xfId="0" applyNumberFormat="1" applyFont="1" applyAlignment="1">
      <alignment vertical="center" wrapText="1"/>
    </xf>
    <xf numFmtId="166" fontId="6" fillId="0" borderId="0" xfId="0" applyNumberFormat="1" applyFont="1"/>
    <xf numFmtId="164" fontId="4" fillId="0" borderId="0" xfId="0" applyNumberFormat="1" applyFont="1" applyAlignment="1">
      <alignment vertical="center" wrapText="1"/>
    </xf>
    <xf numFmtId="164" fontId="4" fillId="0" borderId="0" xfId="0" applyNumberFormat="1" applyFont="1" applyAlignment="1">
      <alignment horizontal="center" vertical="center" wrapText="1"/>
    </xf>
    <xf numFmtId="164" fontId="5" fillId="0" borderId="0" xfId="0" applyNumberFormat="1" applyFont="1" applyAlignment="1">
      <alignment horizontal="right"/>
    </xf>
    <xf numFmtId="164" fontId="4" fillId="0" borderId="0" xfId="0" applyNumberFormat="1" applyFont="1" applyAlignment="1">
      <alignment horizontal="center"/>
    </xf>
    <xf numFmtId="164" fontId="4" fillId="0" borderId="0" xfId="0" quotePrefix="1" applyNumberFormat="1" applyFont="1" applyAlignment="1">
      <alignment horizontal="right" indent="2"/>
    </xf>
    <xf numFmtId="164" fontId="7" fillId="0" borderId="0" xfId="0" applyNumberFormat="1" applyFont="1"/>
    <xf numFmtId="166" fontId="4" fillId="0" borderId="0" xfId="0" applyNumberFormat="1" applyFont="1" applyAlignment="1">
      <alignment horizontal="center" vertical="center" wrapText="1"/>
    </xf>
    <xf numFmtId="165" fontId="4" fillId="0" borderId="0" xfId="0" applyNumberFormat="1" applyFont="1"/>
    <xf numFmtId="0" fontId="4" fillId="0" borderId="0" xfId="0" applyFont="1"/>
    <xf numFmtId="0" fontId="5" fillId="0" borderId="0" xfId="0" applyFont="1"/>
    <xf numFmtId="168" fontId="5" fillId="0" borderId="0" xfId="0" applyNumberFormat="1" applyFont="1"/>
    <xf numFmtId="168" fontId="4" fillId="0" borderId="0" xfId="0" applyNumberFormat="1" applyFont="1"/>
    <xf numFmtId="166" fontId="4" fillId="0" borderId="0" xfId="0" applyNumberFormat="1" applyFont="1" applyAlignment="1">
      <alignment horizontal="left" vertical="center" wrapText="1" indent="1"/>
    </xf>
    <xf numFmtId="165" fontId="5" fillId="0" borderId="0" xfId="0" applyNumberFormat="1" applyFont="1"/>
    <xf numFmtId="164" fontId="4" fillId="0" borderId="0" xfId="0" applyNumberFormat="1" applyFont="1" applyAlignment="1">
      <alignment horizontal="left"/>
    </xf>
    <xf numFmtId="164" fontId="4" fillId="0" borderId="0" xfId="0" applyNumberFormat="1" applyFont="1" applyAlignment="1">
      <alignment horizontal="left" indent="1"/>
    </xf>
    <xf numFmtId="164" fontId="6" fillId="0" borderId="0" xfId="0" applyNumberFormat="1" applyFont="1" applyAlignment="1">
      <alignment horizontal="left" indent="1"/>
    </xf>
    <xf numFmtId="166" fontId="4" fillId="0" borderId="0" xfId="0" quotePrefix="1" applyNumberFormat="1" applyFont="1" applyAlignment="1">
      <alignment horizontal="center" vertical="center" wrapText="1"/>
    </xf>
    <xf numFmtId="166" fontId="4" fillId="0" borderId="0" xfId="0" applyNumberFormat="1" applyFont="1" applyAlignment="1">
      <alignment horizontal="left" vertical="center" wrapText="1"/>
    </xf>
    <xf numFmtId="169" fontId="4" fillId="0" borderId="0" xfId="0" applyNumberFormat="1" applyFont="1"/>
    <xf numFmtId="167" fontId="4" fillId="0" borderId="0" xfId="0" applyNumberFormat="1" applyFont="1" applyAlignment="1">
      <alignment horizontal="center"/>
    </xf>
    <xf numFmtId="167" fontId="4" fillId="0" borderId="0" xfId="0" applyNumberFormat="1" applyFont="1"/>
    <xf numFmtId="169" fontId="4"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167" fontId="4" fillId="0" borderId="0" xfId="0" applyNumberFormat="1" applyFont="1" applyAlignment="1">
      <alignment vertical="center" wrapText="1"/>
    </xf>
    <xf numFmtId="167" fontId="4" fillId="0" borderId="0" xfId="0" applyNumberFormat="1" applyFont="1" applyAlignment="1">
      <alignment horizontal="left" indent="1"/>
    </xf>
    <xf numFmtId="167" fontId="4" fillId="0" borderId="0" xfId="0" applyNumberFormat="1" applyFont="1" applyAlignment="1">
      <alignment horizontal="left"/>
    </xf>
    <xf numFmtId="167" fontId="4" fillId="0" borderId="0" xfId="0" applyNumberFormat="1" applyFont="1" applyAlignment="1">
      <alignment horizontal="right"/>
    </xf>
    <xf numFmtId="0" fontId="3" fillId="0" borderId="0" xfId="1" applyFill="1"/>
    <xf numFmtId="169" fontId="6" fillId="0" borderId="0" xfId="0" applyNumberFormat="1" applyFont="1"/>
    <xf numFmtId="169" fontId="5" fillId="0" borderId="0" xfId="0" applyNumberFormat="1" applyFont="1"/>
    <xf numFmtId="0" fontId="1" fillId="0" borderId="0" xfId="0" applyFont="1"/>
    <xf numFmtId="164" fontId="1" fillId="0" borderId="0" xfId="0" applyNumberFormat="1" applyFont="1" applyAlignment="1">
      <alignment horizontal="center" vertical="center" wrapText="1"/>
    </xf>
    <xf numFmtId="164" fontId="1" fillId="0" borderId="0" xfId="0" applyNumberFormat="1" applyFont="1"/>
    <xf numFmtId="164" fontId="1" fillId="0" borderId="0" xfId="0" quotePrefix="1" applyNumberFormat="1" applyFont="1"/>
    <xf numFmtId="166" fontId="1" fillId="0" borderId="0" xfId="0" applyNumberFormat="1" applyFont="1"/>
    <xf numFmtId="166" fontId="1" fillId="0" borderId="0" xfId="0" applyNumberFormat="1" applyFont="1" applyAlignment="1">
      <alignment horizontal="left" indent="1"/>
    </xf>
    <xf numFmtId="166" fontId="1" fillId="0" borderId="0" xfId="0" applyNumberFormat="1" applyFont="1" applyAlignment="1">
      <alignment horizontal="left"/>
    </xf>
    <xf numFmtId="9" fontId="4" fillId="0" borderId="0" xfId="0" applyNumberFormat="1" applyFont="1"/>
    <xf numFmtId="166" fontId="1" fillId="0" borderId="0" xfId="0" applyNumberFormat="1" applyFont="1" applyAlignment="1">
      <alignment horizontal="center" vertical="center" wrapText="1"/>
    </xf>
    <xf numFmtId="169" fontId="1" fillId="0" borderId="0" xfId="0" applyNumberFormat="1" applyFont="1"/>
    <xf numFmtId="164" fontId="1" fillId="0" borderId="0" xfId="0" applyNumberFormat="1" applyFont="1" applyAlignment="1">
      <alignment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right"/>
    </xf>
    <xf numFmtId="166" fontId="1" fillId="0" borderId="0" xfId="0" applyNumberFormat="1" applyFont="1" applyAlignment="1">
      <alignment vertical="center" wrapText="1"/>
    </xf>
    <xf numFmtId="166" fontId="1" fillId="0" borderId="0" xfId="0" applyNumberFormat="1" applyFont="1" applyAlignment="1">
      <alignment horizontal="right" vertical="center" wrapText="1"/>
    </xf>
    <xf numFmtId="49" fontId="1" fillId="0" borderId="0" xfId="0" applyNumberFormat="1" applyFont="1"/>
    <xf numFmtId="164" fontId="5" fillId="0" borderId="0" xfId="0" applyNumberFormat="1" applyFont="1" applyAlignment="1">
      <alignment horizontal="right" indent="1"/>
    </xf>
    <xf numFmtId="9" fontId="4" fillId="0" borderId="0" xfId="12" applyFont="1" applyFill="1"/>
    <xf numFmtId="3" fontId="0" fillId="0" borderId="0" xfId="0" applyNumberFormat="1"/>
    <xf numFmtId="164" fontId="5" fillId="2" borderId="0" xfId="0" applyNumberFormat="1" applyFont="1" applyFill="1"/>
    <xf numFmtId="164" fontId="9" fillId="2" borderId="0" xfId="0" applyNumberFormat="1" applyFont="1" applyFill="1"/>
    <xf numFmtId="164" fontId="4" fillId="2" borderId="0" xfId="0" applyNumberFormat="1" applyFont="1" applyFill="1"/>
    <xf numFmtId="171" fontId="4" fillId="0" borderId="0" xfId="13" applyNumberFormat="1" applyFont="1"/>
    <xf numFmtId="43" fontId="1" fillId="0" borderId="0" xfId="13" applyFont="1"/>
    <xf numFmtId="171" fontId="6" fillId="0" borderId="0" xfId="13" applyNumberFormat="1" applyFont="1"/>
    <xf numFmtId="171" fontId="0" fillId="0" borderId="0" xfId="13" applyNumberFormat="1" applyFont="1"/>
    <xf numFmtId="171" fontId="5" fillId="0" borderId="0" xfId="13" applyNumberFormat="1" applyFont="1"/>
    <xf numFmtId="171" fontId="0" fillId="0" borderId="0" xfId="13" applyNumberFormat="1" applyFont="1" applyFill="1"/>
    <xf numFmtId="171" fontId="4" fillId="0" borderId="0" xfId="13" applyNumberFormat="1" applyFont="1" applyFill="1"/>
    <xf numFmtId="166" fontId="5" fillId="0" borderId="0" xfId="0" applyNumberFormat="1" applyFont="1"/>
    <xf numFmtId="166" fontId="12" fillId="0" borderId="0" xfId="0" applyNumberFormat="1" applyFont="1"/>
    <xf numFmtId="9" fontId="4" fillId="0" borderId="0" xfId="12" applyFont="1"/>
    <xf numFmtId="49" fontId="4" fillId="0" borderId="0" xfId="0" applyNumberFormat="1" applyFont="1"/>
    <xf numFmtId="172" fontId="4" fillId="0" borderId="0" xfId="0" applyNumberFormat="1" applyFont="1"/>
    <xf numFmtId="173" fontId="4" fillId="0" borderId="0" xfId="0" applyNumberFormat="1" applyFont="1"/>
    <xf numFmtId="175" fontId="4" fillId="0" borderId="0" xfId="0" applyNumberFormat="1" applyFont="1"/>
    <xf numFmtId="166" fontId="1" fillId="0" borderId="0" xfId="0" applyNumberFormat="1" applyFont="1" applyFill="1"/>
    <xf numFmtId="166" fontId="4" fillId="0" borderId="0" xfId="0" applyNumberFormat="1" applyFont="1" applyFill="1"/>
    <xf numFmtId="165" fontId="4" fillId="0" borderId="0" xfId="0" applyNumberFormat="1" applyFont="1" applyFill="1"/>
    <xf numFmtId="9" fontId="5" fillId="0" borderId="0" xfId="0" applyNumberFormat="1" applyFont="1" applyFill="1"/>
    <xf numFmtId="165" fontId="1" fillId="0" borderId="0" xfId="0" applyNumberFormat="1" applyFont="1" applyFill="1"/>
    <xf numFmtId="170" fontId="4" fillId="0" borderId="0" xfId="0" applyNumberFormat="1" applyFont="1" applyFill="1"/>
    <xf numFmtId="9" fontId="1" fillId="0" borderId="0" xfId="12" applyFont="1"/>
    <xf numFmtId="181" fontId="4" fillId="0" borderId="0" xfId="0" applyNumberFormat="1" applyFont="1" applyFill="1"/>
    <xf numFmtId="169" fontId="4" fillId="0" borderId="0" xfId="0" applyNumberFormat="1" applyFont="1" applyFill="1"/>
    <xf numFmtId="169" fontId="1" fillId="0" borderId="0" xfId="0" applyNumberFormat="1" applyFont="1" applyFill="1"/>
    <xf numFmtId="164" fontId="4" fillId="0" borderId="0" xfId="0" applyNumberFormat="1" applyFont="1" applyFill="1" applyAlignment="1">
      <alignment horizontal="left" indent="1"/>
    </xf>
    <xf numFmtId="169" fontId="6" fillId="0" borderId="0" xfId="0" applyNumberFormat="1" applyFont="1" applyFill="1"/>
    <xf numFmtId="164" fontId="4" fillId="0" borderId="0" xfId="0" applyNumberFormat="1" applyFont="1" applyFill="1"/>
    <xf numFmtId="164" fontId="1" fillId="0" borderId="0" xfId="0" applyNumberFormat="1" applyFont="1" applyFill="1"/>
    <xf numFmtId="164" fontId="5" fillId="0" borderId="0" xfId="0" applyNumberFormat="1" applyFont="1" applyFill="1"/>
    <xf numFmtId="0" fontId="0" fillId="0" borderId="0" xfId="0" applyFill="1"/>
    <xf numFmtId="165" fontId="5" fillId="0" borderId="0" xfId="0" applyNumberFormat="1" applyFont="1" applyFill="1" applyAlignment="1">
      <alignment horizontal="right"/>
    </xf>
    <xf numFmtId="3" fontId="0" fillId="0" borderId="0" xfId="0" applyNumberFormat="1" applyFill="1"/>
    <xf numFmtId="164" fontId="1" fillId="0" borderId="0" xfId="0" quotePrefix="1" applyNumberFormat="1" applyFont="1" applyFill="1"/>
    <xf numFmtId="164" fontId="6" fillId="0" borderId="0" xfId="0" applyNumberFormat="1" applyFont="1" applyFill="1"/>
    <xf numFmtId="164" fontId="4" fillId="0" borderId="0" xfId="0" quotePrefix="1" applyNumberFormat="1" applyFont="1" applyFill="1" applyAlignment="1">
      <alignment horizontal="right" indent="2"/>
    </xf>
    <xf numFmtId="165" fontId="5" fillId="0" borderId="0" xfId="0" applyNumberFormat="1" applyFont="1" applyFill="1"/>
    <xf numFmtId="166" fontId="1" fillId="0" borderId="0" xfId="0" applyNumberFormat="1" applyFont="1" applyFill="1" applyAlignment="1">
      <alignment horizontal="left" indent="1"/>
    </xf>
    <xf numFmtId="165" fontId="1" fillId="0" borderId="4" xfId="0" applyNumberFormat="1" applyFont="1" applyFill="1" applyBorder="1"/>
    <xf numFmtId="165" fontId="5" fillId="0" borderId="0" xfId="0" applyNumberFormat="1" applyFont="1" applyFill="1" applyBorder="1"/>
    <xf numFmtId="165" fontId="5" fillId="0" borderId="5" xfId="0" applyNumberFormat="1" applyFont="1" applyFill="1" applyBorder="1"/>
    <xf numFmtId="166" fontId="1" fillId="0" borderId="0" xfId="0" applyNumberFormat="1" applyFont="1" applyFill="1" applyBorder="1"/>
    <xf numFmtId="166" fontId="1" fillId="0" borderId="5" xfId="0" applyNumberFormat="1" applyFont="1" applyFill="1" applyBorder="1"/>
    <xf numFmtId="166" fontId="1" fillId="0" borderId="6" xfId="0" applyNumberFormat="1" applyFont="1" applyFill="1" applyBorder="1"/>
    <xf numFmtId="165" fontId="1" fillId="0" borderId="1" xfId="0" applyNumberFormat="1" applyFont="1" applyFill="1" applyBorder="1"/>
    <xf numFmtId="165" fontId="4" fillId="0" borderId="2" xfId="0" applyNumberFormat="1" applyFont="1" applyFill="1" applyBorder="1"/>
    <xf numFmtId="165" fontId="4" fillId="0" borderId="3" xfId="0" applyNumberFormat="1" applyFont="1" applyFill="1" applyBorder="1"/>
    <xf numFmtId="166" fontId="1" fillId="0" borderId="4" xfId="0" applyNumberFormat="1" applyFont="1" applyFill="1" applyBorder="1"/>
    <xf numFmtId="170" fontId="1" fillId="0" borderId="7" xfId="12" applyNumberFormat="1" applyFont="1" applyFill="1" applyBorder="1"/>
    <xf numFmtId="170" fontId="1" fillId="0" borderId="8" xfId="12" applyNumberFormat="1" applyFont="1" applyFill="1" applyBorder="1"/>
    <xf numFmtId="164" fontId="1" fillId="0" borderId="0" xfId="0" applyNumberFormat="1" applyFont="1" applyFill="1" applyAlignment="1">
      <alignment horizontal="right"/>
    </xf>
    <xf numFmtId="164" fontId="5" fillId="0" borderId="0" xfId="0" applyNumberFormat="1" applyFont="1" applyFill="1" applyAlignment="1">
      <alignment horizontal="right" indent="1"/>
    </xf>
  </cellXfs>
  <cellStyles count="14">
    <cellStyle name="Comma" xfId="13" builtinId="3"/>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cellStyle name="Normal" xfId="0" builtinId="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5"/>
  <sheetViews>
    <sheetView zoomScaleNormal="100" zoomScaleSheetLayoutView="40" workbookViewId="0">
      <selection activeCell="E21" sqref="E21"/>
    </sheetView>
  </sheetViews>
  <sheetFormatPr defaultColWidth="8.7109375" defaultRowHeight="13.5" x14ac:dyDescent="0.3"/>
  <cols>
    <col min="1" max="1" width="44.28515625" style="19" customWidth="1"/>
    <col min="2" max="16384" width="8.7109375" style="19"/>
  </cols>
  <sheetData>
    <row r="1" spans="1:1" x14ac:dyDescent="0.3">
      <c r="A1" s="19" t="s">
        <v>558</v>
      </c>
    </row>
    <row r="3" spans="1:1" x14ac:dyDescent="0.3">
      <c r="A3" s="42"/>
    </row>
    <row r="9" spans="1:1" ht="14" x14ac:dyDescent="0.3">
      <c r="A9" s="39" t="s">
        <v>565</v>
      </c>
    </row>
    <row r="10" spans="1:1" ht="14" x14ac:dyDescent="0.3">
      <c r="A10" s="39" t="s">
        <v>617</v>
      </c>
    </row>
    <row r="11" spans="1:1" ht="14" x14ac:dyDescent="0.3">
      <c r="A11" s="39" t="s">
        <v>618</v>
      </c>
    </row>
    <row r="12" spans="1:1" ht="14" x14ac:dyDescent="0.3">
      <c r="A12" s="39" t="s">
        <v>619</v>
      </c>
    </row>
    <row r="13" spans="1:1" ht="14" x14ac:dyDescent="0.3">
      <c r="A13" s="39" t="s">
        <v>620</v>
      </c>
    </row>
    <row r="14" spans="1:1" ht="14" x14ac:dyDescent="0.3">
      <c r="A14" s="39" t="s">
        <v>566</v>
      </c>
    </row>
    <row r="15" spans="1:1" ht="14" x14ac:dyDescent="0.3">
      <c r="A15" s="39" t="s">
        <v>567</v>
      </c>
    </row>
    <row r="16" spans="1:1" ht="14" x14ac:dyDescent="0.3">
      <c r="A16" s="39" t="s">
        <v>709</v>
      </c>
    </row>
    <row r="17" spans="1:1" ht="14" x14ac:dyDescent="0.3">
      <c r="A17" s="39" t="s">
        <v>621</v>
      </c>
    </row>
    <row r="18" spans="1:1" ht="14" x14ac:dyDescent="0.3">
      <c r="A18" s="39" t="s">
        <v>622</v>
      </c>
    </row>
    <row r="19" spans="1:1" ht="14" x14ac:dyDescent="0.3">
      <c r="A19" s="39" t="s">
        <v>568</v>
      </c>
    </row>
    <row r="20" spans="1:1" ht="14" x14ac:dyDescent="0.3">
      <c r="A20" s="39" t="s">
        <v>569</v>
      </c>
    </row>
    <row r="21" spans="1:1" ht="14" x14ac:dyDescent="0.3">
      <c r="A21" s="39" t="s">
        <v>623</v>
      </c>
    </row>
    <row r="22" spans="1:1" ht="14" x14ac:dyDescent="0.3">
      <c r="A22" s="39" t="s">
        <v>624</v>
      </c>
    </row>
    <row r="23" spans="1:1" ht="14" x14ac:dyDescent="0.3">
      <c r="A23" s="39" t="s">
        <v>625</v>
      </c>
    </row>
    <row r="24" spans="1:1" ht="14" x14ac:dyDescent="0.3">
      <c r="A24" s="39" t="s">
        <v>626</v>
      </c>
    </row>
    <row r="25" spans="1:1" ht="14" x14ac:dyDescent="0.3">
      <c r="A25" s="39" t="s">
        <v>627</v>
      </c>
    </row>
    <row r="26" spans="1:1" ht="14" x14ac:dyDescent="0.3">
      <c r="A26" s="39" t="s">
        <v>570</v>
      </c>
    </row>
    <row r="27" spans="1:1" ht="14" x14ac:dyDescent="0.3">
      <c r="A27" s="39" t="s">
        <v>684</v>
      </c>
    </row>
    <row r="28" spans="1:1" ht="14" x14ac:dyDescent="0.3">
      <c r="A28" s="39" t="s">
        <v>710</v>
      </c>
    </row>
    <row r="29" spans="1:1" ht="14" x14ac:dyDescent="0.3">
      <c r="A29" s="39" t="s">
        <v>571</v>
      </c>
    </row>
    <row r="30" spans="1:1" ht="14" x14ac:dyDescent="0.3">
      <c r="A30" s="39" t="s">
        <v>572</v>
      </c>
    </row>
    <row r="31" spans="1:1" ht="14" x14ac:dyDescent="0.3">
      <c r="A31" s="39" t="s">
        <v>711</v>
      </c>
    </row>
    <row r="32" spans="1:1" ht="14" x14ac:dyDescent="0.3">
      <c r="A32" s="39" t="s">
        <v>712</v>
      </c>
    </row>
    <row r="33" spans="1:1" ht="14" x14ac:dyDescent="0.3">
      <c r="A33" s="39" t="s">
        <v>713</v>
      </c>
    </row>
    <row r="34" spans="1:1" ht="14" x14ac:dyDescent="0.3">
      <c r="A34" s="39" t="s">
        <v>714</v>
      </c>
    </row>
    <row r="35" spans="1:1" ht="14" x14ac:dyDescent="0.3">
      <c r="A35" s="39" t="s">
        <v>573</v>
      </c>
    </row>
  </sheetData>
  <hyperlinks>
    <hyperlink ref="A9" location="'1.0'!A1" display="1.0: Summary of Cost Allocation Results" xr:uid="{D20EF328-A0AF-4C3F-A3A6-9835109CF3CD}"/>
    <hyperlink ref="A10" location="'1.1'!A1" display="1.1: Unit Cost Summary" xr:uid="{2B0FC947-D25F-4014-8427-6698A9392980}"/>
    <hyperlink ref="A11" location="'1.2'!A1" display="1.2: Unit Cost by Function" xr:uid="{04DF8B2B-ACB5-4FA7-B434-AE07FA9E0503}"/>
    <hyperlink ref="A12" location="'1.3'!A1" display="1.3: Allocated Revenue Requirement ($,000)" xr:uid="{55DB2EC6-E008-4539-8930-5C7323FFEB7F}"/>
    <hyperlink ref="A13" location="'1.4'!A1" display="1.4: Allocated Revenue Requirement ($,000)" xr:uid="{77B66878-6FA8-4B4B-9D08-C5FA2E824A2D}"/>
    <hyperlink ref="A14" location="'2.0'!A1" display="2.0: Allocators by Function" xr:uid="{330634B2-22A2-439E-BA00-1148F560A1EA}"/>
    <hyperlink ref="A15" location="'2.1'!A1" display="2.1: Allocators" xr:uid="{36818544-0B2C-40B0-A3FD-3EE374B97A7E}"/>
    <hyperlink ref="A16" location="'2.2'!A1" display="2.2: Allocator Assumptions (2020)" xr:uid="{41A5D02C-8567-459C-BB0A-1E4FD7E2E19B}"/>
    <hyperlink ref="A17" location="'2.4'!A1" display="2.4: Classification Assumptions" xr:uid="{859942CE-E740-44A5-BF10-976117890A34}"/>
    <hyperlink ref="A18" location="'2.5'!A1" display="2.5: Allocator by Function Assumptions" xr:uid="{4CB05F33-64F4-451B-8837-B3BA3F6FFEF6}"/>
    <hyperlink ref="A19" location="'3.0'!A1" display="3.0: Functionalized Revenue Requirement, Summary" xr:uid="{188FA25E-0141-451B-A507-50BB8A2CD392}"/>
    <hyperlink ref="A20" location="'3.1'!A1" display="3.1: Functionalized Revenue Requirement" xr:uid="{F392E6CD-4853-4CCA-B70B-C045D0CE6D21}"/>
    <hyperlink ref="A21" location="'3.2'!A1" display="3.2: Functionalized Labour" xr:uid="{00237A6B-8E0F-493C-B02A-6ECC0D680B5F}"/>
    <hyperlink ref="A22" location="'3.3'!A1" display="3.3: Functionalized Vehicle" xr:uid="{0AA4E7D3-7933-4949-9F98-0443EA667682}"/>
    <hyperlink ref="A23" location="'3.4'!A1" display="3.4: Functionalized Rate Base" xr:uid="{C074C9F5-138A-415F-923E-61170B49A509}"/>
    <hyperlink ref="A24" location="'3.5'!A1" display="3.5: Functionalized Contributions Related Distribution Plant" xr:uid="{BBF24FBA-41F1-41AB-B2CC-9A3825342E7A}"/>
    <hyperlink ref="A25" location="'3.6'!A1" display="3.6: Functionalized Amortization" xr:uid="{C3457848-5A62-4941-9C98-CD17CC285A14}"/>
    <hyperlink ref="A26" location="'4.0'!A1" display="4.0: Functionalized Gross Plant" xr:uid="{CB54897B-1632-4124-8BCC-3C3EBEB9C57F}"/>
    <hyperlink ref="A27" location="'4.1'!A1" display="4.1: Revenue Requirement Summary " xr:uid="{A131719F-8970-4A68-B544-C245714A24AE}"/>
    <hyperlink ref="A28" location="'4.2'!A1" display="4.2: 2020 Rate Base ($,000)" xr:uid="{8A14EF84-65D2-44C1-9ACC-E4D6CF5CC46F}"/>
    <hyperlink ref="A29" location="'5.0'!A1" display="5.0: Functional Allocator Summary" xr:uid="{A0BEC3FB-F88C-4970-9907-5DFA047E2611}"/>
    <hyperlink ref="A30" location="'5.1'!A1" display="5.1: Functional Allocator Worksheet" xr:uid="{20F7F436-3D7B-482C-AFA7-597FE131F23F}"/>
    <hyperlink ref="A31" location="'5.2'!A1" display="5.2: Functional Allocator Worksheet, Blended Allocators (2020)" xr:uid="{18DDC89D-5218-44D2-A15A-FD2A6210B9EF}"/>
    <hyperlink ref="A32" location="'6.0'!A1" display="6.0: Revenue Requirement 2020" xr:uid="{B9335350-00FC-44D8-B948-137014FD19FF}"/>
    <hyperlink ref="A33" location="'6.1'!A1" display="6.1: Plant In Service 2020" xr:uid="{CE9BE9F5-EE03-4FF7-8BDA-D63D85745E59}"/>
    <hyperlink ref="A34" location="'6.2'!A1" display="6.2: Contributions &amp; Intangible Assets (2020)" xr:uid="{90AC5401-3DB0-42DD-BB0F-0290F63A0B11}"/>
    <hyperlink ref="A35" location="'6.3'!A1" display="6.3: Standard Lists" xr:uid="{33B53D34-11A6-4BD0-B960-5A70A7465F6D}"/>
  </hyperlinks>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35"/>
  <sheetViews>
    <sheetView zoomScaleNormal="100" zoomScaleSheetLayoutView="40" workbookViewId="0">
      <selection activeCell="E21" sqref="E21"/>
    </sheetView>
  </sheetViews>
  <sheetFormatPr defaultColWidth="8.7109375" defaultRowHeight="13.5" x14ac:dyDescent="0.3"/>
  <cols>
    <col min="1" max="1" width="32.5703125" style="1" customWidth="1"/>
    <col min="2" max="11" width="9.7109375" style="1" customWidth="1"/>
    <col min="12" max="16384" width="8.7109375" style="1"/>
  </cols>
  <sheetData>
    <row r="1" spans="1:12" x14ac:dyDescent="0.3">
      <c r="A1" s="1" t="s">
        <v>550</v>
      </c>
    </row>
    <row r="2" spans="1:12" x14ac:dyDescent="0.3">
      <c r="A2" s="1" t="s">
        <v>551</v>
      </c>
    </row>
    <row r="4" spans="1:12" x14ac:dyDescent="0.3">
      <c r="A4" s="1" t="s">
        <v>542</v>
      </c>
    </row>
    <row r="5" spans="1:12" s="9" customFormat="1" ht="40.5" x14ac:dyDescent="0.25">
      <c r="B5" s="17" t="str">
        <f t="array" ref="B5:J5">TRANSPOSE(List_Classes)</f>
        <v>Residential</v>
      </c>
      <c r="C5" s="17" t="str">
        <v>Residential (S)</v>
      </c>
      <c r="D5" s="17" t="str">
        <v>Farm</v>
      </c>
      <c r="E5" s="17" t="str">
        <v>General Service 1</v>
      </c>
      <c r="F5" s="17" t="str">
        <v>General Service 1 (S)</v>
      </c>
      <c r="G5" s="17" t="str">
        <v>Small Industrial</v>
      </c>
      <c r="H5" s="17" t="str">
        <v>Large Industrial</v>
      </c>
      <c r="I5" s="17" t="str">
        <v>Lights</v>
      </c>
      <c r="J5" s="17" t="str">
        <v>Unmetered</v>
      </c>
      <c r="K5" s="17" t="s">
        <v>214</v>
      </c>
    </row>
    <row r="6" spans="1:12" x14ac:dyDescent="0.3">
      <c r="A6" s="1" t="s">
        <v>553</v>
      </c>
      <c r="B6" s="64">
        <f>'2.2'!B40</f>
        <v>128201</v>
      </c>
      <c r="C6" s="64">
        <f>'2.2'!C40</f>
        <v>5734</v>
      </c>
      <c r="D6" s="64">
        <f>'2.2'!D40</f>
        <v>6215</v>
      </c>
      <c r="E6" s="64">
        <f>'2.2'!E40</f>
        <v>68780</v>
      </c>
      <c r="F6" s="64">
        <f>'2.2'!F40</f>
        <v>2078</v>
      </c>
      <c r="G6" s="64">
        <f>'2.2'!G40</f>
        <v>13423</v>
      </c>
      <c r="H6" s="64">
        <f>'2.2'!H40</f>
        <v>16336</v>
      </c>
      <c r="I6" s="64">
        <f>'2.2'!I40</f>
        <v>2245</v>
      </c>
      <c r="J6" s="64">
        <f>'2.2'!J40</f>
        <v>478</v>
      </c>
      <c r="K6" s="64">
        <f>SUM(B6:J6)</f>
        <v>243490</v>
      </c>
    </row>
    <row r="7" spans="1:12" x14ac:dyDescent="0.3">
      <c r="A7" s="3" t="s">
        <v>660</v>
      </c>
      <c r="B7" s="64">
        <f>$K7*'1.3'!B137</f>
        <v>0</v>
      </c>
      <c r="C7" s="64">
        <f>$K7*'1.3'!C137</f>
        <v>0</v>
      </c>
      <c r="D7" s="64">
        <f>$K7*'1.3'!D137</f>
        <v>0</v>
      </c>
      <c r="E7" s="64">
        <f>$K7*'1.3'!E137</f>
        <v>0</v>
      </c>
      <c r="F7" s="64">
        <f>$K7*'1.3'!F137</f>
        <v>0</v>
      </c>
      <c r="G7" s="64">
        <f>$K7*'1.3'!G137</f>
        <v>0</v>
      </c>
      <c r="H7" s="64">
        <f>$K7*'1.3'!H137</f>
        <v>0</v>
      </c>
      <c r="I7" s="64">
        <f>$K7*'1.3'!I137</f>
        <v>0</v>
      </c>
      <c r="J7" s="64">
        <f>$K7*'1.3'!J137</f>
        <v>0</v>
      </c>
      <c r="K7" s="64">
        <v>0</v>
      </c>
      <c r="L7" s="46"/>
    </row>
    <row r="8" spans="1:12" x14ac:dyDescent="0.3">
      <c r="A8" s="47" t="s">
        <v>683</v>
      </c>
      <c r="B8" s="64">
        <f>$K8*'1.3'!B138</f>
        <v>210.14077045724002</v>
      </c>
      <c r="C8" s="64">
        <f>$K8*'1.3'!C138</f>
        <v>9.5791352665735428</v>
      </c>
      <c r="D8" s="64">
        <f>$K8*'1.3'!D138</f>
        <v>9.4624255018410874</v>
      </c>
      <c r="E8" s="64">
        <f>$K8*'1.3'!E138</f>
        <v>80.809041193972078</v>
      </c>
      <c r="F8" s="64">
        <f>$K8*'1.3'!F138</f>
        <v>2.8259344888105091</v>
      </c>
      <c r="G8" s="64">
        <f>$K8*'1.3'!G138</f>
        <v>20.360791287217779</v>
      </c>
      <c r="H8" s="64">
        <f>$K8*'1.3'!H138</f>
        <v>24.089097360277819</v>
      </c>
      <c r="I8" s="64">
        <f>$K8*'1.3'!I138</f>
        <v>5.0713995304958068</v>
      </c>
      <c r="J8" s="64">
        <f>$K8*'1.3'!J138</f>
        <v>0.66140491357142162</v>
      </c>
      <c r="K8" s="64">
        <v>363</v>
      </c>
      <c r="L8" s="46"/>
    </row>
    <row r="9" spans="1:12" x14ac:dyDescent="0.3">
      <c r="A9" s="46" t="s">
        <v>737</v>
      </c>
      <c r="B9" s="64">
        <f>SUBTOTAL(9,B$6:B8)</f>
        <v>128411.14077045723</v>
      </c>
      <c r="C9" s="64">
        <f>SUBTOTAL(9,C$6:C8)</f>
        <v>5743.5791352665738</v>
      </c>
      <c r="D9" s="64">
        <f>SUBTOTAL(9,D$6:D8)</f>
        <v>6224.4624255018407</v>
      </c>
      <c r="E9" s="64">
        <f>SUBTOTAL(9,E$6:E8)</f>
        <v>68860.809041193977</v>
      </c>
      <c r="F9" s="64">
        <f>SUBTOTAL(9,F$6:F8)</f>
        <v>2080.8259344888106</v>
      </c>
      <c r="G9" s="64">
        <f>SUBTOTAL(9,G$6:G8)</f>
        <v>13443.360791287218</v>
      </c>
      <c r="H9" s="64">
        <f>SUBTOTAL(9,H$6:H8)</f>
        <v>16360.089097360278</v>
      </c>
      <c r="I9" s="64">
        <f>SUBTOTAL(9,I$6:I8)</f>
        <v>2250.0713995304959</v>
      </c>
      <c r="J9" s="64">
        <f>SUBTOTAL(9,J$6:J8)</f>
        <v>478.6614049135714</v>
      </c>
      <c r="K9" s="64">
        <f>SUBTOTAL(9,K$6:K8)</f>
        <v>243853</v>
      </c>
    </row>
    <row r="10" spans="1:12" s="18" customFormat="1" x14ac:dyDescent="0.3">
      <c r="A10" s="18" t="s">
        <v>655</v>
      </c>
      <c r="B10" s="49">
        <f>B9/$K9</f>
        <v>0.52659241744189011</v>
      </c>
      <c r="C10" s="49">
        <f t="shared" ref="C10:J10" si="0">C9/$K9</f>
        <v>2.3553448738652276E-2</v>
      </c>
      <c r="D10" s="49">
        <f t="shared" si="0"/>
        <v>2.5525469957317894E-2</v>
      </c>
      <c r="E10" s="49">
        <f t="shared" si="0"/>
        <v>0.28238655682396352</v>
      </c>
      <c r="F10" s="49">
        <f t="shared" si="0"/>
        <v>8.5331159940161098E-3</v>
      </c>
      <c r="G10" s="49">
        <f t="shared" si="0"/>
        <v>5.512895388322972E-2</v>
      </c>
      <c r="H10" s="49">
        <f t="shared" si="0"/>
        <v>6.7089964434968105E-2</v>
      </c>
      <c r="I10" s="49">
        <f t="shared" si="0"/>
        <v>9.2271630840321667E-3</v>
      </c>
      <c r="J10" s="49">
        <f t="shared" si="0"/>
        <v>1.9629096419300622E-3</v>
      </c>
      <c r="K10" s="49">
        <f>SUM(B10:J10)</f>
        <v>0.99999999999999978</v>
      </c>
    </row>
    <row r="11" spans="1:12" s="18" customFormat="1" x14ac:dyDescent="0.3"/>
    <row r="12" spans="1:12" x14ac:dyDescent="0.3">
      <c r="A12" s="2" t="s">
        <v>552</v>
      </c>
      <c r="B12" s="1">
        <f>'1.3'!B35</f>
        <v>140874604.43580329</v>
      </c>
      <c r="C12" s="1">
        <f>'1.3'!C35</f>
        <v>6421680.5172044998</v>
      </c>
      <c r="D12" s="1">
        <f>'1.3'!D35</f>
        <v>6343440.3836754104</v>
      </c>
      <c r="E12" s="1">
        <f>'1.3'!E35</f>
        <v>54172932.21237991</v>
      </c>
      <c r="F12" s="1">
        <f>'1.3'!F35</f>
        <v>1894455.8088678056</v>
      </c>
      <c r="G12" s="1">
        <f>'1.3'!G35</f>
        <v>13649509.385283271</v>
      </c>
      <c r="H12" s="1">
        <f>'1.3'!H35</f>
        <v>16148898.923615674</v>
      </c>
      <c r="I12" s="1">
        <f>'1.3'!I35</f>
        <v>3399775.308903656</v>
      </c>
      <c r="J12" s="1">
        <f>'1.3'!J35</f>
        <v>443393.9942664777</v>
      </c>
      <c r="K12" s="1">
        <f>SUM(B12:J12)</f>
        <v>243348690.96999997</v>
      </c>
    </row>
    <row r="13" spans="1:12" s="18" customFormat="1" x14ac:dyDescent="0.3">
      <c r="A13" s="18" t="s">
        <v>557</v>
      </c>
      <c r="B13" s="49">
        <f>B12/$K12</f>
        <v>0.57890019409707993</v>
      </c>
      <c r="C13" s="49">
        <f t="shared" ref="C13:J13" si="1">C12/$K12</f>
        <v>2.6388802387254939E-2</v>
      </c>
      <c r="D13" s="49">
        <f t="shared" si="1"/>
        <v>2.6067287883859747E-2</v>
      </c>
      <c r="E13" s="49">
        <f t="shared" si="1"/>
        <v>0.22261443855088725</v>
      </c>
      <c r="F13" s="49">
        <f t="shared" si="1"/>
        <v>7.7849434953457556E-3</v>
      </c>
      <c r="G13" s="49">
        <f t="shared" si="1"/>
        <v>5.6090334124566883E-2</v>
      </c>
      <c r="H13" s="49">
        <f t="shared" si="1"/>
        <v>6.6361149752831458E-2</v>
      </c>
      <c r="I13" s="49">
        <f t="shared" si="1"/>
        <v>1.3970797604671644E-2</v>
      </c>
      <c r="J13" s="49">
        <f t="shared" si="1"/>
        <v>1.8220521035025388E-3</v>
      </c>
      <c r="K13" s="49">
        <f>SUM(B13:J13)</f>
        <v>1.0000000000000002</v>
      </c>
    </row>
    <row r="14" spans="1:12" s="18" customFormat="1" x14ac:dyDescent="0.3"/>
    <row r="15" spans="1:12" s="18" customFormat="1" x14ac:dyDescent="0.3">
      <c r="A15" s="107" t="s">
        <v>732</v>
      </c>
      <c r="B15" s="108">
        <f>IFERROR(B10/B13,0)</f>
        <v>0.90964284139380003</v>
      </c>
      <c r="C15" s="108">
        <f t="shared" ref="C15:K15" si="2">IFERROR(C10/C13,0)</f>
        <v>0.89255466743075618</v>
      </c>
      <c r="D15" s="108">
        <f t="shared" si="2"/>
        <v>0.97921464139438397</v>
      </c>
      <c r="E15" s="108">
        <f t="shared" si="2"/>
        <v>1.2685006357276911</v>
      </c>
      <c r="F15" s="108">
        <f t="shared" si="2"/>
        <v>1.0961050647467963</v>
      </c>
      <c r="G15" s="108">
        <f t="shared" si="2"/>
        <v>0.98286014415242906</v>
      </c>
      <c r="H15" s="108">
        <f t="shared" si="2"/>
        <v>1.0109825505563299</v>
      </c>
      <c r="I15" s="108">
        <f t="shared" si="2"/>
        <v>0.66046072279700974</v>
      </c>
      <c r="J15" s="108">
        <f t="shared" si="2"/>
        <v>1.0773070858713383</v>
      </c>
      <c r="K15" s="109">
        <f t="shared" si="2"/>
        <v>0.99999999999999956</v>
      </c>
    </row>
    <row r="16" spans="1:12" s="18" customFormat="1" x14ac:dyDescent="0.3">
      <c r="A16" s="101"/>
      <c r="B16" s="102"/>
      <c r="C16" s="102"/>
      <c r="D16" s="102"/>
      <c r="E16" s="102"/>
      <c r="F16" s="102"/>
      <c r="G16" s="102"/>
      <c r="H16" s="102"/>
      <c r="I16" s="102"/>
      <c r="J16" s="102"/>
      <c r="K16" s="103"/>
    </row>
    <row r="17" spans="1:11" s="72" customFormat="1" x14ac:dyDescent="0.3">
      <c r="A17" s="110" t="s">
        <v>734</v>
      </c>
      <c r="B17" s="104">
        <f>B12-(B6*1000)</f>
        <v>12673604.435803294</v>
      </c>
      <c r="C17" s="104">
        <f>C12-(C6*1000)</f>
        <v>687680.5172044998</v>
      </c>
      <c r="D17" s="104">
        <f>D12-(D6*1000)</f>
        <v>128440.38367541041</v>
      </c>
      <c r="E17" s="104">
        <f>E12-(E6*1000)</f>
        <v>-14607067.78762009</v>
      </c>
      <c r="F17" s="104">
        <f>F12-(F6*1000)</f>
        <v>-183544.19113219436</v>
      </c>
      <c r="G17" s="104">
        <f>G12-(G6*1000)</f>
        <v>226509.38528327085</v>
      </c>
      <c r="H17" s="104">
        <f>H12-(H6*1000)</f>
        <v>-187101.07638432644</v>
      </c>
      <c r="I17" s="104">
        <f>I12-(I6*1000)</f>
        <v>1154775.308903656</v>
      </c>
      <c r="J17" s="104">
        <f>J12-(J6*1000)</f>
        <v>-34606.005733522295</v>
      </c>
      <c r="K17" s="105">
        <f>SUM(B17:J17)</f>
        <v>-141309.02999999997</v>
      </c>
    </row>
    <row r="18" spans="1:11" s="72" customFormat="1" x14ac:dyDescent="0.3">
      <c r="A18" s="110" t="s">
        <v>735</v>
      </c>
      <c r="B18" s="104">
        <f>IF(B15&lt;0.95,(B12*0.95-B6*1000),IF(B15&gt;1.05,(B12*1.05-B6*1000),0))</f>
        <v>5629874.2140131295</v>
      </c>
      <c r="C18" s="104">
        <f>IF(C15&lt;0.95,(C12*0.95-C6*1000),IF(C15&gt;1.05,(C12*1.05-C6*1000),0))</f>
        <v>366596.49134427495</v>
      </c>
      <c r="D18" s="104">
        <f>IF(D15&lt;0.95,(D12*0.95-D6*1000),IF(D15&gt;1.05,(D12*1.05-D6*1000),0))</f>
        <v>0</v>
      </c>
      <c r="E18" s="104">
        <f>IF(E15&lt;0.95,(E12*0.95-E6*1000),IF(E15&gt;1.05,(E12*1.05-E6*1000),0))</f>
        <v>-11898421.177001089</v>
      </c>
      <c r="F18" s="104">
        <f>IF(F15&lt;0.95,(F12*0.95-F6*1000),IF(F15&gt;1.05,(F12*1.05-F6*1000),0))</f>
        <v>-88821.400688803988</v>
      </c>
      <c r="G18" s="104">
        <f>IF(G15&lt;0.95,(G12*0.95-G6*1000),IF(G15&gt;1.05,(G12*1.05-G6*1000),0))</f>
        <v>0</v>
      </c>
      <c r="H18" s="104">
        <f>IF(H15&lt;0.95,(H12*0.95-H6*1000),IF(H15&gt;1.05,(H12*1.05-H6*1000),0))</f>
        <v>0</v>
      </c>
      <c r="I18" s="104">
        <f>IF(I15&lt;0.95,(I12*0.95-I6*1000),IF(I15&gt;1.05,(I12*1.05-I6*1000),0))</f>
        <v>984786.54345847294</v>
      </c>
      <c r="J18" s="104">
        <f>IF(J15&lt;0.95,(J12*0.95-J6*1000),IF(J15&gt;1.05,(J12*1.05-J6*1000),0))</f>
        <v>-12436.30602019839</v>
      </c>
      <c r="K18" s="105">
        <f>SUM(B18:J18)</f>
        <v>-5018421.6348942136</v>
      </c>
    </row>
    <row r="19" spans="1:11" s="72" customFormat="1" x14ac:dyDescent="0.3">
      <c r="A19" s="106" t="s">
        <v>736</v>
      </c>
      <c r="B19" s="111">
        <f>B18/B6/1000</f>
        <v>4.3914432914042241E-2</v>
      </c>
      <c r="C19" s="111">
        <f>C18/C6/1000</f>
        <v>6.3933814325824026E-2</v>
      </c>
      <c r="D19" s="111">
        <f>D18/D6/1000</f>
        <v>0</v>
      </c>
      <c r="E19" s="111">
        <f>E18/E6/1000</f>
        <v>-0.17299245677524119</v>
      </c>
      <c r="F19" s="111">
        <f>F18/F6/1000</f>
        <v>-4.2743696192879689E-2</v>
      </c>
      <c r="G19" s="111">
        <f>G18/G6/1000</f>
        <v>0</v>
      </c>
      <c r="H19" s="111">
        <f>H18/H6/1000</f>
        <v>0</v>
      </c>
      <c r="I19" s="111">
        <f>I18/I6/1000</f>
        <v>0.4386577030995425</v>
      </c>
      <c r="J19" s="111">
        <f>J18/J6/1000</f>
        <v>-2.6017376611293701E-2</v>
      </c>
      <c r="K19" s="112"/>
    </row>
    <row r="21" spans="1:11" x14ac:dyDescent="0.3">
      <c r="A21" s="1" t="s">
        <v>554</v>
      </c>
    </row>
    <row r="22" spans="1:11" s="32" customFormat="1" x14ac:dyDescent="0.3">
      <c r="A22" s="32" t="s">
        <v>555</v>
      </c>
      <c r="B22" s="31" t="str">
        <f>'1.1'!B68</f>
        <v>N/A</v>
      </c>
      <c r="C22" s="31" t="str">
        <f>'1.1'!C68</f>
        <v>N/A</v>
      </c>
      <c r="D22" s="31" t="str">
        <f>'1.1'!D68</f>
        <v>N/A</v>
      </c>
      <c r="E22" s="32">
        <f>'1.1'!E68</f>
        <v>16.080415244548462</v>
      </c>
      <c r="F22" s="32">
        <f>'1.1'!F68</f>
        <v>16.959757719635832</v>
      </c>
      <c r="G22" s="32">
        <f>'1.1'!G68</f>
        <v>18.540622753786835</v>
      </c>
      <c r="H22" s="32">
        <f>'1.1'!H68</f>
        <v>8.8547710637357504</v>
      </c>
      <c r="I22" s="31" t="str">
        <f>'1.1'!I68</f>
        <v>N/A</v>
      </c>
      <c r="J22" s="32">
        <f>'1.1'!J68</f>
        <v>74.579600950416818</v>
      </c>
      <c r="K22" s="32">
        <f>'1.1'!K68</f>
        <v>0</v>
      </c>
    </row>
    <row r="23" spans="1:11" s="32" customFormat="1" x14ac:dyDescent="0.3">
      <c r="A23" s="32" t="s">
        <v>556</v>
      </c>
      <c r="B23" s="32">
        <f>'1.1'!B134</f>
        <v>32.11161968978179</v>
      </c>
      <c r="C23" s="32">
        <f>'1.1'!C134</f>
        <v>55.500554694964677</v>
      </c>
      <c r="D23" s="32">
        <f>'1.1'!D134</f>
        <v>32.58377059532522</v>
      </c>
      <c r="E23" s="32">
        <f>'1.1'!E134</f>
        <v>39.815026144034277</v>
      </c>
      <c r="F23" s="32">
        <f>'1.1'!F134</f>
        <v>80.246213272925999</v>
      </c>
      <c r="G23" s="32">
        <f>'1.1'!G134</f>
        <v>45.684005402582272</v>
      </c>
      <c r="H23" s="32">
        <f>'1.1'!H134</f>
        <v>315.51820787885208</v>
      </c>
      <c r="I23" s="32">
        <f>'1.1'!I134</f>
        <v>754.87647137931549</v>
      </c>
      <c r="J23" s="32">
        <f>'1.1'!J134</f>
        <v>77.047341183459423</v>
      </c>
      <c r="K23" s="32">
        <f>'1.1'!K134</f>
        <v>4.8029578673262669</v>
      </c>
    </row>
    <row r="25" spans="1:11" x14ac:dyDescent="0.3">
      <c r="B25" s="84"/>
      <c r="C25" s="84"/>
      <c r="D25" s="84"/>
      <c r="E25" s="84"/>
      <c r="F25" s="84"/>
      <c r="G25" s="84"/>
      <c r="H25" s="84"/>
      <c r="I25" s="84"/>
      <c r="J25" s="84"/>
      <c r="K25" s="84"/>
    </row>
    <row r="26" spans="1:11" x14ac:dyDescent="0.3">
      <c r="A26" s="78"/>
      <c r="B26" s="85"/>
      <c r="C26" s="85"/>
      <c r="D26" s="85"/>
      <c r="E26" s="85"/>
      <c r="F26" s="85"/>
      <c r="G26" s="85"/>
      <c r="H26" s="85"/>
      <c r="I26" s="85"/>
      <c r="J26" s="85"/>
      <c r="K26" s="85"/>
    </row>
    <row r="27" spans="1:11" x14ac:dyDescent="0.3">
      <c r="A27" s="80"/>
      <c r="B27" s="81"/>
      <c r="C27" s="81"/>
      <c r="D27" s="81"/>
      <c r="E27" s="81"/>
      <c r="F27" s="81"/>
      <c r="G27" s="81"/>
      <c r="H27" s="81"/>
      <c r="I27" s="81"/>
      <c r="J27" s="81"/>
    </row>
    <row r="28" spans="1:11" x14ac:dyDescent="0.3">
      <c r="A28" s="82"/>
      <c r="B28" s="81"/>
      <c r="C28" s="81"/>
      <c r="D28" s="81"/>
      <c r="E28" s="81"/>
      <c r="F28" s="81"/>
      <c r="G28" s="81"/>
      <c r="H28" s="81"/>
      <c r="I28" s="81"/>
      <c r="J28" s="81"/>
    </row>
    <row r="29" spans="1:11" x14ac:dyDescent="0.3">
      <c r="A29" s="82"/>
      <c r="B29" s="81"/>
      <c r="C29" s="81"/>
      <c r="D29" s="81"/>
      <c r="E29" s="81"/>
      <c r="F29" s="81"/>
      <c r="G29" s="81"/>
      <c r="H29" s="81"/>
      <c r="I29" s="81"/>
      <c r="J29" s="81"/>
    </row>
    <row r="30" spans="1:11" x14ac:dyDescent="0.3">
      <c r="A30" s="79"/>
      <c r="B30" s="79"/>
      <c r="C30" s="79"/>
      <c r="D30" s="79"/>
      <c r="E30" s="79"/>
      <c r="F30" s="79"/>
      <c r="G30" s="79"/>
      <c r="H30" s="79"/>
      <c r="I30" s="79"/>
      <c r="J30" s="79"/>
    </row>
    <row r="31" spans="1:11" x14ac:dyDescent="0.3">
      <c r="A31" s="78"/>
      <c r="B31" s="79"/>
      <c r="C31" s="79"/>
      <c r="D31" s="79"/>
      <c r="E31" s="79"/>
      <c r="F31" s="79"/>
      <c r="G31" s="79"/>
      <c r="H31" s="79"/>
      <c r="I31" s="79"/>
      <c r="J31" s="79"/>
    </row>
    <row r="32" spans="1:11" x14ac:dyDescent="0.3">
      <c r="A32" s="80"/>
      <c r="B32" s="83"/>
      <c r="C32" s="83"/>
      <c r="D32" s="83"/>
      <c r="E32" s="83"/>
      <c r="F32" s="83"/>
      <c r="G32" s="83"/>
      <c r="H32" s="83"/>
      <c r="I32" s="83"/>
      <c r="J32" s="83"/>
    </row>
    <row r="33" spans="1:10" x14ac:dyDescent="0.3">
      <c r="A33" s="82"/>
      <c r="B33" s="83"/>
      <c r="C33" s="83"/>
      <c r="D33" s="83"/>
      <c r="E33" s="83"/>
      <c r="F33" s="83"/>
      <c r="G33" s="83"/>
      <c r="H33" s="83"/>
      <c r="I33" s="83"/>
      <c r="J33" s="83"/>
    </row>
    <row r="34" spans="1:10" x14ac:dyDescent="0.3">
      <c r="A34" s="82"/>
      <c r="B34" s="83"/>
      <c r="C34" s="83"/>
      <c r="D34" s="83"/>
      <c r="E34" s="83"/>
      <c r="F34" s="83"/>
      <c r="G34" s="83"/>
      <c r="H34" s="83"/>
      <c r="I34" s="83"/>
      <c r="J34" s="83"/>
    </row>
    <row r="35" spans="1:10" x14ac:dyDescent="0.3">
      <c r="A35" s="79"/>
      <c r="B35" s="79"/>
      <c r="C35" s="79"/>
      <c r="D35" s="79"/>
      <c r="E35" s="79"/>
      <c r="F35" s="79"/>
      <c r="G35" s="79"/>
      <c r="H35" s="79"/>
      <c r="I35" s="79"/>
      <c r="J35" s="79"/>
    </row>
  </sheetData>
  <printOptions horizontalCentered="1" gridLines="1"/>
  <pageMargins left="0.19685039370078741" right="0.19685039370078741" top="0.98425196850393704" bottom="0.59055118110236227" header="0.19685039370078741" footer="0.19685039370078741"/>
  <pageSetup scale="67" fitToHeight="4" pageOrder="overThenDown" orientation="landscape" r:id="rId1"/>
  <headerFooter scaleWithDoc="0">
    <oddHeader xml:space="preserve">&amp;C2023 "Status Quo Methods" Cost Allocation Model for MECL </oddHeader>
    <oddFooter>&amp;LPage &amp;P of &amp;N&amp;RJune 27, 2025</oddFooter>
  </headerFooter>
  <cellWatches>
    <cellWatch r="D15"/>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134"/>
  <sheetViews>
    <sheetView topLeftCell="A110" zoomScale="85" zoomScaleNormal="85" zoomScaleSheetLayoutView="40" workbookViewId="0">
      <selection activeCell="E21" sqref="E21"/>
    </sheetView>
  </sheetViews>
  <sheetFormatPr defaultColWidth="8.7109375" defaultRowHeight="13.5" x14ac:dyDescent="0.3"/>
  <cols>
    <col min="1" max="1" width="25.7109375" style="32" customWidth="1"/>
    <col min="2" max="11" width="9.7109375" style="32" customWidth="1"/>
    <col min="12" max="17" width="8.7109375" style="32"/>
    <col min="18" max="18" width="9.28515625" style="32" customWidth="1"/>
    <col min="19" max="16384" width="8.7109375" style="32"/>
  </cols>
  <sheetData>
    <row r="1" spans="1:11" x14ac:dyDescent="0.3">
      <c r="A1" s="32" t="s">
        <v>609</v>
      </c>
    </row>
    <row r="2" spans="1:11" x14ac:dyDescent="0.3">
      <c r="A2" s="32" t="s">
        <v>547</v>
      </c>
    </row>
    <row r="4" spans="1:11" x14ac:dyDescent="0.3">
      <c r="A4" s="32" t="s">
        <v>595</v>
      </c>
    </row>
    <row r="5" spans="1:11" s="35" customFormat="1" ht="40.5" x14ac:dyDescent="0.25">
      <c r="B5" s="17" t="str">
        <f t="array" ref="B5:J5">TRANSPOSE(List_Classes)</f>
        <v>Residential</v>
      </c>
      <c r="C5" s="17" t="str">
        <v>Residential (S)</v>
      </c>
      <c r="D5" s="17" t="str">
        <v>Farm</v>
      </c>
      <c r="E5" s="17" t="str">
        <v>General Service 1</v>
      </c>
      <c r="F5" s="17" t="str">
        <v>General Service 1 (S)</v>
      </c>
      <c r="G5" s="17" t="str">
        <v>Small Industrial</v>
      </c>
      <c r="H5" s="17" t="str">
        <v>Large Industrial</v>
      </c>
      <c r="I5" s="17" t="str">
        <v>Lights</v>
      </c>
      <c r="J5" s="17" t="str">
        <v>Unmetered</v>
      </c>
      <c r="K5" s="34" t="s">
        <v>214</v>
      </c>
    </row>
    <row r="6" spans="1:11" x14ac:dyDescent="0.3">
      <c r="A6" s="32" t="s">
        <v>262</v>
      </c>
    </row>
    <row r="7" spans="1:11" x14ac:dyDescent="0.3">
      <c r="A7" s="36" t="s">
        <v>247</v>
      </c>
      <c r="B7" s="75">
        <f>IFERROR(100*'1.3'!B7/'2.2'!B$38,0)</f>
        <v>11677.590391132502</v>
      </c>
      <c r="C7" s="75">
        <f>IFERROR(100*'1.3'!C7/'2.2'!C$38,0)</f>
        <v>10234.479009740662</v>
      </c>
      <c r="D7" s="75">
        <f>IFERROR(100*'1.3'!D7/'2.2'!D$38,0)</f>
        <v>10192.79745700744</v>
      </c>
      <c r="E7" s="75">
        <f>IFERROR(100*'1.3'!E7/'2.2'!E$38,0)</f>
        <v>10195.684721879767</v>
      </c>
      <c r="F7" s="75">
        <f>IFERROR(100*'1.3'!F7/'2.2'!F$38,0)</f>
        <v>8608.6950908924227</v>
      </c>
      <c r="G7" s="75">
        <f>IFERROR(100*'1.3'!G7/'2.2'!G$38,0)</f>
        <v>11040.224036384574</v>
      </c>
      <c r="H7" s="75">
        <f>IFERROR(100*'1.3'!H7/'2.2'!H$38,0)</f>
        <v>8688.0225569187951</v>
      </c>
      <c r="I7" s="75">
        <f>IFERROR(100*'1.3'!I7/'2.2'!I$38,0)</f>
        <v>11410.386254904932</v>
      </c>
      <c r="J7" s="75">
        <f>IFERROR(100*'1.3'!J7/'2.2'!J$38,0)</f>
        <v>9992.263475035792</v>
      </c>
      <c r="K7" s="75">
        <f>IFERROR(100*'1.3'!K7/'2.2'!K$38,0)</f>
        <v>10797.784694597756</v>
      </c>
    </row>
    <row r="8" spans="1:11" x14ac:dyDescent="0.3">
      <c r="A8" s="36" t="s">
        <v>248</v>
      </c>
      <c r="B8" s="75">
        <f>IFERROR(100*'1.3'!B8/'2.2'!B$38,0)</f>
        <v>-622.30801511557422</v>
      </c>
      <c r="C8" s="75">
        <f>IFERROR(100*'1.3'!C8/'2.2'!C$38,0)</f>
        <v>-562.01278461647632</v>
      </c>
      <c r="D8" s="75">
        <f>IFERROR(100*'1.3'!D8/'2.2'!D$38,0)</f>
        <v>-561.98187426907396</v>
      </c>
      <c r="E8" s="75">
        <f>IFERROR(100*'1.3'!E8/'2.2'!E$38,0)</f>
        <v>-560.84987801005116</v>
      </c>
      <c r="F8" s="75">
        <f>IFERROR(100*'1.3'!F8/'2.2'!F$38,0)</f>
        <v>-495.6084971984198</v>
      </c>
      <c r="G8" s="75">
        <f>IFERROR(100*'1.3'!G8/'2.2'!G$38,0)</f>
        <v>-596.01544684582188</v>
      </c>
      <c r="H8" s="75">
        <f>IFERROR(100*'1.3'!H8/'2.2'!H$38,0)</f>
        <v>-483.87531061224399</v>
      </c>
      <c r="I8" s="75">
        <f>IFERROR(100*'1.3'!I8/'2.2'!I$38,0)</f>
        <v>-603.72908444368727</v>
      </c>
      <c r="J8" s="75">
        <f>IFERROR(100*'1.3'!J8/'2.2'!J$38,0)</f>
        <v>-552.85869091908023</v>
      </c>
      <c r="K8" s="75">
        <f>IFERROR(100*'1.3'!K8/'2.2'!K$38,0)</f>
        <v>-584.20053489673899</v>
      </c>
    </row>
    <row r="9" spans="1:11" x14ac:dyDescent="0.3">
      <c r="A9" s="36" t="s">
        <v>249</v>
      </c>
      <c r="B9" s="75">
        <f>SUBTOTAL(9,B7:B8)</f>
        <v>11055.282376016929</v>
      </c>
      <c r="C9" s="75">
        <f t="shared" ref="C9:K9" si="0">SUBTOTAL(9,C7:C8)</f>
        <v>9672.4662251241862</v>
      </c>
      <c r="D9" s="75">
        <f t="shared" si="0"/>
        <v>9630.8155827383671</v>
      </c>
      <c r="E9" s="75">
        <f t="shared" si="0"/>
        <v>9634.8348438697158</v>
      </c>
      <c r="F9" s="75">
        <f t="shared" si="0"/>
        <v>8113.0865936940027</v>
      </c>
      <c r="G9" s="75">
        <f t="shared" si="0"/>
        <v>10444.208589538752</v>
      </c>
      <c r="H9" s="75">
        <f t="shared" si="0"/>
        <v>8204.1472463065511</v>
      </c>
      <c r="I9" s="75">
        <f t="shared" si="0"/>
        <v>10806.657170461245</v>
      </c>
      <c r="J9" s="75">
        <f t="shared" si="0"/>
        <v>9439.4047841167121</v>
      </c>
      <c r="K9" s="75">
        <f t="shared" si="0"/>
        <v>10213.584159701017</v>
      </c>
    </row>
    <row r="10" spans="1:11" x14ac:dyDescent="0.3">
      <c r="A10" s="36" t="s">
        <v>124</v>
      </c>
      <c r="B10" s="75">
        <f>IFERROR(100*'1.3'!B10/'2.2'!B$38,0)</f>
        <v>828.52748788268684</v>
      </c>
      <c r="C10" s="75">
        <f>IFERROR(100*'1.3'!C10/'2.2'!C$38,0)</f>
        <v>1718.3757055637368</v>
      </c>
      <c r="D10" s="75">
        <f>IFERROR(100*'1.3'!D10/'2.2'!D$38,0)</f>
        <v>362.74210409567195</v>
      </c>
      <c r="E10" s="75">
        <f>IFERROR(100*'1.3'!E10/'2.2'!E$38,0)</f>
        <v>353.85832110558039</v>
      </c>
      <c r="F10" s="75">
        <f>IFERROR(100*'1.3'!F10/'2.2'!F$38,0)</f>
        <v>1295.2120907066969</v>
      </c>
      <c r="G10" s="75">
        <f>IFERROR(100*'1.3'!G10/'2.2'!G$38,0)</f>
        <v>425.34855830650656</v>
      </c>
      <c r="H10" s="75">
        <f>IFERROR(100*'1.3'!H10/'2.2'!H$38,0)</f>
        <v>74.893009003156436</v>
      </c>
      <c r="I10" s="75">
        <f>IFERROR(100*'1.3'!I10/'2.2'!I$38,0)</f>
        <v>7605.2172012156343</v>
      </c>
      <c r="J10" s="75">
        <f>IFERROR(100*'1.3'!J10/'2.2'!J$38,0)</f>
        <v>672.77347703397129</v>
      </c>
      <c r="K10" s="75">
        <f>IFERROR(100*'1.3'!K10/'2.2'!K$38,0)</f>
        <v>610.15762957995196</v>
      </c>
    </row>
    <row r="11" spans="1:11" x14ac:dyDescent="0.3">
      <c r="A11" s="36" t="s">
        <v>12</v>
      </c>
      <c r="B11" s="75">
        <f>IFERROR(100*'1.3'!B11/'2.2'!B$38,0)</f>
        <v>159.13734860748698</v>
      </c>
      <c r="C11" s="75">
        <f>IFERROR(100*'1.3'!C11/'2.2'!C$38,0)</f>
        <v>83.267710543036969</v>
      </c>
      <c r="D11" s="75">
        <f>IFERROR(100*'1.3'!D11/'2.2'!D$38,0)</f>
        <v>83.498087202653139</v>
      </c>
      <c r="E11" s="75">
        <f>IFERROR(100*'1.3'!E11/'2.2'!E$38,0)</f>
        <v>87.682470398174232</v>
      </c>
      <c r="F11" s="75">
        <f>IFERROR(100*'1.3'!F11/'2.2'!F$38,0)</f>
        <v>1.4922992624361182</v>
      </c>
      <c r="G11" s="75">
        <f>IFERROR(100*'1.3'!G11/'2.2'!G$38,0)</f>
        <v>129.02488511862765</v>
      </c>
      <c r="H11" s="75">
        <f>IFERROR(100*'1.3'!H11/'2.2'!H$38,0)</f>
        <v>58.306033128775013</v>
      </c>
      <c r="I11" s="75">
        <f>IFERROR(100*'1.3'!I11/'2.2'!I$38,0)</f>
        <v>138.22421918314544</v>
      </c>
      <c r="J11" s="75">
        <f>IFERROR(100*'1.3'!J11/'2.2'!J$38,0)</f>
        <v>74.027194308535087</v>
      </c>
      <c r="K11" s="75">
        <f>IFERROR(100*'1.3'!K11/'2.2'!K$38,0)</f>
        <v>121.35469765353942</v>
      </c>
    </row>
    <row r="12" spans="1:11" x14ac:dyDescent="0.3">
      <c r="A12" s="36" t="s">
        <v>250</v>
      </c>
      <c r="B12" s="75">
        <f>IFERROR(100*'1.3'!B12/'2.2'!B$38,0)</f>
        <v>261.67612457181053</v>
      </c>
      <c r="C12" s="75">
        <f>IFERROR(100*'1.3'!C12/'2.2'!C$38,0)</f>
        <v>464.96322460335955</v>
      </c>
      <c r="D12" s="75">
        <f>IFERROR(100*'1.3'!D12/'2.2'!D$38,0)</f>
        <v>123.8236286274294</v>
      </c>
      <c r="E12" s="75">
        <f>IFERROR(100*'1.3'!E12/'2.2'!E$38,0)</f>
        <v>114.54696842059396</v>
      </c>
      <c r="F12" s="75">
        <f>IFERROR(100*'1.3'!F12/'2.2'!F$38,0)</f>
        <v>315.07719993934933</v>
      </c>
      <c r="G12" s="75">
        <f>IFERROR(100*'1.3'!G12/'2.2'!G$38,0)</f>
        <v>150.96409260427905</v>
      </c>
      <c r="H12" s="75">
        <f>IFERROR(100*'1.3'!H12/'2.2'!H$38,0)</f>
        <v>23.932542725900401</v>
      </c>
      <c r="I12" s="75">
        <f>IFERROR(100*'1.3'!I12/'2.2'!I$38,0)</f>
        <v>1639.643461073385</v>
      </c>
      <c r="J12" s="75">
        <f>IFERROR(100*'1.3'!J12/'2.2'!J$38,0)</f>
        <v>207.29343217985095</v>
      </c>
      <c r="K12" s="75">
        <f>IFERROR(100*'1.3'!K12/'2.2'!K$38,0)</f>
        <v>190.81028202417042</v>
      </c>
    </row>
    <row r="13" spans="1:11" x14ac:dyDescent="0.3">
      <c r="A13" s="36" t="s">
        <v>251</v>
      </c>
      <c r="B13" s="75">
        <f>IFERROR(100*'1.3'!B13/'2.2'!B$38,0)</f>
        <v>25.941807638751129</v>
      </c>
      <c r="C13" s="75">
        <f>IFERROR(100*'1.3'!C13/'2.2'!C$38,0)</f>
        <v>13.573902973302689</v>
      </c>
      <c r="D13" s="75">
        <f>IFERROR(100*'1.3'!D13/'2.2'!D$38,0)</f>
        <v>13.611457871888826</v>
      </c>
      <c r="E13" s="75">
        <f>IFERROR(100*'1.3'!E13/'2.2'!E$38,0)</f>
        <v>14.293575959785155</v>
      </c>
      <c r="F13" s="75">
        <f>IFERROR(100*'1.3'!F13/'2.2'!F$38,0)</f>
        <v>0.24326747142843008</v>
      </c>
      <c r="G13" s="75">
        <f>IFERROR(100*'1.3'!G13/'2.2'!G$38,0)</f>
        <v>21.033018205016941</v>
      </c>
      <c r="H13" s="75">
        <f>IFERROR(100*'1.3'!H13/'2.2'!H$38,0)</f>
        <v>9.5047699917137471</v>
      </c>
      <c r="I13" s="75">
        <f>IFERROR(100*'1.3'!I13/'2.2'!I$38,0)</f>
        <v>22.532649541058341</v>
      </c>
      <c r="J13" s="75">
        <f>IFERROR(100*'1.3'!J13/'2.2'!J$38,0)</f>
        <v>12.067558317344742</v>
      </c>
      <c r="K13" s="75">
        <f>IFERROR(100*'1.3'!K13/'2.2'!K$38,0)</f>
        <v>19.78266101662831</v>
      </c>
    </row>
    <row r="14" spans="1:11" x14ac:dyDescent="0.3">
      <c r="A14" s="36" t="s">
        <v>252</v>
      </c>
      <c r="B14" s="75">
        <f>IFERROR(100*'1.3'!B14/'2.2'!B$38,0)</f>
        <v>1281.0000088787815</v>
      </c>
      <c r="C14" s="75">
        <f>IFERROR(100*'1.3'!C14/'2.2'!C$38,0)</f>
        <v>2155.1025132404243</v>
      </c>
      <c r="D14" s="75">
        <f>IFERROR(100*'1.3'!D14/'2.2'!D$38,0)</f>
        <v>482.87070385140993</v>
      </c>
      <c r="E14" s="75">
        <f>IFERROR(100*'1.3'!E14/'2.2'!E$38,0)</f>
        <v>525.94718117945808</v>
      </c>
      <c r="F14" s="75">
        <f>IFERROR(100*'1.3'!F14/'2.2'!F$38,0)</f>
        <v>1348.1965353724736</v>
      </c>
      <c r="G14" s="75">
        <f>IFERROR(100*'1.3'!G14/'2.2'!G$38,0)</f>
        <v>576.17708633430857</v>
      </c>
      <c r="H14" s="75">
        <f>IFERROR(100*'1.3'!H14/'2.2'!H$38,0)</f>
        <v>187.93528504558765</v>
      </c>
      <c r="I14" s="75">
        <f>IFERROR(100*'1.3'!I14/'2.2'!I$38,0)</f>
        <v>6108.6815205048006</v>
      </c>
      <c r="J14" s="75">
        <f>IFERROR(100*'1.3'!J14/'2.2'!J$38,0)</f>
        <v>2496.436735627653</v>
      </c>
      <c r="K14" s="75">
        <f>IFERROR(100*'1.3'!K14/'2.2'!K$38,0)</f>
        <v>912.79141460987387</v>
      </c>
    </row>
    <row r="15" spans="1:11" x14ac:dyDescent="0.3">
      <c r="A15" s="36" t="s">
        <v>253</v>
      </c>
      <c r="B15" s="75">
        <f t="shared" ref="B15:K15" si="1">SUBTOTAL(9,B6:B14)</f>
        <v>13611.565153596446</v>
      </c>
      <c r="C15" s="75">
        <f t="shared" si="1"/>
        <v>14107.749282048047</v>
      </c>
      <c r="D15" s="75">
        <f t="shared" si="1"/>
        <v>10697.36156438742</v>
      </c>
      <c r="E15" s="75">
        <f t="shared" si="1"/>
        <v>10731.163360933309</v>
      </c>
      <c r="F15" s="75">
        <f t="shared" si="1"/>
        <v>11073.307986446387</v>
      </c>
      <c r="G15" s="75">
        <f t="shared" si="1"/>
        <v>11746.75623010749</v>
      </c>
      <c r="H15" s="75">
        <f t="shared" si="1"/>
        <v>8558.7188862016847</v>
      </c>
      <c r="I15" s="75">
        <f t="shared" si="1"/>
        <v>26320.956221979272</v>
      </c>
      <c r="J15" s="75">
        <f t="shared" si="1"/>
        <v>12902.003181584068</v>
      </c>
      <c r="K15" s="75">
        <f t="shared" si="1"/>
        <v>12068.480844585181</v>
      </c>
    </row>
    <row r="16" spans="1:11" x14ac:dyDescent="0.3">
      <c r="A16" s="37" t="s">
        <v>138</v>
      </c>
      <c r="B16" s="75"/>
      <c r="C16" s="75"/>
      <c r="D16" s="75"/>
      <c r="E16" s="75"/>
      <c r="F16" s="75"/>
      <c r="G16" s="75"/>
      <c r="H16" s="75"/>
      <c r="I16" s="75"/>
      <c r="J16" s="75"/>
      <c r="K16" s="75"/>
    </row>
    <row r="17" spans="1:11" x14ac:dyDescent="0.3">
      <c r="A17" s="36" t="s">
        <v>479</v>
      </c>
      <c r="B17" s="75">
        <f>IFERROR(100*'1.3'!B17/'2.2'!B$38,0)</f>
        <v>37.85075513315266</v>
      </c>
      <c r="C17" s="75">
        <f>IFERROR(100*'1.3'!C17/'2.2'!C$38,0)</f>
        <v>45.613362617681801</v>
      </c>
      <c r="D17" s="75">
        <f>IFERROR(100*'1.3'!D17/'2.2'!D$38,0)</f>
        <v>20.871598447279698</v>
      </c>
      <c r="E17" s="75">
        <f>IFERROR(100*'1.3'!E17/'2.2'!E$38,0)</f>
        <v>21.379764184784328</v>
      </c>
      <c r="F17" s="75">
        <f>IFERROR(100*'1.3'!F17/'2.2'!F$38,0)</f>
        <v>29.832211233210646</v>
      </c>
      <c r="G17" s="75">
        <f>IFERROR(100*'1.3'!G17/'2.2'!G$38,0)</f>
        <v>25.99612555962273</v>
      </c>
      <c r="H17" s="75">
        <f>IFERROR(100*'1.3'!H17/'2.2'!H$38,0)</f>
        <v>12.448128991454848</v>
      </c>
      <c r="I17" s="75">
        <f>IFERROR(100*'1.3'!I17/'2.2'!I$38,0)</f>
        <v>122.13092659108914</v>
      </c>
      <c r="J17" s="75">
        <f>IFERROR(100*'1.3'!J17/'2.2'!J$38,0)</f>
        <v>35.120575776408458</v>
      </c>
      <c r="K17" s="75">
        <f>IFERROR(100*'1.3'!K17/'2.2'!K$38,0)</f>
        <v>29.503963049398163</v>
      </c>
    </row>
    <row r="18" spans="1:11" x14ac:dyDescent="0.3">
      <c r="A18" s="47" t="s">
        <v>725</v>
      </c>
      <c r="B18" s="75">
        <f>IFERROR(100*'1.3'!B18/'2.2'!B$38,0)</f>
        <v>174.43274530330575</v>
      </c>
      <c r="C18" s="75">
        <f>IFERROR(100*'1.3'!C18/'2.2'!C$38,0)</f>
        <v>114.69579793460544</v>
      </c>
      <c r="D18" s="75">
        <f>IFERROR(100*'1.3'!D18/'2.2'!D$38,0)</f>
        <v>114.8579084680498</v>
      </c>
      <c r="E18" s="75">
        <f>IFERROR(100*'1.3'!E18/'2.2'!E$38,0)</f>
        <v>117.77592897565277</v>
      </c>
      <c r="F18" s="75">
        <f>IFERROR(100*'1.3'!F18/'2.2'!F$38,0)</f>
        <v>50.155432468621761</v>
      </c>
      <c r="G18" s="75">
        <f>IFERROR(100*'1.3'!G18/'2.2'!G$38,0)</f>
        <v>150.48895953274254</v>
      </c>
      <c r="H18" s="75">
        <f>IFERROR(100*'1.3'!H18/'2.2'!H$38,0)</f>
        <v>92.775144141294533</v>
      </c>
      <c r="I18" s="75">
        <f>IFERROR(100*'1.3'!I18/'2.2'!I$38,0)</f>
        <v>157.75422773163044</v>
      </c>
      <c r="J18" s="75">
        <f>IFERROR(100*'1.3'!J18/'2.2'!J$38,0)</f>
        <v>107.23298771617253</v>
      </c>
      <c r="K18" s="75">
        <f>IFERROR(100*'1.3'!K18/'2.2'!K$38,0)</f>
        <v>144.30130803616092</v>
      </c>
    </row>
    <row r="19" spans="1:11" x14ac:dyDescent="0.3">
      <c r="A19" s="36" t="s">
        <v>480</v>
      </c>
      <c r="B19" s="75">
        <f>IFERROR(100*'1.3'!B19/'2.2'!B$38,0)</f>
        <v>2411.0884026710505</v>
      </c>
      <c r="C19" s="75">
        <f>IFERROR(100*'1.3'!C19/'2.2'!C$38,0)</f>
        <v>4639.6877815504731</v>
      </c>
      <c r="D19" s="75">
        <f>IFERROR(100*'1.3'!D19/'2.2'!D$38,0)</f>
        <v>1050.3141542003182</v>
      </c>
      <c r="E19" s="75">
        <f>IFERROR(100*'1.3'!E19/'2.2'!E$38,0)</f>
        <v>1116.4174594663375</v>
      </c>
      <c r="F19" s="75">
        <f>IFERROR(100*'1.3'!F19/'2.2'!F$38,0)</f>
        <v>3639.2976755442328</v>
      </c>
      <c r="G19" s="75">
        <f>IFERROR(100*'1.3'!G19/'2.2'!G$38,0)</f>
        <v>1293.5881481475947</v>
      </c>
      <c r="H19" s="75">
        <f>IFERROR(100*'1.3'!H19/'2.2'!H$38,0)</f>
        <v>379.43769254415304</v>
      </c>
      <c r="I19" s="75">
        <f>IFERROR(100*'1.3'!I19/'2.2'!I$38,0)</f>
        <v>26693.8954183571</v>
      </c>
      <c r="J19" s="75">
        <f>IFERROR(100*'1.3'!J19/'2.2'!J$38,0)</f>
        <v>1858.31043170205</v>
      </c>
      <c r="K19" s="75">
        <f>IFERROR(100*'1.3'!K19/'2.2'!K$38,0)</f>
        <v>1825.4472120738478</v>
      </c>
    </row>
    <row r="20" spans="1:11" x14ac:dyDescent="0.3">
      <c r="A20" s="36" t="s">
        <v>254</v>
      </c>
      <c r="B20" s="75">
        <f t="shared" ref="B20:K20" si="2">SUBTOTAL(9,B16:B19)</f>
        <v>2623.3719031075088</v>
      </c>
      <c r="C20" s="75">
        <f t="shared" si="2"/>
        <v>4799.9969421027599</v>
      </c>
      <c r="D20" s="75">
        <f t="shared" si="2"/>
        <v>1186.0436611156476</v>
      </c>
      <c r="E20" s="75">
        <f t="shared" si="2"/>
        <v>1255.5731526267746</v>
      </c>
      <c r="F20" s="75">
        <f t="shared" si="2"/>
        <v>3719.2853192460652</v>
      </c>
      <c r="G20" s="75">
        <f t="shared" si="2"/>
        <v>1470.07323323996</v>
      </c>
      <c r="H20" s="75">
        <f t="shared" si="2"/>
        <v>484.66096567690244</v>
      </c>
      <c r="I20" s="75">
        <f t="shared" si="2"/>
        <v>26973.780572679821</v>
      </c>
      <c r="J20" s="75">
        <f t="shared" si="2"/>
        <v>2000.6639951946308</v>
      </c>
      <c r="K20" s="75">
        <f t="shared" si="2"/>
        <v>1999.2524831594069</v>
      </c>
    </row>
    <row r="21" spans="1:11" x14ac:dyDescent="0.3">
      <c r="A21" s="32" t="s">
        <v>263</v>
      </c>
      <c r="B21" s="75">
        <f t="shared" ref="B21:K21" si="3">SUBTOTAL(9,B6:B20)</f>
        <v>16234.937056703955</v>
      </c>
      <c r="C21" s="75">
        <f t="shared" si="3"/>
        <v>18907.746224150807</v>
      </c>
      <c r="D21" s="75">
        <f t="shared" si="3"/>
        <v>11883.405225503067</v>
      </c>
      <c r="E21" s="75">
        <f t="shared" si="3"/>
        <v>11986.736513560085</v>
      </c>
      <c r="F21" s="75">
        <f t="shared" si="3"/>
        <v>14792.593305692451</v>
      </c>
      <c r="G21" s="75">
        <f t="shared" si="3"/>
        <v>13216.829463347451</v>
      </c>
      <c r="H21" s="75">
        <f t="shared" si="3"/>
        <v>9043.3798518785879</v>
      </c>
      <c r="I21" s="75">
        <f t="shared" si="3"/>
        <v>53294.736794659097</v>
      </c>
      <c r="J21" s="75">
        <f t="shared" si="3"/>
        <v>14902.667176778699</v>
      </c>
      <c r="K21" s="75">
        <f t="shared" si="3"/>
        <v>14067.733327744589</v>
      </c>
    </row>
    <row r="22" spans="1:11" x14ac:dyDescent="0.3">
      <c r="A22" s="32" t="s">
        <v>246</v>
      </c>
      <c r="B22" s="75"/>
      <c r="C22" s="75"/>
      <c r="D22" s="75"/>
      <c r="E22" s="75"/>
      <c r="F22" s="75"/>
      <c r="G22" s="75"/>
      <c r="H22" s="75"/>
      <c r="I22" s="75"/>
      <c r="J22" s="75"/>
      <c r="K22" s="75"/>
    </row>
    <row r="23" spans="1:11" x14ac:dyDescent="0.3">
      <c r="A23" s="36" t="s">
        <v>255</v>
      </c>
      <c r="B23" s="75">
        <f>IFERROR(100*'1.3'!B23/'2.2'!B$38,0)</f>
        <v>1315.5343364937971</v>
      </c>
      <c r="C23" s="75">
        <f>IFERROR(100*'1.3'!C23/'2.2'!C$38,0)</f>
        <v>2330.8027394139681</v>
      </c>
      <c r="D23" s="75">
        <f>IFERROR(100*'1.3'!D23/'2.2'!D$38,0)</f>
        <v>609.47031676396614</v>
      </c>
      <c r="E23" s="75">
        <f>IFERROR(100*'1.3'!E23/'2.2'!E$38,0)</f>
        <v>619.76374815904478</v>
      </c>
      <c r="F23" s="75">
        <f>IFERROR(100*'1.3'!F23/'2.2'!F$38,0)</f>
        <v>1674.0309543520777</v>
      </c>
      <c r="G23" s="75">
        <f>IFERROR(100*'1.3'!G23/'2.2'!G$38,0)</f>
        <v>757.68955839601415</v>
      </c>
      <c r="H23" s="75">
        <f>IFERROR(100*'1.3'!H23/'2.2'!H$38,0)</f>
        <v>235.974168603457</v>
      </c>
      <c r="I23" s="75">
        <f>IFERROR(100*'1.3'!I23/'2.2'!I$38,0)</f>
        <v>12948.901170008803</v>
      </c>
      <c r="J23" s="75">
        <f>IFERROR(100*'1.3'!J23/'2.2'!J$38,0)</f>
        <v>998.63886765402845</v>
      </c>
      <c r="K23" s="75">
        <f>IFERROR(100*'1.3'!K23/'2.2'!K$38,0)</f>
        <v>996.66081651527497</v>
      </c>
    </row>
    <row r="24" spans="1:11" x14ac:dyDescent="0.3">
      <c r="A24" s="36" t="s">
        <v>256</v>
      </c>
      <c r="B24" s="75">
        <f>IFERROR(100*'1.3'!B24/'2.2'!B$38,0)</f>
        <v>119.28247642677248</v>
      </c>
      <c r="C24" s="75">
        <f>IFERROR(100*'1.3'!C24/'2.2'!C$38,0)</f>
        <v>211.33916090749955</v>
      </c>
      <c r="D24" s="75">
        <f>IFERROR(100*'1.3'!D24/'2.2'!D$38,0)</f>
        <v>55.262053353905841</v>
      </c>
      <c r="E24" s="75">
        <f>IFERROR(100*'1.3'!E24/'2.2'!E$38,0)</f>
        <v>56.195382081004297</v>
      </c>
      <c r="F24" s="75">
        <f>IFERROR(100*'1.3'!F24/'2.2'!F$38,0)</f>
        <v>151.78817634086934</v>
      </c>
      <c r="G24" s="75">
        <f>IFERROR(100*'1.3'!G24/'2.2'!G$38,0)</f>
        <v>68.701427534810946</v>
      </c>
      <c r="H24" s="75">
        <f>IFERROR(100*'1.3'!H24/'2.2'!H$38,0)</f>
        <v>21.396312071024226</v>
      </c>
      <c r="I24" s="75">
        <f>IFERROR(100*'1.3'!I24/'2.2'!I$38,0)</f>
        <v>1174.1061831049092</v>
      </c>
      <c r="J24" s="75">
        <f>IFERROR(100*'1.3'!J24/'2.2'!J$38,0)</f>
        <v>90.548846871821652</v>
      </c>
      <c r="K24" s="75">
        <f>IFERROR(100*'1.3'!K24/'2.2'!K$38,0)</f>
        <v>90.369492497113285</v>
      </c>
    </row>
    <row r="25" spans="1:11" x14ac:dyDescent="0.3">
      <c r="A25" s="36" t="s">
        <v>257</v>
      </c>
      <c r="B25" s="75">
        <f>IFERROR(100*'1.3'!B25/'2.2'!B$38,0)</f>
        <v>-69.510926096269159</v>
      </c>
      <c r="C25" s="75">
        <f>IFERROR(100*'1.3'!C25/'2.2'!C$38,0)</f>
        <v>-123.1562358122835</v>
      </c>
      <c r="D25" s="75">
        <f>IFERROR(100*'1.3'!D25/'2.2'!D$38,0)</f>
        <v>-32.20352747261763</v>
      </c>
      <c r="E25" s="75">
        <f>IFERROR(100*'1.3'!E25/'2.2'!E$38,0)</f>
        <v>-32.747417456430078</v>
      </c>
      <c r="F25" s="75">
        <f>IFERROR(100*'1.3'!F25/'2.2'!F$38,0)</f>
        <v>-88.453367367794911</v>
      </c>
      <c r="G25" s="75">
        <f>IFERROR(100*'1.3'!G25/'2.2'!G$38,0)</f>
        <v>-40.03521720151506</v>
      </c>
      <c r="H25" s="75">
        <f>IFERROR(100*'1.3'!H25/'2.2'!H$38,0)</f>
        <v>-12.4685327774421</v>
      </c>
      <c r="I25" s="75">
        <f>IFERROR(100*'1.3'!I25/'2.2'!I$38,0)</f>
        <v>-684.20115483669042</v>
      </c>
      <c r="J25" s="75">
        <f>IFERROR(100*'1.3'!J25/'2.2'!J$38,0)</f>
        <v>-52.766629194469807</v>
      </c>
      <c r="K25" s="75">
        <f>IFERROR(100*'1.3'!K25/'2.2'!K$38,0)</f>
        <v>-52.662111841553759</v>
      </c>
    </row>
    <row r="26" spans="1:11" x14ac:dyDescent="0.3">
      <c r="A26" s="3" t="s">
        <v>728</v>
      </c>
      <c r="B26" s="75">
        <f>IFERROR(100*'1.3'!B26/'2.2'!B$38,0)</f>
        <v>-4.355771387982025</v>
      </c>
      <c r="C26" s="75">
        <f>IFERROR(100*'1.3'!C26/'2.2'!C$38,0)</f>
        <v>-7.7173537791708977</v>
      </c>
      <c r="D26" s="75">
        <f>IFERROR(100*'1.3'!D26/'2.2'!D$38,0)</f>
        <v>-2.0179734530230884</v>
      </c>
      <c r="E26" s="75">
        <f>IFERROR(100*'1.3'!E26/'2.2'!E$38,0)</f>
        <v>-2.0520552954433606</v>
      </c>
      <c r="F26" s="75">
        <f>IFERROR(100*'1.3'!F26/'2.2'!F$38,0)</f>
        <v>-5.5427638270522648</v>
      </c>
      <c r="G26" s="75">
        <f>IFERROR(100*'1.3'!G26/'2.2'!G$38,0)</f>
        <v>-2.5087315533171228</v>
      </c>
      <c r="H26" s="75">
        <f>IFERROR(100*'1.3'!H26/'2.2'!H$38,0)</f>
        <v>-0.7813171449749009</v>
      </c>
      <c r="I26" s="75">
        <f>IFERROR(100*'1.3'!I26/'2.2'!I$38,0)</f>
        <v>-42.874177934767459</v>
      </c>
      <c r="J26" s="75">
        <f>IFERROR(100*'1.3'!J26/'2.2'!J$38,0)</f>
        <v>-3.3065215296831543</v>
      </c>
      <c r="K26" s="75">
        <f>IFERROR(100*'1.3'!K26/'2.2'!K$38,0)</f>
        <v>-3.2999721464286589</v>
      </c>
    </row>
    <row r="27" spans="1:11" x14ac:dyDescent="0.3">
      <c r="A27" s="36" t="s">
        <v>258</v>
      </c>
      <c r="B27" s="75">
        <f>IFERROR(100*'1.3'!B27/'2.2'!B$38,0)</f>
        <v>2.2208972855874918</v>
      </c>
      <c r="C27" s="75">
        <f>IFERROR(100*'1.3'!C27/'2.2'!C$38,0)</f>
        <v>3.9348828332378369</v>
      </c>
      <c r="D27" s="75">
        <f>IFERROR(100*'1.3'!D27/'2.2'!D$38,0)</f>
        <v>1.0289134495377903</v>
      </c>
      <c r="E27" s="75">
        <f>IFERROR(100*'1.3'!E27/'2.2'!E$38,0)</f>
        <v>1.0462909160246332</v>
      </c>
      <c r="F27" s="75">
        <f>IFERROR(100*'1.3'!F27/'2.2'!F$38,0)</f>
        <v>2.826114605582168</v>
      </c>
      <c r="G27" s="75">
        <f>IFERROR(100*'1.3'!G27/'2.2'!G$38,0)</f>
        <v>1.2791385499253578</v>
      </c>
      <c r="H27" s="75">
        <f>IFERROR(100*'1.3'!H27/'2.2'!H$38,0)</f>
        <v>0.39837378317084593</v>
      </c>
      <c r="I27" s="75">
        <f>IFERROR(100*'1.3'!I27/'2.2'!I$38,0)</f>
        <v>21.860455224954777</v>
      </c>
      <c r="J27" s="75">
        <f>IFERROR(100*'1.3'!J27/'2.2'!J$38,0)</f>
        <v>1.6859114117584677</v>
      </c>
      <c r="K27" s="75">
        <f>IFERROR(100*'1.3'!K27/'2.2'!K$38,0)</f>
        <v>1.6825720474538324</v>
      </c>
    </row>
    <row r="28" spans="1:11" x14ac:dyDescent="0.3">
      <c r="A28" s="36" t="s">
        <v>259</v>
      </c>
      <c r="B28" s="75">
        <f t="shared" ref="B28:K28" si="4">SUBTOTAL(9,B22:B27)</f>
        <v>1363.1710127219058</v>
      </c>
      <c r="C28" s="75">
        <f t="shared" si="4"/>
        <v>2415.2031935632513</v>
      </c>
      <c r="D28" s="75">
        <f t="shared" si="4"/>
        <v>631.53978264176897</v>
      </c>
      <c r="E28" s="75">
        <f t="shared" si="4"/>
        <v>642.20594840420029</v>
      </c>
      <c r="F28" s="75">
        <f t="shared" si="4"/>
        <v>1734.649114103682</v>
      </c>
      <c r="G28" s="75">
        <f t="shared" si="4"/>
        <v>785.1261757259183</v>
      </c>
      <c r="H28" s="75">
        <f t="shared" si="4"/>
        <v>244.51900453523504</v>
      </c>
      <c r="I28" s="75">
        <f t="shared" si="4"/>
        <v>13417.79247556721</v>
      </c>
      <c r="J28" s="75">
        <f t="shared" si="4"/>
        <v>1034.8004752134559</v>
      </c>
      <c r="K28" s="75">
        <f t="shared" si="4"/>
        <v>1032.7507970718596</v>
      </c>
    </row>
    <row r="29" spans="1:11" x14ac:dyDescent="0.3">
      <c r="A29" s="32" t="s">
        <v>260</v>
      </c>
      <c r="B29" s="75">
        <f t="shared" ref="B29:K29" si="5">SUBTOTAL(9,B6:B28)</f>
        <v>17598.10806942586</v>
      </c>
      <c r="C29" s="75">
        <f t="shared" si="5"/>
        <v>21322.949417714059</v>
      </c>
      <c r="D29" s="75">
        <f t="shared" si="5"/>
        <v>12514.945008144838</v>
      </c>
      <c r="E29" s="75">
        <f t="shared" si="5"/>
        <v>12628.942461964285</v>
      </c>
      <c r="F29" s="75">
        <f t="shared" si="5"/>
        <v>16527.242419796134</v>
      </c>
      <c r="G29" s="75">
        <f t="shared" si="5"/>
        <v>14001.955639073369</v>
      </c>
      <c r="H29" s="75">
        <f t="shared" si="5"/>
        <v>9287.8988564138253</v>
      </c>
      <c r="I29" s="75">
        <f t="shared" si="5"/>
        <v>66712.529270226325</v>
      </c>
      <c r="J29" s="75">
        <f t="shared" si="5"/>
        <v>15937.467651992154</v>
      </c>
      <c r="K29" s="75">
        <f t="shared" si="5"/>
        <v>15100.484124816448</v>
      </c>
    </row>
    <row r="30" spans="1:11" x14ac:dyDescent="0.3">
      <c r="A30" s="32" t="s">
        <v>261</v>
      </c>
      <c r="B30" s="75">
        <f>IFERROR(100*'1.3'!B30/'2.2'!B$38,0)</f>
        <v>716.19404288302201</v>
      </c>
      <c r="C30" s="75">
        <f>IFERROR(100*'1.3'!C30/'2.2'!C$38,0)</f>
        <v>1268.919397081494</v>
      </c>
      <c r="D30" s="75">
        <f>IFERROR(100*'1.3'!D30/'2.2'!D$38,0)</f>
        <v>331.80358586743671</v>
      </c>
      <c r="E30" s="75">
        <f>IFERROR(100*'1.3'!E30/'2.2'!E$38,0)</f>
        <v>337.40746411027197</v>
      </c>
      <c r="F30" s="75">
        <f>IFERROR(100*'1.3'!F30/'2.2'!F$38,0)</f>
        <v>911.3642752223144</v>
      </c>
      <c r="G30" s="75">
        <f>IFERROR(100*'1.3'!G30/'2.2'!G$38,0)</f>
        <v>412.49607328698693</v>
      </c>
      <c r="H30" s="75">
        <f>IFERROR(100*'1.3'!H30/'2.2'!H$38,0)</f>
        <v>128.46741368872404</v>
      </c>
      <c r="I30" s="75">
        <f>IFERROR(100*'1.3'!I30/'2.2'!I$38,0)</f>
        <v>7049.5506066063253</v>
      </c>
      <c r="J30" s="75">
        <f>IFERROR(100*'1.3'!J30/'2.2'!J$38,0)</f>
        <v>543.67201840697362</v>
      </c>
      <c r="K30" s="75">
        <f>IFERROR(100*'1.3'!K30/'2.2'!K$38,0)</f>
        <v>542.59514157997364</v>
      </c>
    </row>
    <row r="31" spans="1:11" x14ac:dyDescent="0.3">
      <c r="A31" s="1" t="s">
        <v>606</v>
      </c>
      <c r="B31" s="75">
        <f>IFERROR(100*'1.3'!B31/'2.2'!B$38,0)</f>
        <v>1582.9315118950715</v>
      </c>
      <c r="C31" s="75">
        <f>IFERROR(100*'1.3'!C31/'2.2'!C$38,0)</f>
        <v>2804.5646562621082</v>
      </c>
      <c r="D31" s="75">
        <f>IFERROR(100*'1.3'!D31/'2.2'!D$38,0)</f>
        <v>733.35202526270359</v>
      </c>
      <c r="E31" s="75">
        <f>IFERROR(100*'1.3'!E31/'2.2'!E$38,0)</f>
        <v>745.73771256010002</v>
      </c>
      <c r="F31" s="75">
        <f>IFERROR(100*'1.3'!F31/'2.2'!F$38,0)</f>
        <v>2014.2966063464492</v>
      </c>
      <c r="G31" s="75">
        <f>IFERROR(100*'1.3'!G31/'2.2'!G$38,0)</f>
        <v>911.69849767320557</v>
      </c>
      <c r="H31" s="75">
        <f>IFERROR(100*'1.3'!H31/'2.2'!H$38,0)</f>
        <v>283.93857698248979</v>
      </c>
      <c r="I31" s="75">
        <f>IFERROR(100*'1.3'!I31/'2.2'!I$38,0)</f>
        <v>15580.911222014718</v>
      </c>
      <c r="J31" s="75">
        <f>IFERROR(100*'1.3'!J31/'2.2'!J$38,0)</f>
        <v>1201.6234687008691</v>
      </c>
      <c r="K31" s="75">
        <f>IFERROR(100*'1.3'!K31/'2.2'!K$38,0)</f>
        <v>1199.2433563823893</v>
      </c>
    </row>
    <row r="32" spans="1:11" x14ac:dyDescent="0.3">
      <c r="A32" s="1" t="s">
        <v>629</v>
      </c>
      <c r="B32" s="75">
        <f>SUBTOTAL(9,B6:B31)</f>
        <v>19897.233624203953</v>
      </c>
      <c r="C32" s="75">
        <f t="shared" ref="C32:K32" si="6">SUBTOTAL(9,C6:C31)</f>
        <v>25396.433471057662</v>
      </c>
      <c r="D32" s="75">
        <f t="shared" si="6"/>
        <v>13580.100619274979</v>
      </c>
      <c r="E32" s="75">
        <f t="shared" si="6"/>
        <v>13712.087638634657</v>
      </c>
      <c r="F32" s="75">
        <f t="shared" si="6"/>
        <v>19452.903301364895</v>
      </c>
      <c r="G32" s="75">
        <f t="shared" si="6"/>
        <v>15326.150210033562</v>
      </c>
      <c r="H32" s="75">
        <f t="shared" si="6"/>
        <v>9700.304847085039</v>
      </c>
      <c r="I32" s="75">
        <f t="shared" si="6"/>
        <v>89342.991098847371</v>
      </c>
      <c r="J32" s="75">
        <f t="shared" si="6"/>
        <v>17682.763139099996</v>
      </c>
      <c r="K32" s="75">
        <f t="shared" si="6"/>
        <v>16842.322622778811</v>
      </c>
    </row>
    <row r="33" spans="1:22" x14ac:dyDescent="0.3">
      <c r="A33" s="1" t="s">
        <v>632</v>
      </c>
      <c r="B33" s="75">
        <f>IFERROR(100*'1.3'!B33/'2.2'!B$38,0)</f>
        <v>-241.62332420957432</v>
      </c>
      <c r="C33" s="75">
        <f>IFERROR(100*'1.3'!C33/'2.2'!C$38,0)</f>
        <v>-126.42802708969255</v>
      </c>
      <c r="D33" s="75">
        <f>IFERROR(100*'1.3'!D33/'2.2'!D$38,0)</f>
        <v>-126.77781533741592</v>
      </c>
      <c r="E33" s="75">
        <f>IFERROR(100*'1.3'!E33/'2.2'!E$38,0)</f>
        <v>-133.13109812310711</v>
      </c>
      <c r="F33" s="75">
        <f>IFERROR(100*'1.3'!F33/'2.2'!F$38,0)</f>
        <v>-2.2658056808189575</v>
      </c>
      <c r="G33" s="75">
        <f>IFERROR(100*'1.3'!G33/'2.2'!G$38,0)</f>
        <v>-195.90260816155467</v>
      </c>
      <c r="H33" s="75">
        <f>IFERROR(100*'1.3'!H33/'2.2'!H$38,0)</f>
        <v>-88.527914215766799</v>
      </c>
      <c r="I33" s="75">
        <f>IFERROR(100*'1.3'!I33/'2.2'!I$38,0)</f>
        <v>-209.87025118585592</v>
      </c>
      <c r="J33" s="75">
        <f>IFERROR(100*'1.3'!J33/'2.2'!J$38,0)</f>
        <v>-112.39785586005929</v>
      </c>
      <c r="K33" s="75">
        <f>IFERROR(100*'1.3'!K33/'2.2'!K$38,0)</f>
        <v>-184.25671730788468</v>
      </c>
    </row>
    <row r="34" spans="1:22" x14ac:dyDescent="0.3">
      <c r="A34" s="1" t="s">
        <v>631</v>
      </c>
      <c r="B34" s="75">
        <f>IFERROR(100*'1.3'!B34/'2.2'!B$38,0)</f>
        <v>-298.16198149619271</v>
      </c>
      <c r="C34" s="75">
        <f>IFERROR(100*'1.3'!C34/'2.2'!C$38,0)</f>
        <v>-518.87606565037561</v>
      </c>
      <c r="D34" s="75">
        <f>IFERROR(100*'1.3'!D34/'2.2'!D$38,0)</f>
        <v>-101.8034006932368</v>
      </c>
      <c r="E34" s="75">
        <f>IFERROR(100*'1.3'!E34/'2.2'!E$38,0)</f>
        <v>-107.62671038486981</v>
      </c>
      <c r="F34" s="75">
        <f>IFERROR(100*'1.3'!F34/'2.2'!F$38,0)</f>
        <v>-349.44966680925211</v>
      </c>
      <c r="G34" s="75">
        <f>IFERROR(100*'1.3'!G34/'2.2'!G$38,0)</f>
        <v>-127.15961875161953</v>
      </c>
      <c r="H34" s="75">
        <f>IFERROR(100*'1.3'!H34/'2.2'!H$38,0)</f>
        <v>-27.348729810546747</v>
      </c>
      <c r="I34" s="75">
        <f>IFERROR(100*'1.3'!I34/'2.2'!I$38,0)</f>
        <v>-1690.3402688637586</v>
      </c>
      <c r="J34" s="75">
        <f>IFERROR(100*'1.3'!J34/'2.2'!J$38,0)</f>
        <v>-141.35607465197569</v>
      </c>
      <c r="K34" s="75">
        <f>IFERROR(100*'1.3'!K34/'2.2'!K$38,0)</f>
        <v>-206.29375782536619</v>
      </c>
    </row>
    <row r="35" spans="1:22" x14ac:dyDescent="0.3">
      <c r="A35" s="1" t="s">
        <v>630</v>
      </c>
      <c r="B35" s="75">
        <f t="shared" ref="B35:K35" si="7">SUBTOTAL(9,B6:B34)</f>
        <v>19357.448318498187</v>
      </c>
      <c r="C35" s="75">
        <f t="shared" si="7"/>
        <v>24751.129378317593</v>
      </c>
      <c r="D35" s="75">
        <f t="shared" si="7"/>
        <v>13351.519403244325</v>
      </c>
      <c r="E35" s="75">
        <f t="shared" si="7"/>
        <v>13471.32983012668</v>
      </c>
      <c r="F35" s="75">
        <f t="shared" si="7"/>
        <v>19101.187828874827</v>
      </c>
      <c r="G35" s="75">
        <f t="shared" si="7"/>
        <v>15003.087983120389</v>
      </c>
      <c r="H35" s="75">
        <f t="shared" si="7"/>
        <v>9584.4282030587256</v>
      </c>
      <c r="I35" s="75">
        <f t="shared" si="7"/>
        <v>87442.780578797756</v>
      </c>
      <c r="J35" s="75">
        <f t="shared" si="7"/>
        <v>17429.009208587959</v>
      </c>
      <c r="K35" s="75">
        <f t="shared" si="7"/>
        <v>16451.772147645559</v>
      </c>
    </row>
    <row r="37" spans="1:22" x14ac:dyDescent="0.3">
      <c r="A37" s="32" t="s">
        <v>549</v>
      </c>
      <c r="M37" s="32" t="s">
        <v>598</v>
      </c>
    </row>
    <row r="38" spans="1:22" s="35" customFormat="1" ht="40.5" x14ac:dyDescent="0.25">
      <c r="B38" s="17" t="str">
        <f t="array" ref="B38:J38">TRANSPOSE(List_Classes)</f>
        <v>Residential</v>
      </c>
      <c r="C38" s="17" t="str">
        <v>Residential (S)</v>
      </c>
      <c r="D38" s="17" t="str">
        <v>Farm</v>
      </c>
      <c r="E38" s="17" t="str">
        <v>General Service 1</v>
      </c>
      <c r="F38" s="17" t="str">
        <v>General Service 1 (S)</v>
      </c>
      <c r="G38" s="17" t="str">
        <v>Small Industrial</v>
      </c>
      <c r="H38" s="17" t="str">
        <v>Large Industrial</v>
      </c>
      <c r="I38" s="17" t="str">
        <v>Lights</v>
      </c>
      <c r="J38" s="17" t="str">
        <v>Unmetered</v>
      </c>
      <c r="K38" s="34"/>
      <c r="N38" s="17" t="str">
        <f t="array" ref="N38:V38">TRANSPOSE(List_Classes)</f>
        <v>Residential</v>
      </c>
      <c r="O38" s="17" t="str">
        <v>Residential (S)</v>
      </c>
      <c r="P38" s="17" t="str">
        <v>Farm</v>
      </c>
      <c r="Q38" s="17" t="str">
        <v>General Service 1</v>
      </c>
      <c r="R38" s="17" t="str">
        <v>General Service 1 (S)</v>
      </c>
      <c r="S38" s="17" t="str">
        <v>Small Industrial</v>
      </c>
      <c r="T38" s="17" t="str">
        <v>Large Industrial</v>
      </c>
      <c r="U38" s="17" t="str">
        <v>Lights</v>
      </c>
      <c r="V38" s="17" t="str">
        <v>Unmetered</v>
      </c>
    </row>
    <row r="39" spans="1:22" x14ac:dyDescent="0.3">
      <c r="A39" s="32" t="s">
        <v>262</v>
      </c>
      <c r="M39" s="32" t="s">
        <v>262</v>
      </c>
    </row>
    <row r="40" spans="1:22" x14ac:dyDescent="0.3">
      <c r="A40" s="36" t="s">
        <v>247</v>
      </c>
      <c r="B40" s="38" t="str">
        <f>IFERROR('1.3'!B40/'2.2'!B$36,"N/A")</f>
        <v>N/A</v>
      </c>
      <c r="C40" s="38" t="str">
        <f>IFERROR('1.3'!C40/'2.2'!C$36,"N/A")</f>
        <v>N/A</v>
      </c>
      <c r="D40" s="38" t="str">
        <f>IFERROR('1.3'!D40/'2.2'!D$36,"N/A")</f>
        <v>N/A</v>
      </c>
      <c r="E40" s="38">
        <f>IFERROR('1.3'!E40/'2.2'!E$36,"N/A")</f>
        <v>6.4537236339244393</v>
      </c>
      <c r="F40" s="38">
        <f>IFERROR('1.3'!F40/'2.2'!F$36,"N/A")</f>
        <v>0.2689670565651659</v>
      </c>
      <c r="G40" s="38">
        <f>IFERROR('1.3'!G40/'2.2'!G$36,"N/A")</f>
        <v>7.1710026902411617</v>
      </c>
      <c r="H40" s="38">
        <f>IFERROR('1.3'!H40/'2.2'!H$36,"N/A")</f>
        <v>2.8986098851482875</v>
      </c>
      <c r="I40" s="38" t="str">
        <f>IFERROR('1.3'!I40/'2.2'!I$36,"N/A")</f>
        <v>N/A</v>
      </c>
      <c r="J40" s="38">
        <f>IFERROR('1.3'!J40/'2.2'!J$36,"N/A")</f>
        <v>30.801588810725008</v>
      </c>
      <c r="M40" s="36" t="s">
        <v>247</v>
      </c>
      <c r="N40" s="32">
        <f>IFERROR('1.3'!B40/'2.2'!B$15,0)</f>
        <v>97.308720817062323</v>
      </c>
      <c r="O40" s="32">
        <f>IFERROR('1.3'!C40/'2.2'!C$15,0)</f>
        <v>97.613688685914425</v>
      </c>
      <c r="P40" s="32">
        <f>IFERROR('1.3'!D40/'2.2'!D$15,0)</f>
        <v>97.527572734552663</v>
      </c>
      <c r="Q40" s="32">
        <f>IFERROR('1.3'!E40/'2.2'!E$15,0)</f>
        <v>96.716125258467343</v>
      </c>
      <c r="R40" s="32">
        <f>IFERROR('1.3'!F40/'2.2'!F$15,0)</f>
        <v>150.61227695040446</v>
      </c>
      <c r="S40" s="32">
        <f>IFERROR('1.3'!G40/'2.2'!G$15,0)</f>
        <v>97.407674954356423</v>
      </c>
      <c r="T40" s="32">
        <f>IFERROR('1.3'!H40/'2.2'!H$15,0)</f>
        <v>44.32384971026503</v>
      </c>
      <c r="U40" s="32">
        <f>IFERROR('1.3'!I40/'2.2'!I$15,0)</f>
        <v>97.314491293089617</v>
      </c>
      <c r="V40" s="32">
        <f>IFERROR('1.3'!J40/'2.2'!J$15,0)</f>
        <v>97.319913582822622</v>
      </c>
    </row>
    <row r="41" spans="1:22" x14ac:dyDescent="0.3">
      <c r="A41" s="36" t="s">
        <v>248</v>
      </c>
      <c r="B41" s="38" t="str">
        <f>IFERROR('1.3'!B41/'2.2'!B$36,"N/A")</f>
        <v>N/A</v>
      </c>
      <c r="C41" s="38" t="str">
        <f>IFERROR('1.3'!C41/'2.2'!C$36,"N/A")</f>
        <v>N/A</v>
      </c>
      <c r="D41" s="38" t="str">
        <f>IFERROR('1.3'!D41/'2.2'!D$36,"N/A")</f>
        <v>N/A</v>
      </c>
      <c r="E41" s="38">
        <f>IFERROR('1.3'!E41/'2.2'!E$36,"N/A")</f>
        <v>-0.26222910330410892</v>
      </c>
      <c r="F41" s="38">
        <f>IFERROR('1.3'!F41/'2.2'!F$36,"N/A")</f>
        <v>-7.0837084005208814E-3</v>
      </c>
      <c r="G41" s="38">
        <f>IFERROR('1.3'!G41/'2.2'!G$36,"N/A")</f>
        <v>-0.29201735798437783</v>
      </c>
      <c r="H41" s="38">
        <f>IFERROR('1.3'!H41/'2.2'!H$36,"N/A")</f>
        <v>-6.0612770213423352E-2</v>
      </c>
      <c r="I41" s="38" t="str">
        <f>IFERROR('1.3'!I41/'2.2'!I$36,"N/A")</f>
        <v>N/A</v>
      </c>
      <c r="J41" s="38">
        <f>IFERROR('1.3'!J41/'2.2'!J$36,"N/A")</f>
        <v>-1.2554324889480446</v>
      </c>
      <c r="M41" s="36" t="s">
        <v>248</v>
      </c>
      <c r="N41" s="32">
        <f>IFERROR('1.3'!B41/'2.2'!B$15,0)</f>
        <v>-3.9666324384847793</v>
      </c>
      <c r="O41" s="32">
        <f>IFERROR('1.3'!C41/'2.2'!C$15,0)</f>
        <v>-3.9666324384847798</v>
      </c>
      <c r="P41" s="32">
        <f>IFERROR('1.3'!D41/'2.2'!D$15,0)</f>
        <v>-3.9666324384847789</v>
      </c>
      <c r="Q41" s="32">
        <f>IFERROR('1.3'!E41/'2.2'!E$15,0)</f>
        <v>-3.929790651130431</v>
      </c>
      <c r="R41" s="32">
        <f>IFERROR('1.3'!F41/'2.2'!F$15,0)</f>
        <v>-3.9666324384847793</v>
      </c>
      <c r="S41" s="32">
        <f>IFERROR('1.3'!G41/'2.2'!G$15,0)</f>
        <v>-3.9666324384847798</v>
      </c>
      <c r="T41" s="32">
        <f>IFERROR('1.3'!H41/'2.2'!H$15,0)</f>
        <v>-0.92685508706362674</v>
      </c>
      <c r="U41" s="32">
        <f>IFERROR('1.3'!I41/'2.2'!I$15,0)</f>
        <v>-3.9666324384847802</v>
      </c>
      <c r="V41" s="32">
        <f>IFERROR('1.3'!J41/'2.2'!J$15,0)</f>
        <v>-3.9666324384847793</v>
      </c>
    </row>
    <row r="42" spans="1:22" x14ac:dyDescent="0.3">
      <c r="A42" s="36" t="s">
        <v>249</v>
      </c>
      <c r="B42" s="38">
        <f>SUBTOTAL(9,B40:B41)</f>
        <v>0</v>
      </c>
      <c r="C42" s="38">
        <f t="shared" ref="C42:J42" si="8">SUBTOTAL(9,C40:C41)</f>
        <v>0</v>
      </c>
      <c r="D42" s="38">
        <f t="shared" si="8"/>
        <v>0</v>
      </c>
      <c r="E42" s="38">
        <f t="shared" si="8"/>
        <v>6.1914945306203304</v>
      </c>
      <c r="F42" s="38">
        <f t="shared" si="8"/>
        <v>0.26188334816464504</v>
      </c>
      <c r="G42" s="38">
        <f t="shared" si="8"/>
        <v>6.878985332256784</v>
      </c>
      <c r="H42" s="38">
        <f t="shared" si="8"/>
        <v>2.8379971149348644</v>
      </c>
      <c r="I42" s="38">
        <f t="shared" si="8"/>
        <v>0</v>
      </c>
      <c r="J42" s="38">
        <f t="shared" si="8"/>
        <v>29.546156321776962</v>
      </c>
      <c r="M42" s="36" t="s">
        <v>249</v>
      </c>
      <c r="N42" s="32">
        <f>SUBTOTAL(9,N40:N41)</f>
        <v>93.342088378577543</v>
      </c>
      <c r="O42" s="32">
        <f t="shared" ref="O42:V42" si="9">SUBTOTAL(9,O40:O41)</f>
        <v>93.647056247429646</v>
      </c>
      <c r="P42" s="32">
        <f t="shared" si="9"/>
        <v>93.560940296067884</v>
      </c>
      <c r="Q42" s="32">
        <f t="shared" si="9"/>
        <v>92.786334607336912</v>
      </c>
      <c r="R42" s="32">
        <f t="shared" si="9"/>
        <v>146.6456445119197</v>
      </c>
      <c r="S42" s="32">
        <f t="shared" si="9"/>
        <v>93.441042515871644</v>
      </c>
      <c r="T42" s="32">
        <f t="shared" si="9"/>
        <v>43.396994623201401</v>
      </c>
      <c r="U42" s="32">
        <f t="shared" si="9"/>
        <v>93.347858854604837</v>
      </c>
      <c r="V42" s="32">
        <f t="shared" si="9"/>
        <v>93.353281144337842</v>
      </c>
    </row>
    <row r="43" spans="1:22" x14ac:dyDescent="0.3">
      <c r="A43" s="36" t="s">
        <v>124</v>
      </c>
      <c r="B43" s="38" t="str">
        <f>IFERROR('1.3'!B43/'2.2'!B$36,"N/A")</f>
        <v>N/A</v>
      </c>
      <c r="C43" s="38" t="str">
        <f>IFERROR('1.3'!C43/'2.2'!C$36,"N/A")</f>
        <v>N/A</v>
      </c>
      <c r="D43" s="38" t="str">
        <f>IFERROR('1.3'!D43/'2.2'!D$36,"N/A")</f>
        <v>N/A</v>
      </c>
      <c r="E43" s="38">
        <f>IFERROR('1.3'!E43/'2.2'!E$36,"N/A")</f>
        <v>0.94448260757022429</v>
      </c>
      <c r="F43" s="38">
        <f>IFERROR('1.3'!F43/'2.2'!F$36,"N/A")</f>
        <v>2.3970021843769942</v>
      </c>
      <c r="G43" s="38">
        <f>IFERROR('1.3'!G43/'2.2'!G$36,"N/A")</f>
        <v>1.1504143660641428</v>
      </c>
      <c r="H43" s="38">
        <f>IFERROR('1.3'!H43/'2.2'!H$36,"N/A")</f>
        <v>0.40301824896285982</v>
      </c>
      <c r="I43" s="38" t="str">
        <f>IFERROR('1.3'!I43/'2.2'!I$36,"N/A")</f>
        <v>N/A</v>
      </c>
      <c r="J43" s="38">
        <f>IFERROR('1.3'!J43/'2.2'!J$36,"N/A")</f>
        <v>4.2092486021421713</v>
      </c>
      <c r="M43" s="36" t="s">
        <v>124</v>
      </c>
      <c r="N43" s="32">
        <f>IFERROR('1.3'!B43/'2.2'!B$15,0)</f>
        <v>13.148214869973772</v>
      </c>
      <c r="O43" s="32">
        <f>IFERROR('1.3'!C43/'2.2'!C$15,0)</f>
        <v>20.785721278521098</v>
      </c>
      <c r="P43" s="32">
        <f>IFERROR('1.3'!D43/'2.2'!D$15,0)</f>
        <v>18.639799858681716</v>
      </c>
      <c r="Q43" s="32">
        <f>IFERROR('1.3'!E43/'2.2'!E$15,0)</f>
        <v>14.15410751368954</v>
      </c>
      <c r="R43" s="32">
        <f>IFERROR('1.3'!F43/'2.2'!F$15,0)</f>
        <v>1342.2385680033797</v>
      </c>
      <c r="S43" s="32">
        <f>IFERROR('1.3'!G43/'2.2'!G$15,0)</f>
        <v>15.626711280543313</v>
      </c>
      <c r="T43" s="32">
        <f>IFERROR('1.3'!H43/'2.2'!H$15,0)</f>
        <v>6.1627197192181375</v>
      </c>
      <c r="U43" s="32">
        <f>IFERROR('1.3'!I43/'2.2'!I$15,0)</f>
        <v>13.172354877316566</v>
      </c>
      <c r="V43" s="32">
        <f>IFERROR('1.3'!J43/'2.2'!J$15,0)</f>
        <v>13.299434413151328</v>
      </c>
    </row>
    <row r="44" spans="1:22" x14ac:dyDescent="0.3">
      <c r="A44" s="36" t="s">
        <v>12</v>
      </c>
      <c r="B44" s="38" t="str">
        <f>IFERROR('1.3'!B44/'2.2'!B$36,"N/A")</f>
        <v>N/A</v>
      </c>
      <c r="C44" s="38" t="str">
        <f>IFERROR('1.3'!C44/'2.2'!C$36,"N/A")</f>
        <v>N/A</v>
      </c>
      <c r="D44" s="38" t="str">
        <f>IFERROR('1.3'!D44/'2.2'!D$36,"N/A")</f>
        <v>N/A</v>
      </c>
      <c r="E44" s="38">
        <f>IFERROR('1.3'!E44/'2.2'!E$36,"N/A")</f>
        <v>0.33414664877709044</v>
      </c>
      <c r="F44" s="38">
        <f>IFERROR('1.3'!F44/'2.2'!F$36,"N/A")</f>
        <v>9.1142460033508347E-3</v>
      </c>
      <c r="G44" s="38">
        <f>IFERROR('1.3'!G44/'2.2'!G$36,"N/A")</f>
        <v>0.36865526419615169</v>
      </c>
      <c r="H44" s="38">
        <f>IFERROR('1.3'!H44/'2.2'!H$36,"N/A")</f>
        <v>0.3274822518275935</v>
      </c>
      <c r="I44" s="38" t="str">
        <f>IFERROR('1.3'!I44/'2.2'!I$36,"N/A")</f>
        <v>N/A</v>
      </c>
      <c r="J44" s="38">
        <f>IFERROR('1.3'!J44/'2.2'!J$36,"N/A")</f>
        <v>1.5852288074150949</v>
      </c>
      <c r="M44" s="36" t="s">
        <v>12</v>
      </c>
      <c r="N44" s="32">
        <f>IFERROR('1.3'!B44/'2.2'!B$15,0)</f>
        <v>5.0075598850937011</v>
      </c>
      <c r="O44" s="32">
        <f>IFERROR('1.3'!C44/'2.2'!C$15,0)</f>
        <v>5.0078366945737001</v>
      </c>
      <c r="P44" s="32">
        <f>IFERROR('1.3'!D44/'2.2'!D$15,0)</f>
        <v>5.0076718266665656</v>
      </c>
      <c r="Q44" s="32">
        <f>IFERROR('1.3'!E44/'2.2'!E$15,0)</f>
        <v>5.0075539287030688</v>
      </c>
      <c r="R44" s="32">
        <f>IFERROR('1.3'!F44/'2.2'!F$15,0)</f>
        <v>5.1036634775315237</v>
      </c>
      <c r="S44" s="32">
        <f>IFERROR('1.3'!G44/'2.2'!G$15,0)</f>
        <v>5.0076472839565316</v>
      </c>
      <c r="T44" s="32">
        <f>IFERROR('1.3'!H44/'2.2'!H$15,0)</f>
        <v>5.0076673605364617</v>
      </c>
      <c r="U44" s="32">
        <f>IFERROR('1.3'!I44/'2.2'!I$15,0)</f>
        <v>5.0085346149493892</v>
      </c>
      <c r="V44" s="32">
        <f>IFERROR('1.3'!J44/'2.2'!J$15,0)</f>
        <v>5.0086484659817359</v>
      </c>
    </row>
    <row r="45" spans="1:22" x14ac:dyDescent="0.3">
      <c r="A45" s="36" t="s">
        <v>250</v>
      </c>
      <c r="B45" s="38" t="str">
        <f>IFERROR('1.3'!B45/'2.2'!B$36,"N/A")</f>
        <v>N/A</v>
      </c>
      <c r="C45" s="38" t="str">
        <f>IFERROR('1.3'!C45/'2.2'!C$36,"N/A")</f>
        <v>N/A</v>
      </c>
      <c r="D45" s="38" t="str">
        <f>IFERROR('1.3'!D45/'2.2'!D$36,"N/A")</f>
        <v>N/A</v>
      </c>
      <c r="E45" s="38">
        <f>IFERROR('1.3'!E45/'2.2'!E$36,"N/A")</f>
        <v>0.35044340772737548</v>
      </c>
      <c r="F45" s="38">
        <f>IFERROR('1.3'!F45/'2.2'!F$36,"N/A")</f>
        <v>0.7626001713119408</v>
      </c>
      <c r="G45" s="38">
        <f>IFERROR('1.3'!G45/'2.2'!G$36,"N/A")</f>
        <v>0.42105715527120169</v>
      </c>
      <c r="H45" s="38">
        <f>IFERROR('1.3'!H45/'2.2'!H$36,"N/A")</f>
        <v>0.13416903809100739</v>
      </c>
      <c r="I45" s="38" t="str">
        <f>IFERROR('1.3'!I45/'2.2'!I$36,"N/A")</f>
        <v>N/A</v>
      </c>
      <c r="J45" s="38">
        <f>IFERROR('1.3'!J45/'2.2'!J$36,"N/A")</f>
        <v>1.5763476048965914</v>
      </c>
      <c r="M45" s="36" t="s">
        <v>250</v>
      </c>
      <c r="N45" s="32">
        <f>IFERROR('1.3'!B45/'2.2'!B$15,0)</f>
        <v>4.9323367860708025</v>
      </c>
      <c r="O45" s="32">
        <f>IFERROR('1.3'!C45/'2.2'!C$15,0)</f>
        <v>7.3578356088388608</v>
      </c>
      <c r="P45" s="32">
        <f>IFERROR('1.3'!D45/'2.2'!D$15,0)</f>
        <v>6.676326256603617</v>
      </c>
      <c r="Q45" s="32">
        <f>IFERROR('1.3'!E45/'2.2'!E$15,0)</f>
        <v>5.2517787312120623</v>
      </c>
      <c r="R45" s="32">
        <f>IFERROR('1.3'!F45/'2.2'!F$15,0)</f>
        <v>427.02979937705538</v>
      </c>
      <c r="S45" s="32">
        <f>IFERROR('1.3'!G45/'2.2'!G$15,0)</f>
        <v>5.719451001416914</v>
      </c>
      <c r="T45" s="32">
        <f>IFERROR('1.3'!H45/'2.2'!H$15,0)</f>
        <v>2.0516345820066788</v>
      </c>
      <c r="U45" s="32">
        <f>IFERROR('1.3'!I45/'2.2'!I$15,0)</f>
        <v>4.9401481870330786</v>
      </c>
      <c r="V45" s="32">
        <f>IFERROR('1.3'!J45/'2.2'!J$15,0)</f>
        <v>4.980587645258379</v>
      </c>
    </row>
    <row r="46" spans="1:22" x14ac:dyDescent="0.3">
      <c r="A46" s="36" t="s">
        <v>251</v>
      </c>
      <c r="B46" s="38" t="str">
        <f>IFERROR('1.3'!B46/'2.2'!B$36,"N/A")</f>
        <v>N/A</v>
      </c>
      <c r="C46" s="38" t="str">
        <f>IFERROR('1.3'!C46/'2.2'!C$36,"N/A")</f>
        <v>N/A</v>
      </c>
      <c r="D46" s="38" t="str">
        <f>IFERROR('1.3'!D46/'2.2'!D$36,"N/A")</f>
        <v>N/A</v>
      </c>
      <c r="E46" s="38">
        <f>IFERROR('1.3'!E46/'2.2'!E$36,"N/A")</f>
        <v>5.4470984728350505E-2</v>
      </c>
      <c r="F46" s="38">
        <f>IFERROR('1.3'!F46/'2.2'!F$36,"N/A")</f>
        <v>1.4857606882364492E-3</v>
      </c>
      <c r="G46" s="38">
        <f>IFERROR('1.3'!G46/'2.2'!G$36,"N/A")</f>
        <v>6.0096413773853725E-2</v>
      </c>
      <c r="H46" s="38">
        <f>IFERROR('1.3'!H46/'2.2'!H$36,"N/A")</f>
        <v>5.3384586687884504E-2</v>
      </c>
      <c r="I46" s="38" t="str">
        <f>IFERROR('1.3'!I46/'2.2'!I$36,"N/A")</f>
        <v>N/A</v>
      </c>
      <c r="J46" s="38">
        <f>IFERROR('1.3'!J46/'2.2'!J$36,"N/A")</f>
        <v>0.2584164003310187</v>
      </c>
      <c r="M46" s="36" t="s">
        <v>251</v>
      </c>
      <c r="N46" s="32">
        <f>IFERROR('1.3'!B46/'2.2'!B$15,0)</f>
        <v>0.81630840538281912</v>
      </c>
      <c r="O46" s="32">
        <f>IFERROR('1.3'!C46/'2.2'!C$15,0)</f>
        <v>0.81635352953717721</v>
      </c>
      <c r="P46" s="32">
        <f>IFERROR('1.3'!D46/'2.2'!D$15,0)</f>
        <v>0.81632665356136069</v>
      </c>
      <c r="Q46" s="32">
        <f>IFERROR('1.3'!E46/'2.2'!E$15,0)</f>
        <v>0.81630743440057418</v>
      </c>
      <c r="R46" s="32">
        <f>IFERROR('1.3'!F46/'2.2'!F$15,0)</f>
        <v>0.83197475228523099</v>
      </c>
      <c r="S46" s="32">
        <f>IFERROR('1.3'!G46/'2.2'!G$15,0)</f>
        <v>0.8163226527264329</v>
      </c>
      <c r="T46" s="32">
        <f>IFERROR('1.3'!H46/'2.2'!H$15,0)</f>
        <v>0.81632592551424243</v>
      </c>
      <c r="U46" s="32">
        <f>IFERROR('1.3'!I46/'2.2'!I$15,0)</f>
        <v>0.8164673011708744</v>
      </c>
      <c r="V46" s="32">
        <f>IFERROR('1.3'!J46/'2.2'!J$15,0)</f>
        <v>0.81648586062034634</v>
      </c>
    </row>
    <row r="47" spans="1:22" x14ac:dyDescent="0.3">
      <c r="A47" s="36" t="s">
        <v>252</v>
      </c>
      <c r="B47" s="38" t="str">
        <f>IFERROR('1.3'!B47/'2.2'!B$36,"N/A")</f>
        <v>N/A</v>
      </c>
      <c r="C47" s="38" t="str">
        <f>IFERROR('1.3'!C47/'2.2'!C$36,"N/A")</f>
        <v>N/A</v>
      </c>
      <c r="D47" s="38" t="str">
        <f>IFERROR('1.3'!D47/'2.2'!D$36,"N/A")</f>
        <v>N/A</v>
      </c>
      <c r="E47" s="38">
        <f>IFERROR('1.3'!E47/'2.2'!E$36,"N/A")</f>
        <v>1.2515496237338106</v>
      </c>
      <c r="F47" s="38">
        <f>IFERROR('1.3'!F47/'2.2'!F$36,"N/A")</f>
        <v>1.6575971972258485</v>
      </c>
      <c r="G47" s="38">
        <f>IFERROR('1.3'!G47/'2.2'!G$36,"N/A")</f>
        <v>1.4551016996308097</v>
      </c>
      <c r="H47" s="38">
        <f>IFERROR('1.3'!H47/'2.2'!H$36,"N/A")</f>
        <v>0.82302384328379719</v>
      </c>
      <c r="I47" s="38" t="str">
        <f>IFERROR('1.3'!I47/'2.2'!I$36,"N/A")</f>
        <v>N/A</v>
      </c>
      <c r="J47" s="38">
        <f>IFERROR('1.3'!J47/'2.2'!J$36,"N/A")</f>
        <v>5.7513786428929778</v>
      </c>
      <c r="M47" s="36" t="s">
        <v>252</v>
      </c>
      <c r="N47" s="32">
        <f>IFERROR('1.3'!B47/'2.2'!B$15,0)</f>
        <v>18.068330651161244</v>
      </c>
      <c r="O47" s="32">
        <f>IFERROR('1.3'!C47/'2.2'!C$15,0)</f>
        <v>23.2980501328659</v>
      </c>
      <c r="P47" s="32">
        <f>IFERROR('1.3'!D47/'2.2'!D$15,0)</f>
        <v>21.82850631005163</v>
      </c>
      <c r="Q47" s="32">
        <f>IFERROR('1.3'!E47/'2.2'!E$15,0)</f>
        <v>18.75584345445867</v>
      </c>
      <c r="R47" s="32">
        <f>IFERROR('1.3'!F47/'2.2'!F$15,0)</f>
        <v>928.19727192243295</v>
      </c>
      <c r="S47" s="32">
        <f>IFERROR('1.3'!G47/'2.2'!G$15,0)</f>
        <v>19.765446968254146</v>
      </c>
      <c r="T47" s="32">
        <f>IFERROR('1.3'!H47/'2.2'!H$15,0)</f>
        <v>12.585200003832014</v>
      </c>
      <c r="U47" s="32">
        <f>IFERROR('1.3'!I47/'2.2'!I$15,0)</f>
        <v>18.086574927450751</v>
      </c>
      <c r="V47" s="32">
        <f>IFERROR('1.3'!J47/'2.2'!J$15,0)</f>
        <v>18.171909116374621</v>
      </c>
    </row>
    <row r="48" spans="1:22" x14ac:dyDescent="0.3">
      <c r="A48" s="36" t="s">
        <v>253</v>
      </c>
      <c r="B48" s="38" t="str">
        <f>IFERROR('1.3'!B48/'2.2'!B$36,"N/A")</f>
        <v>N/A</v>
      </c>
      <c r="C48" s="38" t="str">
        <f>IFERROR('1.3'!C48/'2.2'!C$36,"N/A")</f>
        <v>N/A</v>
      </c>
      <c r="D48" s="38" t="str">
        <f>IFERROR('1.3'!D48/'2.2'!D$36,"N/A")</f>
        <v>N/A</v>
      </c>
      <c r="E48" s="38">
        <f>IFERROR('1.3'!E48/'2.2'!E$36,"N/A")</f>
        <v>9.1265878031571805</v>
      </c>
      <c r="F48" s="38">
        <f>IFERROR('1.3'!F48/'2.2'!F$36,"N/A")</f>
        <v>5.0896829077710164</v>
      </c>
      <c r="G48" s="38">
        <f>IFERROR('1.3'!G48/'2.2'!G$36,"N/A")</f>
        <v>10.334310231192944</v>
      </c>
      <c r="H48" s="38">
        <f>IFERROR('1.3'!H48/'2.2'!H$36,"N/A")</f>
        <v>4.5790750837880072</v>
      </c>
      <c r="I48" s="38" t="str">
        <f>IFERROR('1.3'!I48/'2.2'!I$36,"N/A")</f>
        <v>N/A</v>
      </c>
      <c r="J48" s="38">
        <f>IFERROR('1.3'!J48/'2.2'!J$36,"N/A")</f>
        <v>42.926776379454815</v>
      </c>
      <c r="M48" s="36" t="s">
        <v>253</v>
      </c>
      <c r="N48" s="32">
        <f t="shared" ref="N48:V48" si="10">SUBTOTAL(9,N39:N47)</f>
        <v>135.31483897625986</v>
      </c>
      <c r="O48" s="32">
        <f t="shared" si="10"/>
        <v>150.91285349176638</v>
      </c>
      <c r="P48" s="32">
        <f t="shared" si="10"/>
        <v>146.52957120163276</v>
      </c>
      <c r="Q48" s="32">
        <f t="shared" si="10"/>
        <v>136.77192566980082</v>
      </c>
      <c r="R48" s="32">
        <f t="shared" si="10"/>
        <v>2850.0469220446043</v>
      </c>
      <c r="S48" s="32">
        <f t="shared" si="10"/>
        <v>140.37662170276897</v>
      </c>
      <c r="T48" s="32">
        <f t="shared" si="10"/>
        <v>70.020542214308932</v>
      </c>
      <c r="U48" s="32">
        <f t="shared" si="10"/>
        <v>135.37193876252547</v>
      </c>
      <c r="V48" s="32">
        <f t="shared" si="10"/>
        <v>135.63034664572427</v>
      </c>
    </row>
    <row r="49" spans="1:22" x14ac:dyDescent="0.3">
      <c r="A49" s="37" t="s">
        <v>138</v>
      </c>
      <c r="B49" s="38"/>
      <c r="C49" s="38"/>
      <c r="D49" s="38"/>
      <c r="E49" s="38"/>
      <c r="F49" s="38"/>
      <c r="G49" s="38"/>
      <c r="H49" s="38"/>
      <c r="I49" s="38"/>
      <c r="J49" s="38"/>
      <c r="M49" s="37" t="s">
        <v>138</v>
      </c>
    </row>
    <row r="50" spans="1:22" x14ac:dyDescent="0.3">
      <c r="A50" s="36" t="s">
        <v>479</v>
      </c>
      <c r="B50" s="38" t="str">
        <f>IFERROR('1.3'!B50/'2.2'!B$36,"N/A")</f>
        <v>N/A</v>
      </c>
      <c r="C50" s="38" t="str">
        <f>IFERROR('1.3'!C50/'2.2'!C$36,"N/A")</f>
        <v>N/A</v>
      </c>
      <c r="D50" s="38" t="str">
        <f>IFERROR('1.3'!D50/'2.2'!D$36,"N/A")</f>
        <v>N/A</v>
      </c>
      <c r="E50" s="38">
        <f>IFERROR('1.3'!E50/'2.2'!E$36,"N/A")</f>
        <v>4.734444465857509E-2</v>
      </c>
      <c r="F50" s="38">
        <f>IFERROR('1.3'!F50/'2.2'!F$36,"N/A")</f>
        <v>4.0684397199848996E-2</v>
      </c>
      <c r="G50" s="38">
        <f>IFERROR('1.3'!G50/'2.2'!G$36,"N/A")</f>
        <v>5.4066957217890156E-2</v>
      </c>
      <c r="H50" s="38">
        <f>IFERROR('1.3'!H50/'2.2'!H$36,"N/A")</f>
        <v>3.382885395331886E-2</v>
      </c>
      <c r="I50" s="38" t="str">
        <f>IFERROR('1.3'!I50/'2.2'!I$36,"N/A")</f>
        <v>N/A</v>
      </c>
      <c r="J50" s="38">
        <f>IFERROR('1.3'!J50/'2.2'!J$36,"N/A")</f>
        <v>0.22020991455433458</v>
      </c>
      <c r="M50" s="36" t="s">
        <v>479</v>
      </c>
      <c r="N50" s="32">
        <f>IFERROR('1.3'!B50/'2.2'!B$15,0)</f>
        <v>0.69323571331086764</v>
      </c>
      <c r="O50" s="32">
        <f>IFERROR('1.3'!C50/'2.2'!C$15,0)</f>
        <v>0.8201509752321271</v>
      </c>
      <c r="P50" s="32">
        <f>IFERROR('1.3'!D50/'2.2'!D$15,0)</f>
        <v>0.78448429382272578</v>
      </c>
      <c r="Q50" s="32">
        <f>IFERROR('1.3'!E50/'2.2'!E$15,0)</f>
        <v>0.70950841709763468</v>
      </c>
      <c r="R50" s="32">
        <f>IFERROR('1.3'!F50/'2.2'!F$15,0)</f>
        <v>22.781859521667165</v>
      </c>
      <c r="S50" s="32">
        <f>IFERROR('1.3'!G50/'2.2'!G$15,0)</f>
        <v>0.73442122698105194</v>
      </c>
      <c r="T50" s="32">
        <f>IFERROR('1.3'!H50/'2.2'!H$15,0)</f>
        <v>0.51729108017607628</v>
      </c>
      <c r="U50" s="32">
        <f>IFERROR('1.3'!I50/'2.2'!I$15,0)</f>
        <v>0.69372140327327836</v>
      </c>
      <c r="V50" s="32">
        <f>IFERROR('1.3'!J50/'2.2'!J$15,0)</f>
        <v>0.69576962364507844</v>
      </c>
    </row>
    <row r="51" spans="1:22" x14ac:dyDescent="0.3">
      <c r="A51" s="47" t="s">
        <v>725</v>
      </c>
      <c r="B51" s="38" t="str">
        <f>IFERROR('1.3'!B51/'2.2'!B$36,"N/A")</f>
        <v>N/A</v>
      </c>
      <c r="C51" s="38" t="str">
        <f>IFERROR('1.3'!C51/'2.2'!C$36,"N/A")</f>
        <v>N/A</v>
      </c>
      <c r="D51" s="38" t="str">
        <f>IFERROR('1.3'!D51/'2.2'!D$36,"N/A")</f>
        <v>N/A</v>
      </c>
      <c r="E51" s="38">
        <f>IFERROR('1.3'!E51/'2.2'!E$36,"N/A")</f>
        <v>0.26299480529676555</v>
      </c>
      <c r="F51" s="38">
        <f>IFERROR('1.3'!F51/'2.2'!F$36,"N/A")</f>
        <v>7.0384075692916425E-3</v>
      </c>
      <c r="G51" s="38">
        <f>IFERROR('1.3'!G51/'2.2'!G$36,"N/A")</f>
        <v>0.29014988570826239</v>
      </c>
      <c r="H51" s="38">
        <f>IFERROR('1.3'!H51/'2.2'!H$36,"N/A")</f>
        <v>0.25774365978350644</v>
      </c>
      <c r="I51" s="38" t="str">
        <f>IFERROR('1.3'!I51/'2.2'!I$36,"N/A")</f>
        <v>N/A</v>
      </c>
      <c r="J51" s="38">
        <f>IFERROR('1.3'!J51/'2.2'!J$36,"N/A")</f>
        <v>1.2474039067300982</v>
      </c>
      <c r="M51" s="36"/>
    </row>
    <row r="52" spans="1:22" x14ac:dyDescent="0.3">
      <c r="A52" s="36" t="s">
        <v>480</v>
      </c>
      <c r="B52" s="38" t="str">
        <f>IFERROR('1.3'!B52/'2.2'!B$36,"N/A")</f>
        <v>N/A</v>
      </c>
      <c r="C52" s="38" t="str">
        <f>IFERROR('1.3'!C52/'2.2'!C$36,"N/A")</f>
        <v>N/A</v>
      </c>
      <c r="D52" s="38" t="str">
        <f>IFERROR('1.3'!D52/'2.2'!D$36,"N/A")</f>
        <v>N/A</v>
      </c>
      <c r="E52" s="38">
        <f>IFERROR('1.3'!E52/'2.2'!E$36,"N/A")</f>
        <v>2.8069841259050454</v>
      </c>
      <c r="F52" s="38">
        <f>IFERROR('1.3'!F52/'2.2'!F$36,"N/A")</f>
        <v>4.9141986157426736</v>
      </c>
      <c r="G52" s="38">
        <f>IFERROR('1.3'!G52/'2.2'!G$36,"N/A")</f>
        <v>3.3180306839689777</v>
      </c>
      <c r="H52" s="38">
        <f>IFERROR('1.3'!H52/'2.2'!H$36,"N/A")</f>
        <v>1.763913283608439</v>
      </c>
      <c r="I52" s="38" t="str">
        <f>IFERROR('1.3'!I52/'2.2'!I$36,"N/A")</f>
        <v>N/A</v>
      </c>
      <c r="J52" s="38">
        <f>IFERROR('1.3'!J52/'2.2'!J$36,"N/A")</f>
        <v>12.762111123851042</v>
      </c>
      <c r="M52" s="36" t="s">
        <v>480</v>
      </c>
      <c r="N52" s="32">
        <f>IFERROR('1.3'!B52/'2.2'!B$15,0)</f>
        <v>40.013845463459695</v>
      </c>
      <c r="O52" s="32">
        <f>IFERROR('1.3'!C52/'2.2'!C$15,0)</f>
        <v>55.596430414513669</v>
      </c>
      <c r="P52" s="32">
        <f>IFERROR('1.3'!D52/'2.2'!D$15,0)</f>
        <v>51.217996426631586</v>
      </c>
      <c r="Q52" s="32">
        <f>IFERROR('1.3'!E52/'2.2'!E$15,0)</f>
        <v>42.065735026598503</v>
      </c>
      <c r="R52" s="32">
        <f>IFERROR('1.3'!F52/'2.2'!F$15,0)</f>
        <v>2751.7817696912161</v>
      </c>
      <c r="S52" s="32">
        <f>IFERROR('1.3'!G52/'2.2'!G$15,0)</f>
        <v>45.070636327116169</v>
      </c>
      <c r="T52" s="32">
        <f>IFERROR('1.3'!H52/'2.2'!H$15,0)</f>
        <v>26.972731889583279</v>
      </c>
      <c r="U52" s="32">
        <f>IFERROR('1.3'!I52/'2.2'!I$15,0)</f>
        <v>40.065146948005896</v>
      </c>
      <c r="V52" s="32">
        <f>IFERROR('1.3'!J52/'2.2'!J$15,0)</f>
        <v>40.32284046578468</v>
      </c>
    </row>
    <row r="53" spans="1:22" x14ac:dyDescent="0.3">
      <c r="A53" s="36" t="s">
        <v>254</v>
      </c>
      <c r="B53" s="38" t="str">
        <f>IFERROR('1.3'!B53/'2.2'!B$36,"N/A")</f>
        <v>N/A</v>
      </c>
      <c r="C53" s="38" t="str">
        <f>IFERROR('1.3'!C53/'2.2'!C$36,"N/A")</f>
        <v>N/A</v>
      </c>
      <c r="D53" s="38" t="str">
        <f>IFERROR('1.3'!D53/'2.2'!D$36,"N/A")</f>
        <v>N/A</v>
      </c>
      <c r="E53" s="38">
        <f>IFERROR('1.3'!E53/'2.2'!E$36,"N/A")</f>
        <v>3.1173233758603862</v>
      </c>
      <c r="F53" s="38">
        <f>IFERROR('1.3'!F53/'2.2'!F$36,"N/A")</f>
        <v>4.9619214205118141</v>
      </c>
      <c r="G53" s="38">
        <f>IFERROR('1.3'!G53/'2.2'!G$36,"N/A")</f>
        <v>3.6622475268951304</v>
      </c>
      <c r="H53" s="38">
        <f>IFERROR('1.3'!H53/'2.2'!H$36,"N/A")</f>
        <v>2.055485797345264</v>
      </c>
      <c r="I53" s="38" t="str">
        <f>IFERROR('1.3'!I53/'2.2'!I$36,"N/A")</f>
        <v>N/A</v>
      </c>
      <c r="J53" s="38">
        <f>IFERROR('1.3'!J53/'2.2'!J$36,"N/A")</f>
        <v>14.229724945135477</v>
      </c>
      <c r="M53" s="36" t="s">
        <v>254</v>
      </c>
      <c r="N53" s="32">
        <f t="shared" ref="N53:V53" si="11">SUBTOTAL(9,N49:N52)</f>
        <v>40.707081176770565</v>
      </c>
      <c r="O53" s="32">
        <f t="shared" si="11"/>
        <v>56.416581389745794</v>
      </c>
      <c r="P53" s="32">
        <f t="shared" si="11"/>
        <v>52.002480720454315</v>
      </c>
      <c r="Q53" s="32">
        <f t="shared" si="11"/>
        <v>42.775243443696141</v>
      </c>
      <c r="R53" s="32">
        <f t="shared" si="11"/>
        <v>2774.5636292128834</v>
      </c>
      <c r="S53" s="32">
        <f t="shared" si="11"/>
        <v>45.805057554097218</v>
      </c>
      <c r="T53" s="32">
        <f t="shared" si="11"/>
        <v>27.490022969759355</v>
      </c>
      <c r="U53" s="32">
        <f t="shared" si="11"/>
        <v>40.758868351279176</v>
      </c>
      <c r="V53" s="32">
        <f t="shared" si="11"/>
        <v>41.018610089429757</v>
      </c>
    </row>
    <row r="54" spans="1:22" x14ac:dyDescent="0.3">
      <c r="A54" s="32" t="s">
        <v>263</v>
      </c>
      <c r="B54" s="38" t="str">
        <f>IFERROR('1.3'!B54/'2.2'!B$36,"N/A")</f>
        <v>N/A</v>
      </c>
      <c r="C54" s="38" t="str">
        <f>IFERROR('1.3'!C54/'2.2'!C$36,"N/A")</f>
        <v>N/A</v>
      </c>
      <c r="D54" s="38" t="str">
        <f>IFERROR('1.3'!D54/'2.2'!D$36,"N/A")</f>
        <v>N/A</v>
      </c>
      <c r="E54" s="38">
        <f>IFERROR('1.3'!E54/'2.2'!E$36,"N/A")</f>
        <v>12.243911179017568</v>
      </c>
      <c r="F54" s="38">
        <f>IFERROR('1.3'!F54/'2.2'!F$36,"N/A")</f>
        <v>10.051604328282831</v>
      </c>
      <c r="G54" s="38">
        <f>IFERROR('1.3'!G54/'2.2'!G$36,"N/A")</f>
        <v>13.996557758088073</v>
      </c>
      <c r="H54" s="38">
        <f>IFERROR('1.3'!H54/'2.2'!H$36,"N/A")</f>
        <v>6.6345608811332717</v>
      </c>
      <c r="I54" s="38" t="str">
        <f>IFERROR('1.3'!I54/'2.2'!I$36,"N/A")</f>
        <v>N/A</v>
      </c>
      <c r="J54" s="38">
        <f>IFERROR('1.3'!J54/'2.2'!J$36,"N/A")</f>
        <v>57.15650132459028</v>
      </c>
      <c r="M54" s="32" t="s">
        <v>263</v>
      </c>
      <c r="N54" s="32">
        <f t="shared" ref="N54:V54" si="12">SUBTOTAL(9,N39:N53)</f>
        <v>176.02192015303041</v>
      </c>
      <c r="O54" s="32">
        <f t="shared" si="12"/>
        <v>207.32943488151219</v>
      </c>
      <c r="P54" s="32">
        <f t="shared" si="12"/>
        <v>198.53205192208708</v>
      </c>
      <c r="Q54" s="32">
        <f t="shared" si="12"/>
        <v>179.54716911349695</v>
      </c>
      <c r="R54" s="32">
        <f t="shared" si="12"/>
        <v>5624.6105512574877</v>
      </c>
      <c r="S54" s="32">
        <f t="shared" si="12"/>
        <v>186.1816792568662</v>
      </c>
      <c r="T54" s="32">
        <f t="shared" si="12"/>
        <v>97.510565184068298</v>
      </c>
      <c r="U54" s="32">
        <f t="shared" si="12"/>
        <v>176.13080711380465</v>
      </c>
      <c r="V54" s="32">
        <f t="shared" si="12"/>
        <v>176.64895673515403</v>
      </c>
    </row>
    <row r="55" spans="1:22" x14ac:dyDescent="0.3">
      <c r="A55" s="32" t="s">
        <v>246</v>
      </c>
      <c r="B55" s="38"/>
      <c r="C55" s="38"/>
      <c r="D55" s="38"/>
      <c r="E55" s="38"/>
      <c r="F55" s="38"/>
      <c r="G55" s="38"/>
      <c r="H55" s="38"/>
      <c r="I55" s="38"/>
      <c r="J55" s="38"/>
      <c r="M55" s="32" t="s">
        <v>246</v>
      </c>
    </row>
    <row r="56" spans="1:22" x14ac:dyDescent="0.3">
      <c r="A56" s="36" t="s">
        <v>255</v>
      </c>
      <c r="B56" s="38" t="str">
        <f>IFERROR('1.3'!B56/'2.2'!B$36,"N/A")</f>
        <v>N/A</v>
      </c>
      <c r="C56" s="38" t="str">
        <f>IFERROR('1.3'!C56/'2.2'!C$36,"N/A")</f>
        <v>N/A</v>
      </c>
      <c r="D56" s="38" t="str">
        <f>IFERROR('1.3'!D56/'2.2'!D$36,"N/A")</f>
        <v>N/A</v>
      </c>
      <c r="E56" s="38">
        <f>IFERROR('1.3'!E56/'2.2'!E$36,"N/A")</f>
        <v>1.6362390593351115</v>
      </c>
      <c r="F56" s="38">
        <f>IFERROR('1.3'!F56/'2.2'!F$36,"N/A")</f>
        <v>2.6385717911155688</v>
      </c>
      <c r="G56" s="38">
        <f>IFERROR('1.3'!G56/'2.2'!G$36,"N/A")</f>
        <v>1.9239235739169065</v>
      </c>
      <c r="H56" s="38">
        <f>IFERROR('1.3'!H56/'2.2'!H$36,"N/A")</f>
        <v>1.02045447285229</v>
      </c>
      <c r="I56" s="38" t="str">
        <f>IFERROR('1.3'!I56/'2.2'!I$36,"N/A")</f>
        <v>N/A</v>
      </c>
      <c r="J56" s="38">
        <f>IFERROR('1.3'!J56/'2.2'!J$36,"N/A")</f>
        <v>7.4660316707885803</v>
      </c>
      <c r="M56" s="36" t="s">
        <v>255</v>
      </c>
      <c r="N56" s="32">
        <f>IFERROR('1.3'!B56/'2.2'!B$15,0)</f>
        <v>23.422249937183015</v>
      </c>
      <c r="O56" s="32">
        <f>IFERROR('1.3'!C56/'2.2'!C$15,0)</f>
        <v>31.777645036231604</v>
      </c>
      <c r="P56" s="32">
        <f>IFERROR('1.3'!D56/'2.2'!D$15,0)</f>
        <v>29.429907896428769</v>
      </c>
      <c r="Q56" s="32">
        <f>IFERROR('1.3'!E56/'2.2'!E$15,0)</f>
        <v>24.520836464641249</v>
      </c>
      <c r="R56" s="32">
        <f>IFERROR('1.3'!F56/'2.2'!F$15,0)</f>
        <v>1477.5092177905422</v>
      </c>
      <c r="S56" s="32">
        <f>IFERROR('1.3'!G56/'2.2'!G$15,0)</f>
        <v>26.133712427713412</v>
      </c>
      <c r="T56" s="32">
        <f>IFERROR('1.3'!H56/'2.2'!H$15,0)</f>
        <v>15.604193900883876</v>
      </c>
      <c r="U56" s="32">
        <f>IFERROR('1.3'!I56/'2.2'!I$15,0)</f>
        <v>23.449850626079161</v>
      </c>
      <c r="V56" s="32">
        <f>IFERROR('1.3'!J56/'2.2'!J$15,0)</f>
        <v>23.589483044938387</v>
      </c>
    </row>
    <row r="57" spans="1:22" x14ac:dyDescent="0.3">
      <c r="A57" s="36" t="s">
        <v>256</v>
      </c>
      <c r="B57" s="38" t="str">
        <f>IFERROR('1.3'!B57/'2.2'!B$36,"N/A")</f>
        <v>N/A</v>
      </c>
      <c r="C57" s="38" t="str">
        <f>IFERROR('1.3'!C57/'2.2'!C$36,"N/A")</f>
        <v>N/A</v>
      </c>
      <c r="D57" s="38" t="str">
        <f>IFERROR('1.3'!D57/'2.2'!D$36,"N/A")</f>
        <v>N/A</v>
      </c>
      <c r="E57" s="38">
        <f>IFERROR('1.3'!E57/'2.2'!E$36,"N/A")</f>
        <v>0.14836149966552012</v>
      </c>
      <c r="F57" s="38">
        <f>IFERROR('1.3'!F57/'2.2'!F$36,"N/A")</f>
        <v>0.23924527755993971</v>
      </c>
      <c r="G57" s="38">
        <f>IFERROR('1.3'!G57/'2.2'!G$36,"N/A")</f>
        <v>0.17444650586947055</v>
      </c>
      <c r="H57" s="38">
        <f>IFERROR('1.3'!H57/'2.2'!H$36,"N/A")</f>
        <v>9.2526917181816701E-2</v>
      </c>
      <c r="I57" s="38" t="str">
        <f>IFERROR('1.3'!I57/'2.2'!I$36,"N/A")</f>
        <v>N/A</v>
      </c>
      <c r="J57" s="38">
        <f>IFERROR('1.3'!J57/'2.2'!J$36,"N/A")</f>
        <v>0.67696199336456797</v>
      </c>
      <c r="M57" s="36" t="s">
        <v>256</v>
      </c>
      <c r="N57" s="32">
        <f>IFERROR('1.3'!B57/'2.2'!B$15,0)</f>
        <v>2.1237484256323542</v>
      </c>
      <c r="O57" s="32">
        <f>IFERROR('1.3'!C57/'2.2'!C$15,0)</f>
        <v>2.8813510143986356</v>
      </c>
      <c r="P57" s="32">
        <f>IFERROR('1.3'!D57/'2.2'!D$15,0)</f>
        <v>2.6684763730713925</v>
      </c>
      <c r="Q57" s="32">
        <f>IFERROR('1.3'!E57/'2.2'!E$15,0)</f>
        <v>2.2233597530824336</v>
      </c>
      <c r="R57" s="32">
        <f>IFERROR('1.3'!F57/'2.2'!F$15,0)</f>
        <v>133.96910559640898</v>
      </c>
      <c r="S57" s="32">
        <f>IFERROR('1.3'!G57/'2.2'!G$15,0)</f>
        <v>2.3696028679198777</v>
      </c>
      <c r="T57" s="32">
        <f>IFERROR('1.3'!H57/'2.2'!H$15,0)</f>
        <v>1.4148675861260906</v>
      </c>
      <c r="U57" s="32">
        <f>IFERROR('1.3'!I57/'2.2'!I$15,0)</f>
        <v>2.1262510425776417</v>
      </c>
      <c r="V57" s="32">
        <f>IFERROR('1.3'!J57/'2.2'!J$15,0)</f>
        <v>2.1389118300986878</v>
      </c>
    </row>
    <row r="58" spans="1:22" x14ac:dyDescent="0.3">
      <c r="A58" s="36" t="s">
        <v>257</v>
      </c>
      <c r="B58" s="38" t="str">
        <f>IFERROR('1.3'!B58/'2.2'!B$36,"N/A")</f>
        <v>N/A</v>
      </c>
      <c r="C58" s="38" t="str">
        <f>IFERROR('1.3'!C58/'2.2'!C$36,"N/A")</f>
        <v>N/A</v>
      </c>
      <c r="D58" s="38" t="str">
        <f>IFERROR('1.3'!D58/'2.2'!D$36,"N/A")</f>
        <v>N/A</v>
      </c>
      <c r="E58" s="38">
        <f>IFERROR('1.3'!E58/'2.2'!E$36,"N/A")</f>
        <v>-8.6456498454009115E-2</v>
      </c>
      <c r="F58" s="38">
        <f>IFERROR('1.3'!F58/'2.2'!F$36,"N/A")</f>
        <v>-0.13941830607079689</v>
      </c>
      <c r="G58" s="38">
        <f>IFERROR('1.3'!G58/'2.2'!G$36,"N/A")</f>
        <v>-0.10165733090467206</v>
      </c>
      <c r="H58" s="38">
        <f>IFERROR('1.3'!H58/'2.2'!H$36,"N/A")</f>
        <v>-5.3919334128590631E-2</v>
      </c>
      <c r="I58" s="38" t="str">
        <f>IFERROR('1.3'!I58/'2.2'!I$36,"N/A")</f>
        <v>N/A</v>
      </c>
      <c r="J58" s="38">
        <f>IFERROR('1.3'!J58/'2.2'!J$36,"N/A")</f>
        <v>-0.39449428365645467</v>
      </c>
      <c r="M58" s="36" t="s">
        <v>257</v>
      </c>
      <c r="N58" s="32">
        <f>IFERROR('1.3'!B58/'2.2'!B$15,0)</f>
        <v>-1.237597711612106</v>
      </c>
      <c r="O58" s="32">
        <f>IFERROR('1.3'!C58/'2.2'!C$15,0)</f>
        <v>-1.6790846687545844</v>
      </c>
      <c r="P58" s="32">
        <f>IFERROR('1.3'!D58/'2.2'!D$15,0)</f>
        <v>-1.5550336437898928</v>
      </c>
      <c r="Q58" s="32">
        <f>IFERROR('1.3'!E58/'2.2'!E$15,0)</f>
        <v>-1.2956454301718763</v>
      </c>
      <c r="R58" s="32">
        <f>IFERROR('1.3'!F58/'2.2'!F$15,0)</f>
        <v>-78.069443871850709</v>
      </c>
      <c r="S58" s="32">
        <f>IFERROR('1.3'!G58/'2.2'!G$15,0)</f>
        <v>-1.380867456508615</v>
      </c>
      <c r="T58" s="32">
        <f>IFERROR('1.3'!H58/'2.2'!H$15,0)</f>
        <v>-0.82450297110987447</v>
      </c>
      <c r="U58" s="32">
        <f>IFERROR('1.3'!I58/'2.2'!I$15,0)</f>
        <v>-1.2390560919772884</v>
      </c>
      <c r="V58" s="32">
        <f>IFERROR('1.3'!J58/'2.2'!J$15,0)</f>
        <v>-1.2464340664464579</v>
      </c>
    </row>
    <row r="59" spans="1:22" x14ac:dyDescent="0.3">
      <c r="A59" s="3" t="s">
        <v>728</v>
      </c>
      <c r="B59" s="38" t="str">
        <f>IFERROR('1.3'!B59/'2.2'!B$36,"N/A")</f>
        <v>N/A</v>
      </c>
      <c r="C59" s="38" t="str">
        <f>IFERROR('1.3'!C59/'2.2'!C$36,"N/A")</f>
        <v>N/A</v>
      </c>
      <c r="D59" s="38" t="str">
        <f>IFERROR('1.3'!D59/'2.2'!D$36,"N/A")</f>
        <v>N/A</v>
      </c>
      <c r="E59" s="38">
        <f>IFERROR('1.3'!E59/'2.2'!E$36,"N/A")</f>
        <v>-5.4176337939956954E-3</v>
      </c>
      <c r="F59" s="38">
        <f>IFERROR('1.3'!F59/'2.2'!F$36,"N/A")</f>
        <v>-8.7363858122542215E-3</v>
      </c>
      <c r="G59" s="38">
        <f>IFERROR('1.3'!G59/'2.2'!G$36,"N/A")</f>
        <v>-6.370165356737457E-3</v>
      </c>
      <c r="H59" s="38">
        <f>IFERROR('1.3'!H59/'2.2'!H$36,"N/A")</f>
        <v>-3.378753615382537E-3</v>
      </c>
      <c r="I59" s="38" t="str">
        <f>IFERROR('1.3'!I59/'2.2'!I$36,"N/A")</f>
        <v>N/A</v>
      </c>
      <c r="J59" s="38">
        <f>IFERROR('1.3'!J59/'2.2'!J$36,"N/A")</f>
        <v>-2.4720241981720303E-2</v>
      </c>
      <c r="M59" s="36"/>
    </row>
    <row r="60" spans="1:22" x14ac:dyDescent="0.3">
      <c r="A60" s="36" t="s">
        <v>258</v>
      </c>
      <c r="B60" s="38" t="str">
        <f>IFERROR('1.3'!B60/'2.2'!B$36,"N/A")</f>
        <v>N/A</v>
      </c>
      <c r="C60" s="38" t="str">
        <f>IFERROR('1.3'!C60/'2.2'!C$36,"N/A")</f>
        <v>N/A</v>
      </c>
      <c r="D60" s="38" t="str">
        <f>IFERROR('1.3'!D60/'2.2'!D$36,"N/A")</f>
        <v>N/A</v>
      </c>
      <c r="E60" s="38">
        <f>IFERROR('1.3'!E60/'2.2'!E$36,"N/A")</f>
        <v>2.762313977402378E-3</v>
      </c>
      <c r="F60" s="38">
        <f>IFERROR('1.3'!F60/'2.2'!F$36,"N/A")</f>
        <v>4.454461404887795E-3</v>
      </c>
      <c r="G60" s="38">
        <f>IFERROR('1.3'!G60/'2.2'!G$36,"N/A")</f>
        <v>3.2479856469409536E-3</v>
      </c>
      <c r="H60" s="38">
        <f>IFERROR('1.3'!H60/'2.2'!H$36,"N/A")</f>
        <v>1.7227407190781076E-3</v>
      </c>
      <c r="I60" s="38" t="str">
        <f>IFERROR('1.3'!I60/'2.2'!I$36,"N/A")</f>
        <v>N/A</v>
      </c>
      <c r="J60" s="38">
        <f>IFERROR('1.3'!J60/'2.2'!J$36,"N/A")</f>
        <v>1.2604224011330305E-2</v>
      </c>
      <c r="M60" s="36" t="s">
        <v>258</v>
      </c>
      <c r="N60" s="32">
        <f>IFERROR('1.3'!B60/'2.2'!B$15,0)</f>
        <v>3.954165989044621E-2</v>
      </c>
      <c r="O60" s="32">
        <f>IFERROR('1.3'!C60/'2.2'!C$15,0)</f>
        <v>5.3647315501796751E-2</v>
      </c>
      <c r="P60" s="32">
        <f>IFERROR('1.3'!D60/'2.2'!D$15,0)</f>
        <v>4.9683843856535258E-2</v>
      </c>
      <c r="Q60" s="32">
        <f>IFERROR('1.3'!E60/'2.2'!E$15,0)</f>
        <v>4.1396303869802718E-2</v>
      </c>
      <c r="R60" s="32">
        <f>IFERROR('1.3'!F60/'2.2'!F$15,0)</f>
        <v>2.4943447846197553</v>
      </c>
      <c r="S60" s="32">
        <f>IFERROR('1.3'!G60/'2.2'!G$15,0)</f>
        <v>4.4119176051096921E-2</v>
      </c>
      <c r="T60" s="32">
        <f>IFERROR('1.3'!H60/'2.2'!H$15,0)</f>
        <v>2.634314507564911E-2</v>
      </c>
      <c r="U60" s="32">
        <f>IFERROR('1.3'!I60/'2.2'!I$15,0)</f>
        <v>3.9588255629796627E-2</v>
      </c>
      <c r="V60" s="32">
        <f>IFERROR('1.3'!J60/'2.2'!J$15,0)</f>
        <v>3.9823984376224475E-2</v>
      </c>
    </row>
    <row r="61" spans="1:22" x14ac:dyDescent="0.3">
      <c r="A61" s="36" t="s">
        <v>259</v>
      </c>
      <c r="B61" s="38" t="str">
        <f>IFERROR('1.3'!B61/'2.2'!B$36,"N/A")</f>
        <v>N/A</v>
      </c>
      <c r="C61" s="38" t="str">
        <f>IFERROR('1.3'!C61/'2.2'!C$36,"N/A")</f>
        <v>N/A</v>
      </c>
      <c r="D61" s="38" t="str">
        <f>IFERROR('1.3'!D61/'2.2'!D$36,"N/A")</f>
        <v>N/A</v>
      </c>
      <c r="E61" s="38">
        <f>IFERROR('1.3'!E61/'2.2'!E$36,"N/A")</f>
        <v>1.695488740730029</v>
      </c>
      <c r="F61" s="38">
        <f>IFERROR('1.3'!F61/'2.2'!F$36,"N/A")</f>
        <v>2.7341168381973451</v>
      </c>
      <c r="G61" s="38">
        <f>IFERROR('1.3'!G61/'2.2'!G$36,"N/A")</f>
        <v>1.9935905691719089</v>
      </c>
      <c r="H61" s="38">
        <f>IFERROR('1.3'!H61/'2.2'!H$36,"N/A")</f>
        <v>1.0574060430092116</v>
      </c>
      <c r="I61" s="38" t="str">
        <f>IFERROR('1.3'!I61/'2.2'!I$36,"N/A")</f>
        <v>N/A</v>
      </c>
      <c r="J61" s="38">
        <f>IFERROR('1.3'!J61/'2.2'!J$36,"N/A")</f>
        <v>7.7363833625263032</v>
      </c>
      <c r="M61" s="36" t="s">
        <v>259</v>
      </c>
      <c r="N61" s="32">
        <f t="shared" ref="N61:V61" si="13">SUBTOTAL(9,N55:N60)</f>
        <v>24.347942311093707</v>
      </c>
      <c r="O61" s="32">
        <f t="shared" si="13"/>
        <v>33.033558697377451</v>
      </c>
      <c r="P61" s="32">
        <f t="shared" si="13"/>
        <v>30.593034469566799</v>
      </c>
      <c r="Q61" s="32">
        <f t="shared" si="13"/>
        <v>25.489947091421609</v>
      </c>
      <c r="R61" s="32">
        <f t="shared" si="13"/>
        <v>1535.90322429972</v>
      </c>
      <c r="S61" s="32">
        <f t="shared" si="13"/>
        <v>27.166567015175772</v>
      </c>
      <c r="T61" s="32">
        <f t="shared" si="13"/>
        <v>16.220901660975741</v>
      </c>
      <c r="U61" s="32">
        <f t="shared" si="13"/>
        <v>24.376633832309313</v>
      </c>
      <c r="V61" s="32">
        <f t="shared" si="13"/>
        <v>24.521784792966841</v>
      </c>
    </row>
    <row r="62" spans="1:22" x14ac:dyDescent="0.3">
      <c r="A62" s="32" t="s">
        <v>260</v>
      </c>
      <c r="B62" s="38" t="str">
        <f>IFERROR('1.3'!B62/'2.2'!B$36,"N/A")</f>
        <v>N/A</v>
      </c>
      <c r="C62" s="38" t="str">
        <f>IFERROR('1.3'!C62/'2.2'!C$36,"N/A")</f>
        <v>N/A</v>
      </c>
      <c r="D62" s="38" t="str">
        <f>IFERROR('1.3'!D62/'2.2'!D$36,"N/A")</f>
        <v>N/A</v>
      </c>
      <c r="E62" s="38">
        <f>IFERROR('1.3'!E62/'2.2'!E$36,"N/A")</f>
        <v>2.8596129577809482</v>
      </c>
      <c r="F62" s="38">
        <f>IFERROR('1.3'!F62/'2.2'!F$36,"N/A")</f>
        <v>4.6113641163018135</v>
      </c>
      <c r="G62" s="38">
        <f>IFERROR('1.3'!G62/'2.2'!G$36,"N/A")</f>
        <v>3.3623917913245718</v>
      </c>
      <c r="H62" s="38">
        <f>IFERROR('1.3'!H62/'2.2'!H$36,"N/A")</f>
        <v>1.7834220597201194</v>
      </c>
      <c r="I62" s="38" t="str">
        <f>IFERROR('1.3'!I62/'2.2'!I$36,"N/A")</f>
        <v>N/A</v>
      </c>
      <c r="J62" s="38">
        <f>IFERROR('1.3'!J62/'2.2'!J$36,"N/A")</f>
        <v>13.048191697407319</v>
      </c>
      <c r="M62" s="32" t="s">
        <v>260</v>
      </c>
      <c r="N62" s="32">
        <f t="shared" ref="N62:V62" si="14">SUBTOTAL(9,N39:N61)</f>
        <v>200.36986246412414</v>
      </c>
      <c r="O62" s="32">
        <f t="shared" si="14"/>
        <v>240.36299357888961</v>
      </c>
      <c r="P62" s="32">
        <f t="shared" si="14"/>
        <v>229.12508639165389</v>
      </c>
      <c r="Q62" s="32">
        <f t="shared" si="14"/>
        <v>205.03711620491853</v>
      </c>
      <c r="R62" s="32">
        <f t="shared" si="14"/>
        <v>7160.5137755572068</v>
      </c>
      <c r="S62" s="32">
        <f t="shared" si="14"/>
        <v>213.34824627204196</v>
      </c>
      <c r="T62" s="32">
        <f t="shared" si="14"/>
        <v>113.73146684504403</v>
      </c>
      <c r="U62" s="32">
        <f t="shared" si="14"/>
        <v>200.50744094611397</v>
      </c>
      <c r="V62" s="32">
        <f t="shared" si="14"/>
        <v>201.17074152812089</v>
      </c>
    </row>
    <row r="63" spans="1:22" x14ac:dyDescent="0.3">
      <c r="A63" s="32" t="s">
        <v>261</v>
      </c>
      <c r="B63" s="38" t="str">
        <f>IFERROR('1.3'!B63/'2.2'!B$36,"N/A")</f>
        <v>N/A</v>
      </c>
      <c r="C63" s="38" t="str">
        <f>IFERROR('1.3'!C63/'2.2'!C$36,"N/A")</f>
        <v>N/A</v>
      </c>
      <c r="D63" s="38" t="str">
        <f>IFERROR('1.3'!D63/'2.2'!D$36,"N/A")</f>
        <v>N/A</v>
      </c>
      <c r="E63" s="38">
        <f>IFERROR('1.3'!E63/'2.2'!E$36,"N/A")</f>
        <v>0.89078987489723471</v>
      </c>
      <c r="F63" s="38">
        <f>IFERROR('1.3'!F63/'2.2'!F$36,"N/A")</f>
        <v>1.4364728810900684</v>
      </c>
      <c r="G63" s="38">
        <f>IFERROR('1.3'!G63/'2.2'!G$36,"N/A")</f>
        <v>1.0474090750636968</v>
      </c>
      <c r="H63" s="38">
        <f>IFERROR('1.3'!H63/'2.2'!H$36,"N/A")</f>
        <v>0.55554871827824059</v>
      </c>
      <c r="I63" s="38" t="str">
        <f>IFERROR('1.3'!I63/'2.2'!I$36,"N/A")</f>
        <v>N/A</v>
      </c>
      <c r="J63" s="38">
        <f>IFERROR('1.3'!J63/'2.2'!J$36,"N/A")</f>
        <v>4.064604973250705</v>
      </c>
      <c r="M63" s="32" t="s">
        <v>261</v>
      </c>
      <c r="N63" s="32">
        <f>IFERROR('1.3'!B63/'2.2'!B$15,0)</f>
        <v>12.751378212321413</v>
      </c>
      <c r="O63" s="32">
        <f>IFERROR('1.3'!C63/'2.2'!C$15,0)</f>
        <v>17.300164230192724</v>
      </c>
      <c r="P63" s="32">
        <f>IFERROR('1.3'!D63/'2.2'!D$15,0)</f>
        <v>16.022025524772516</v>
      </c>
      <c r="Q63" s="32">
        <f>IFERROR('1.3'!E63/'2.2'!E$15,0)</f>
        <v>13.349463039703524</v>
      </c>
      <c r="R63" s="32">
        <f>IFERROR('1.3'!F63/'2.2'!F$15,0)</f>
        <v>804.37527986281452</v>
      </c>
      <c r="S63" s="32">
        <f>IFERROR('1.3'!G63/'2.2'!G$15,0)</f>
        <v>14.227533740419855</v>
      </c>
      <c r="T63" s="32">
        <f>IFERROR('1.3'!H63/'2.2'!H$15,0)</f>
        <v>8.4951265852856839</v>
      </c>
      <c r="U63" s="32">
        <f>IFERROR('1.3'!I63/'2.2'!I$15,0)</f>
        <v>12.766404387175633</v>
      </c>
      <c r="V63" s="32">
        <f>IFERROR('1.3'!J63/'2.2'!J$15,0)</f>
        <v>12.842422096334676</v>
      </c>
    </row>
    <row r="64" spans="1:22" x14ac:dyDescent="0.3">
      <c r="A64" s="1" t="s">
        <v>606</v>
      </c>
      <c r="B64" s="38" t="str">
        <f>IFERROR('1.3'!B64/'2.2'!B$36,"N/A")</f>
        <v>N/A</v>
      </c>
      <c r="C64" s="38" t="str">
        <f>IFERROR('1.3'!C64/'2.2'!C$36,"N/A")</f>
        <v>N/A</v>
      </c>
      <c r="D64" s="38" t="str">
        <f>IFERROR('1.3'!D64/'2.2'!D$36,"N/A")</f>
        <v>N/A</v>
      </c>
      <c r="E64" s="38">
        <f>IFERROR('1.3'!E64/'2.2'!E$36,"N/A")</f>
        <v>1.968823082883713</v>
      </c>
      <c r="F64" s="38">
        <f>IFERROR('1.3'!F64/'2.2'!F$36,"N/A")</f>
        <v>3.1748912352117453</v>
      </c>
      <c r="G64" s="38">
        <f>IFERROR('1.3'!G64/'2.2'!G$36,"N/A")</f>
        <v>2.3149827162608756</v>
      </c>
      <c r="H64" s="38">
        <f>IFERROR('1.3'!H64/'2.2'!H$36,"N/A")</f>
        <v>1.2278733414418788</v>
      </c>
      <c r="I64" s="38" t="str">
        <f>IFERROR('1.3'!I64/'2.2'!I$36,"N/A")</f>
        <v>N/A</v>
      </c>
      <c r="J64" s="38">
        <f>IFERROR('1.3'!J64/'2.2'!J$36,"N/A")</f>
        <v>8.9835867241566127</v>
      </c>
      <c r="M64" s="1" t="s">
        <v>606</v>
      </c>
      <c r="N64" s="32">
        <f>IFERROR('1.3'!B64/'2.2'!B$15,0)</f>
        <v>28.183086124429842</v>
      </c>
      <c r="O64" s="32">
        <f>IFERROR('1.3'!C64/'2.2'!C$15,0)</f>
        <v>38.2368094136813</v>
      </c>
      <c r="P64" s="32">
        <f>IFERROR('1.3'!D64/'2.2'!D$15,0)</f>
        <v>35.411868249359344</v>
      </c>
      <c r="Q64" s="32">
        <f>IFERROR('1.3'!E64/'2.2'!E$15,0)</f>
        <v>29.504972740853571</v>
      </c>
      <c r="R64" s="32">
        <f>IFERROR('1.3'!F64/'2.2'!F$15,0)</f>
        <v>1777.8296127104666</v>
      </c>
      <c r="S64" s="32">
        <f>IFERROR('1.3'!G64/'2.2'!G$15,0)</f>
        <v>31.445683914937838</v>
      </c>
      <c r="T64" s="32">
        <f>IFERROR('1.3'!H64/'2.2'!H$15,0)</f>
        <v>18.775922116379085</v>
      </c>
      <c r="U64" s="32">
        <f>IFERROR('1.3'!I64/'2.2'!I$15,0)</f>
        <v>28.216296964308157</v>
      </c>
      <c r="V64" s="32">
        <f>IFERROR('1.3'!J64/'2.2'!J$15,0)</f>
        <v>28.384311245473555</v>
      </c>
    </row>
    <row r="65" spans="1:22" x14ac:dyDescent="0.3">
      <c r="A65" s="1" t="s">
        <v>629</v>
      </c>
      <c r="B65" s="38" t="str">
        <f>IFERROR('1.3'!B65/'2.2'!B$36,"N/A")</f>
        <v>N/A</v>
      </c>
      <c r="C65" s="38" t="str">
        <f>IFERROR('1.3'!C65/'2.2'!C$36,"N/A")</f>
        <v>N/A</v>
      </c>
      <c r="D65" s="38" t="str">
        <f>IFERROR('1.3'!D65/'2.2'!D$36,"N/A")</f>
        <v>N/A</v>
      </c>
      <c r="E65" s="38">
        <f>IFERROR('1.3'!E65/'2.2'!E$36,"N/A")</f>
        <v>16.799012877528547</v>
      </c>
      <c r="F65" s="38">
        <f>IFERROR('1.3'!F65/'2.2'!F$36,"N/A")</f>
        <v>17.397085282781994</v>
      </c>
      <c r="G65" s="38">
        <f>IFERROR('1.3'!G65/'2.2'!G$36,"N/A")</f>
        <v>19.352540118584553</v>
      </c>
      <c r="H65" s="38">
        <f>IFERROR('1.3'!H65/'2.2'!H$36,"N/A")</f>
        <v>9.4753889838626009</v>
      </c>
      <c r="I65" s="38" t="str">
        <f>IFERROR('1.3'!I65/'2.2'!I$36,"N/A")</f>
        <v>N/A</v>
      </c>
      <c r="J65" s="38">
        <f>IFERROR('1.3'!J65/'2.2'!J$36,"N/A")</f>
        <v>77.941076384523896</v>
      </c>
      <c r="M65" s="1" t="s">
        <v>629</v>
      </c>
      <c r="N65" s="32">
        <f>SUBTOTAL(9,N39:N64)</f>
        <v>241.3043268008754</v>
      </c>
      <c r="O65" s="32">
        <f>IFERROR('1.3'!C65/'2.2'!C$15,0)</f>
        <v>299.73601607655451</v>
      </c>
      <c r="P65" s="32">
        <f>IFERROR('1.3'!D65/'2.2'!D$15,0)</f>
        <v>284.4028024436343</v>
      </c>
      <c r="Q65" s="32">
        <f>IFERROR('1.3'!E65/'2.2'!E$15,0)</f>
        <v>251.75162833765054</v>
      </c>
      <c r="R65" s="32">
        <f>IFERROR('1.3'!F65/'2.2'!F$15,0)</f>
        <v>9741.7678588654053</v>
      </c>
      <c r="S65" s="32">
        <f>IFERROR('1.3'!G65/'2.2'!G$15,0)</f>
        <v>262.87620000165288</v>
      </c>
      <c r="T65" s="32">
        <f>IFERROR('1.3'!H65/'2.2'!H$15,0)</f>
        <v>144.89211515455145</v>
      </c>
      <c r="U65" s="32">
        <f>IFERROR('1.3'!I65/'2.2'!I$15,0)</f>
        <v>245.35376471416876</v>
      </c>
      <c r="V65" s="32">
        <f>IFERROR('1.3'!J65/'2.2'!J$15,0)</f>
        <v>246.26063495961276</v>
      </c>
    </row>
    <row r="66" spans="1:22" x14ac:dyDescent="0.3">
      <c r="A66" s="1" t="s">
        <v>632</v>
      </c>
      <c r="B66" s="38" t="str">
        <f>IFERROR('1.3'!B66/'2.2'!B$36,"N/A")</f>
        <v>N/A</v>
      </c>
      <c r="C66" s="38" t="str">
        <f>IFERROR('1.3'!C66/'2.2'!C$36,"N/A")</f>
        <v>N/A</v>
      </c>
      <c r="D66" s="38" t="str">
        <f>IFERROR('1.3'!D66/'2.2'!D$36,"N/A")</f>
        <v>N/A</v>
      </c>
      <c r="E66" s="38">
        <f>IFERROR('1.3'!E66/'2.2'!E$36,"N/A")</f>
        <v>-0.50734553992192877</v>
      </c>
      <c r="F66" s="38">
        <f>IFERROR('1.3'!F66/'2.2'!F$36,"N/A")</f>
        <v>-1.3838451100660398E-2</v>
      </c>
      <c r="G66" s="38">
        <f>IFERROR('1.3'!G66/'2.2'!G$36,"N/A")</f>
        <v>-0.55974107399601525</v>
      </c>
      <c r="H66" s="38">
        <f>IFERROR('1.3'!H66/'2.2'!H$36,"N/A")</f>
        <v>-0.49722677296445394</v>
      </c>
      <c r="I66" s="38" t="str">
        <f>IFERROR('1.3'!I66/'2.2'!I$36,"N/A")</f>
        <v>N/A</v>
      </c>
      <c r="J66" s="38">
        <f>IFERROR('1.3'!J66/'2.2'!J$36,"N/A")</f>
        <v>-2.4069035800335925</v>
      </c>
      <c r="M66" s="1" t="s">
        <v>632</v>
      </c>
      <c r="N66" s="32">
        <f>IFERROR('1.3'!B66/'2.2'!B$15,0)</f>
        <v>-7.6031382714511908</v>
      </c>
      <c r="O66" s="32">
        <f>IFERROR('1.3'!C66/'2.2'!C$15,0)</f>
        <v>-7.6035585601346156</v>
      </c>
      <c r="P66" s="32">
        <f>IFERROR('1.3'!D66/'2.2'!D$15,0)</f>
        <v>-7.6033082359201813</v>
      </c>
      <c r="Q66" s="32">
        <f>IFERROR('1.3'!E66/'2.2'!E$15,0)</f>
        <v>-7.6031292276728601</v>
      </c>
      <c r="R66" s="32">
        <f>IFERROR('1.3'!F66/'2.2'!F$15,0)</f>
        <v>-7.7490554284008342</v>
      </c>
      <c r="S66" s="32">
        <f>IFERROR('1.3'!G66/'2.2'!G$15,0)</f>
        <v>-7.6032709719388762</v>
      </c>
      <c r="T66" s="32">
        <f>IFERROR('1.3'!H66/'2.2'!H$15,0)</f>
        <v>-7.6033014548520566</v>
      </c>
      <c r="U66" s="32">
        <f>IFERROR('1.3'!I66/'2.2'!I$15,0)</f>
        <v>-7.6046182349544065</v>
      </c>
      <c r="V66" s="32">
        <f>IFERROR('1.3'!J66/'2.2'!J$15,0)</f>
        <v>-7.6047910986167766</v>
      </c>
    </row>
    <row r="67" spans="1:22" x14ac:dyDescent="0.3">
      <c r="A67" s="1" t="s">
        <v>631</v>
      </c>
      <c r="B67" s="38" t="str">
        <f>IFERROR('1.3'!B67/'2.2'!B$36,"N/A")</f>
        <v>N/A</v>
      </c>
      <c r="C67" s="38" t="str">
        <f>IFERROR('1.3'!C67/'2.2'!C$36,"N/A")</f>
        <v>N/A</v>
      </c>
      <c r="D67" s="38" t="str">
        <f>IFERROR('1.3'!D67/'2.2'!D$36,"N/A")</f>
        <v>N/A</v>
      </c>
      <c r="E67" s="38">
        <f>IFERROR('1.3'!E67/'2.2'!E$36,"N/A")</f>
        <v>-0.2112520930581562</v>
      </c>
      <c r="F67" s="38">
        <f>IFERROR('1.3'!F67/'2.2'!F$36,"N/A")</f>
        <v>-0.42348911204550155</v>
      </c>
      <c r="G67" s="38">
        <f>IFERROR('1.3'!G67/'2.2'!G$36,"N/A")</f>
        <v>-0.25217629080170467</v>
      </c>
      <c r="H67" s="38">
        <f>IFERROR('1.3'!H67/'2.2'!H$36,"N/A")</f>
        <v>-0.12339114716239709</v>
      </c>
      <c r="I67" s="38" t="str">
        <f>IFERROR('1.3'!I67/'2.2'!I$36,"N/A")</f>
        <v>N/A</v>
      </c>
      <c r="J67" s="38">
        <f>IFERROR('1.3'!J67/'2.2'!J$36,"N/A")</f>
        <v>-0.95457185407350031</v>
      </c>
      <c r="M67" s="1" t="s">
        <v>631</v>
      </c>
      <c r="N67" s="32">
        <f>IFERROR('1.3'!B67/'2.2'!B$15,0)</f>
        <v>-2.9888222540481904</v>
      </c>
      <c r="O67" s="32">
        <f>IFERROR('1.3'!C67/'2.2'!C$15,0)</f>
        <v>-4.3342824814734904</v>
      </c>
      <c r="P67" s="32">
        <f>IFERROR('1.3'!D67/'2.2'!D$15,0)</f>
        <v>-3.956244930936399</v>
      </c>
      <c r="Q67" s="32">
        <f>IFERROR('1.3'!E67/'2.2'!E$15,0)</f>
        <v>-3.1658442555436594</v>
      </c>
      <c r="R67" s="32">
        <f>IFERROR('1.3'!F67/'2.2'!F$15,0)</f>
        <v>-237.1392996726517</v>
      </c>
      <c r="S67" s="32">
        <f>IFERROR('1.3'!G67/'2.2'!G$15,0)</f>
        <v>-3.4254493027922179</v>
      </c>
      <c r="T67" s="32">
        <f>IFERROR('1.3'!H67/'2.2'!H$15,0)</f>
        <v>-1.8868253677136311</v>
      </c>
      <c r="U67" s="32">
        <f>IFERROR('1.3'!I67/'2.2'!I$15,0)</f>
        <v>-2.9930513747393026</v>
      </c>
      <c r="V67" s="32">
        <f>IFERROR('1.3'!J67/'2.2'!J$15,0)</f>
        <v>-3.0160408580832936</v>
      </c>
    </row>
    <row r="68" spans="1:22" x14ac:dyDescent="0.3">
      <c r="A68" s="1" t="s">
        <v>630</v>
      </c>
      <c r="B68" s="38" t="str">
        <f>IFERROR('1.3'!B68/'2.2'!B$36,"N/A")</f>
        <v>N/A</v>
      </c>
      <c r="C68" s="38" t="str">
        <f>IFERROR('1.3'!C68/'2.2'!C$36,"N/A")</f>
        <v>N/A</v>
      </c>
      <c r="D68" s="38" t="str">
        <f>IFERROR('1.3'!D68/'2.2'!D$36,"N/A")</f>
        <v>N/A</v>
      </c>
      <c r="E68" s="38">
        <f>IFERROR('1.3'!E68/'2.2'!E$36,"N/A")</f>
        <v>16.080415244548462</v>
      </c>
      <c r="F68" s="38">
        <f>IFERROR('1.3'!F68/'2.2'!F$36,"N/A")</f>
        <v>16.959757719635832</v>
      </c>
      <c r="G68" s="38">
        <f>IFERROR('1.3'!G68/'2.2'!G$36,"N/A")</f>
        <v>18.540622753786835</v>
      </c>
      <c r="H68" s="38">
        <f>IFERROR('1.3'!H68/'2.2'!H$36,"N/A")</f>
        <v>8.8547710637357504</v>
      </c>
      <c r="I68" s="38" t="str">
        <f>IFERROR('1.3'!I68/'2.2'!I$36,"N/A")</f>
        <v>N/A</v>
      </c>
      <c r="J68" s="38">
        <f>IFERROR('1.3'!J68/'2.2'!J$36,"N/A")</f>
        <v>74.579600950416818</v>
      </c>
      <c r="M68" s="1" t="s">
        <v>630</v>
      </c>
      <c r="N68" s="32">
        <f>SUM(N65:N67)</f>
        <v>230.71236627537601</v>
      </c>
      <c r="O68" s="32">
        <f t="shared" ref="O68:V68" si="15">SUM(O65:O67)</f>
        <v>287.79817503494638</v>
      </c>
      <c r="P68" s="32">
        <f t="shared" si="15"/>
        <v>272.84324927677773</v>
      </c>
      <c r="Q68" s="32">
        <f t="shared" si="15"/>
        <v>240.98265485443403</v>
      </c>
      <c r="R68" s="32">
        <f t="shared" si="15"/>
        <v>9496.8795037643522</v>
      </c>
      <c r="S68" s="32">
        <f t="shared" si="15"/>
        <v>251.84747972692176</v>
      </c>
      <c r="T68" s="32">
        <f t="shared" si="15"/>
        <v>135.40198833198576</v>
      </c>
      <c r="U68" s="32">
        <f t="shared" si="15"/>
        <v>234.75609510447504</v>
      </c>
      <c r="V68" s="32">
        <f t="shared" si="15"/>
        <v>235.63980300291269</v>
      </c>
    </row>
    <row r="70" spans="1:22" x14ac:dyDescent="0.3">
      <c r="A70" s="32" t="s">
        <v>548</v>
      </c>
    </row>
    <row r="71" spans="1:22" s="35" customFormat="1" ht="40.5" x14ac:dyDescent="0.25">
      <c r="B71" s="17" t="str">
        <f t="array" ref="B71:J71">TRANSPOSE(List_Classes)</f>
        <v>Residential</v>
      </c>
      <c r="C71" s="17" t="str">
        <v>Residential (S)</v>
      </c>
      <c r="D71" s="17" t="str">
        <v>Farm</v>
      </c>
      <c r="E71" s="17" t="str">
        <v>General Service 1</v>
      </c>
      <c r="F71" s="17" t="str">
        <v>General Service 1 (S)</v>
      </c>
      <c r="G71" s="17" t="str">
        <v>Small Industrial</v>
      </c>
      <c r="H71" s="17" t="str">
        <v>Large Industrial</v>
      </c>
      <c r="I71" s="17" t="str">
        <v>Lights</v>
      </c>
      <c r="J71" s="17" t="str">
        <v>Unmetered</v>
      </c>
      <c r="K71" s="34" t="s">
        <v>214</v>
      </c>
    </row>
    <row r="72" spans="1:22" x14ac:dyDescent="0.3">
      <c r="A72" s="32" t="s">
        <v>262</v>
      </c>
    </row>
    <row r="73" spans="1:22" x14ac:dyDescent="0.3">
      <c r="A73" s="36" t="s">
        <v>247</v>
      </c>
      <c r="B73" s="75">
        <f>IFERROR(100*'1.3'!B73/'2.2'!B$38,0)</f>
        <v>8572.1226706894668</v>
      </c>
      <c r="C73" s="75">
        <f>IFERROR(100*'1.3'!C73/'2.2'!C$38,0)</f>
        <v>8568.7878182645363</v>
      </c>
      <c r="D73" s="75">
        <f>IFERROR(100*'1.3'!D73/'2.2'!D$38,0)</f>
        <v>8565.0641852416829</v>
      </c>
      <c r="E73" s="75">
        <f>IFERROR(100*'1.3'!E73/'2.2'!E$38,0)</f>
        <v>8499.3715647905683</v>
      </c>
      <c r="F73" s="75">
        <f>IFERROR(100*'1.3'!F73/'2.2'!F$38,0)</f>
        <v>8540.9940559448478</v>
      </c>
      <c r="G73" s="75">
        <f>IFERROR(100*'1.3'!G73/'2.2'!G$38,0)</f>
        <v>8530.0120669312728</v>
      </c>
      <c r="H73" s="75">
        <f>IFERROR(100*'1.3'!H73/'2.2'!H$38,0)</f>
        <v>8171.9389859418961</v>
      </c>
      <c r="I73" s="75">
        <f>IFERROR(100*'1.3'!I73/'2.2'!I$38,0)</f>
        <v>8537.7179805983906</v>
      </c>
      <c r="J73" s="75">
        <f>IFERROR(100*'1.3'!J73/'2.2'!J$38,0)</f>
        <v>8537.2577262598134</v>
      </c>
      <c r="K73" s="75">
        <f>IFERROR(100*'1.3'!K73/'2.2'!K$38,0)</f>
        <v>8503.5249170873067</v>
      </c>
    </row>
    <row r="74" spans="1:22" x14ac:dyDescent="0.3">
      <c r="A74" s="36" t="s">
        <v>248</v>
      </c>
      <c r="B74" s="75">
        <f>IFERROR(100*'1.3'!B74/'2.2'!B$38,0)</f>
        <v>-496.25073699095987</v>
      </c>
      <c r="C74" s="75">
        <f>IFERROR(100*'1.3'!C74/'2.2'!C$38,0)</f>
        <v>-496.05767827759286</v>
      </c>
      <c r="D74" s="75">
        <f>IFERROR(100*'1.3'!D74/'2.2'!D$38,0)</f>
        <v>-495.8421125766734</v>
      </c>
      <c r="E74" s="75">
        <f>IFERROR(100*'1.3'!E74/'2.2'!E$38,0)</f>
        <v>-492.03908588583965</v>
      </c>
      <c r="F74" s="75">
        <f>IFERROR(100*'1.3'!F74/'2.2'!F$38,0)</f>
        <v>-494.44866315207923</v>
      </c>
      <c r="G74" s="75">
        <f>IFERROR(100*'1.3'!G74/'2.2'!G$38,0)</f>
        <v>-493.81290228502513</v>
      </c>
      <c r="H74" s="75">
        <f>IFERROR(100*'1.3'!H74/'2.2'!H$38,0)</f>
        <v>-473.08361070066763</v>
      </c>
      <c r="I74" s="75">
        <f>IFERROR(100*'1.3'!I74/'2.2'!I$38,0)</f>
        <v>-494.25900711616225</v>
      </c>
      <c r="J74" s="75">
        <f>IFERROR(100*'1.3'!J74/'2.2'!J$38,0)</f>
        <v>-494.23236242575166</v>
      </c>
      <c r="K74" s="75">
        <f>IFERROR(100*'1.3'!K74/'2.2'!K$38,0)</f>
        <v>-492.27952856467425</v>
      </c>
    </row>
    <row r="75" spans="1:22" x14ac:dyDescent="0.3">
      <c r="A75" s="36" t="s">
        <v>249</v>
      </c>
      <c r="B75" s="75">
        <f>SUBTOTAL(9,B73:B74)</f>
        <v>8075.8719336985068</v>
      </c>
      <c r="C75" s="75">
        <f t="shared" ref="C75:K75" si="16">SUBTOTAL(9,C73:C74)</f>
        <v>8072.7301399869439</v>
      </c>
      <c r="D75" s="75">
        <f t="shared" si="16"/>
        <v>8069.2220726650094</v>
      </c>
      <c r="E75" s="75">
        <f t="shared" si="16"/>
        <v>8007.3324789047283</v>
      </c>
      <c r="F75" s="75">
        <f t="shared" si="16"/>
        <v>8046.5453927927683</v>
      </c>
      <c r="G75" s="75">
        <f t="shared" si="16"/>
        <v>8036.1991646462475</v>
      </c>
      <c r="H75" s="75">
        <f t="shared" si="16"/>
        <v>7698.8553752412281</v>
      </c>
      <c r="I75" s="75">
        <f t="shared" si="16"/>
        <v>8043.4589734822284</v>
      </c>
      <c r="J75" s="75">
        <f t="shared" si="16"/>
        <v>8043.0253638340619</v>
      </c>
      <c r="K75" s="75">
        <f t="shared" si="16"/>
        <v>8011.2453885226323</v>
      </c>
    </row>
    <row r="76" spans="1:22" x14ac:dyDescent="0.3">
      <c r="A76" s="36" t="s">
        <v>124</v>
      </c>
      <c r="B76" s="75">
        <f>IFERROR(100*'1.3'!B76/'2.2'!B$38,0)</f>
        <v>1.9582639231243208</v>
      </c>
      <c r="C76" s="75">
        <f>IFERROR(100*'1.3'!C76/'2.2'!C$38,0)</f>
        <v>1.9575020906770304</v>
      </c>
      <c r="D76" s="75">
        <f>IFERROR(100*'1.3'!D76/'2.2'!D$38,0)</f>
        <v>1.9566514430029671</v>
      </c>
      <c r="E76" s="75">
        <f>IFERROR(100*'1.3'!E76/'2.2'!E$38,0)</f>
        <v>1.9416442512504755</v>
      </c>
      <c r="F76" s="75">
        <f>IFERROR(100*'1.3'!F76/'2.2'!F$38,0)</f>
        <v>1.951152727266187</v>
      </c>
      <c r="G76" s="75">
        <f>IFERROR(100*'1.3'!G76/'2.2'!G$38,0)</f>
        <v>1.9486439399196218</v>
      </c>
      <c r="H76" s="75">
        <f>IFERROR(100*'1.3'!H76/'2.2'!H$38,0)</f>
        <v>1.8668437110520297</v>
      </c>
      <c r="I76" s="75">
        <f>IFERROR(100*'1.3'!I76/'2.2'!I$38,0)</f>
        <v>1.9504043221853378</v>
      </c>
      <c r="J76" s="75">
        <f>IFERROR(100*'1.3'!J76/'2.2'!J$38,0)</f>
        <v>1.9502991790951929</v>
      </c>
      <c r="K76" s="75">
        <f>IFERROR(100*'1.3'!K76/'2.2'!K$38,0)</f>
        <v>1.942593066412738</v>
      </c>
    </row>
    <row r="77" spans="1:22" x14ac:dyDescent="0.3">
      <c r="A77" s="36" t="s">
        <v>12</v>
      </c>
      <c r="B77" s="75">
        <f>IFERROR(100*'1.3'!B77/'2.2'!B$38,0)</f>
        <v>0</v>
      </c>
      <c r="C77" s="75">
        <f>IFERROR(100*'1.3'!C77/'2.2'!C$38,0)</f>
        <v>0</v>
      </c>
      <c r="D77" s="75">
        <f>IFERROR(100*'1.3'!D77/'2.2'!D$38,0)</f>
        <v>0</v>
      </c>
      <c r="E77" s="75">
        <f>IFERROR(100*'1.3'!E77/'2.2'!E$38,0)</f>
        <v>0</v>
      </c>
      <c r="F77" s="75">
        <f>IFERROR(100*'1.3'!F77/'2.2'!F$38,0)</f>
        <v>0</v>
      </c>
      <c r="G77" s="75">
        <f>IFERROR(100*'1.3'!G77/'2.2'!G$38,0)</f>
        <v>0</v>
      </c>
      <c r="H77" s="75">
        <f>IFERROR(100*'1.3'!H77/'2.2'!H$38,0)</f>
        <v>0</v>
      </c>
      <c r="I77" s="75">
        <f>IFERROR(100*'1.3'!I77/'2.2'!I$38,0)</f>
        <v>0</v>
      </c>
      <c r="J77" s="75">
        <f>IFERROR(100*'1.3'!J77/'2.2'!J$38,0)</f>
        <v>0</v>
      </c>
      <c r="K77" s="75">
        <f>IFERROR(100*'1.3'!K77/'2.2'!K$38,0)</f>
        <v>0</v>
      </c>
    </row>
    <row r="78" spans="1:22" x14ac:dyDescent="0.3">
      <c r="A78" s="36" t="s">
        <v>250</v>
      </c>
      <c r="B78" s="75">
        <f>IFERROR(100*'1.3'!B78/'2.2'!B$38,0)</f>
        <v>0</v>
      </c>
      <c r="C78" s="75">
        <f>IFERROR(100*'1.3'!C78/'2.2'!C$38,0)</f>
        <v>0</v>
      </c>
      <c r="D78" s="75">
        <f>IFERROR(100*'1.3'!D78/'2.2'!D$38,0)</f>
        <v>0</v>
      </c>
      <c r="E78" s="75">
        <f>IFERROR(100*'1.3'!E78/'2.2'!E$38,0)</f>
        <v>0</v>
      </c>
      <c r="F78" s="75">
        <f>IFERROR(100*'1.3'!F78/'2.2'!F$38,0)</f>
        <v>0</v>
      </c>
      <c r="G78" s="75">
        <f>IFERROR(100*'1.3'!G78/'2.2'!G$38,0)</f>
        <v>0</v>
      </c>
      <c r="H78" s="75">
        <f>IFERROR(100*'1.3'!H78/'2.2'!H$38,0)</f>
        <v>0</v>
      </c>
      <c r="I78" s="75">
        <f>IFERROR(100*'1.3'!I78/'2.2'!I$38,0)</f>
        <v>0</v>
      </c>
      <c r="J78" s="75">
        <f>IFERROR(100*'1.3'!J78/'2.2'!J$38,0)</f>
        <v>0</v>
      </c>
      <c r="K78" s="75">
        <f>IFERROR(100*'1.3'!K78/'2.2'!K$38,0)</f>
        <v>0</v>
      </c>
    </row>
    <row r="79" spans="1:22" x14ac:dyDescent="0.3">
      <c r="A79" s="36" t="s">
        <v>251</v>
      </c>
      <c r="B79" s="75">
        <f>IFERROR(100*'1.3'!B79/'2.2'!B$38,0)</f>
        <v>0</v>
      </c>
      <c r="C79" s="75">
        <f>IFERROR(100*'1.3'!C79/'2.2'!C$38,0)</f>
        <v>0</v>
      </c>
      <c r="D79" s="75">
        <f>IFERROR(100*'1.3'!D79/'2.2'!D$38,0)</f>
        <v>0</v>
      </c>
      <c r="E79" s="75">
        <f>IFERROR(100*'1.3'!E79/'2.2'!E$38,0)</f>
        <v>0</v>
      </c>
      <c r="F79" s="75">
        <f>IFERROR(100*'1.3'!F79/'2.2'!F$38,0)</f>
        <v>0</v>
      </c>
      <c r="G79" s="75">
        <f>IFERROR(100*'1.3'!G79/'2.2'!G$38,0)</f>
        <v>0</v>
      </c>
      <c r="H79" s="75">
        <f>IFERROR(100*'1.3'!H79/'2.2'!H$38,0)</f>
        <v>0</v>
      </c>
      <c r="I79" s="75">
        <f>IFERROR(100*'1.3'!I79/'2.2'!I$38,0)</f>
        <v>0</v>
      </c>
      <c r="J79" s="75">
        <f>IFERROR(100*'1.3'!J79/'2.2'!J$38,0)</f>
        <v>0</v>
      </c>
      <c r="K79" s="75">
        <f>IFERROR(100*'1.3'!K79/'2.2'!K$38,0)</f>
        <v>0</v>
      </c>
    </row>
    <row r="80" spans="1:22" x14ac:dyDescent="0.3">
      <c r="A80" s="36" t="s">
        <v>252</v>
      </c>
      <c r="B80" s="75">
        <f>IFERROR(100*'1.3'!B80/'2.2'!B$38,0)</f>
        <v>40.654232519975373</v>
      </c>
      <c r="C80" s="75">
        <f>IFERROR(100*'1.3'!C80/'2.2'!C$38,0)</f>
        <v>40.638416616364196</v>
      </c>
      <c r="D80" s="75">
        <f>IFERROR(100*'1.3'!D80/'2.2'!D$38,0)</f>
        <v>40.620756878100316</v>
      </c>
      <c r="E80" s="75">
        <f>IFERROR(100*'1.3'!E80/'2.2'!E$38,0)</f>
        <v>40.309202416123483</v>
      </c>
      <c r="F80" s="75">
        <f>IFERROR(100*'1.3'!F80/'2.2'!F$38,0)</f>
        <v>40.506601648315133</v>
      </c>
      <c r="G80" s="75">
        <f>IFERROR(100*'1.3'!G80/'2.2'!G$38,0)</f>
        <v>40.454518360191386</v>
      </c>
      <c r="H80" s="75">
        <f>IFERROR(100*'1.3'!H80/'2.2'!H$38,0)</f>
        <v>38.756317476592123</v>
      </c>
      <c r="I80" s="75">
        <f>IFERROR(100*'1.3'!I80/'2.2'!I$38,0)</f>
        <v>40.491064501449138</v>
      </c>
      <c r="J80" s="75">
        <f>IFERROR(100*'1.3'!J80/'2.2'!J$38,0)</f>
        <v>40.488881694737465</v>
      </c>
      <c r="K80" s="75">
        <f>IFERROR(100*'1.3'!K80/'2.2'!K$38,0)</f>
        <v>40.328900145203626</v>
      </c>
    </row>
    <row r="81" spans="1:11" x14ac:dyDescent="0.3">
      <c r="A81" s="36" t="s">
        <v>253</v>
      </c>
      <c r="B81" s="75">
        <f t="shared" ref="B81:K81" si="17">SUBTOTAL(9,B72:B80)</f>
        <v>8118.484430141606</v>
      </c>
      <c r="C81" s="75">
        <f t="shared" si="17"/>
        <v>8115.326058693985</v>
      </c>
      <c r="D81" s="75">
        <f t="shared" si="17"/>
        <v>8111.799480986112</v>
      </c>
      <c r="E81" s="75">
        <f t="shared" si="17"/>
        <v>8049.5833255721018</v>
      </c>
      <c r="F81" s="75">
        <f t="shared" si="17"/>
        <v>8089.0031471683496</v>
      </c>
      <c r="G81" s="75">
        <f t="shared" si="17"/>
        <v>8078.6023269463585</v>
      </c>
      <c r="H81" s="75">
        <f t="shared" si="17"/>
        <v>7739.4785364288718</v>
      </c>
      <c r="I81" s="75">
        <f t="shared" si="17"/>
        <v>8085.9004423058623</v>
      </c>
      <c r="J81" s="75">
        <f t="shared" si="17"/>
        <v>8085.4645447078947</v>
      </c>
      <c r="K81" s="75">
        <f t="shared" si="17"/>
        <v>8053.5168817342492</v>
      </c>
    </row>
    <row r="82" spans="1:11" x14ac:dyDescent="0.3">
      <c r="A82" s="37" t="s">
        <v>138</v>
      </c>
      <c r="B82" s="75"/>
      <c r="C82" s="75"/>
      <c r="D82" s="75"/>
      <c r="E82" s="75"/>
      <c r="F82" s="75"/>
      <c r="G82" s="75"/>
      <c r="H82" s="75"/>
      <c r="I82" s="75"/>
      <c r="J82" s="75"/>
      <c r="K82" s="75"/>
    </row>
    <row r="83" spans="1:11" x14ac:dyDescent="0.3">
      <c r="A83" s="36" t="s">
        <v>479</v>
      </c>
      <c r="B83" s="75">
        <f>IFERROR(100*'1.3'!B83/'2.2'!B$38,0)</f>
        <v>6.7024637562345815</v>
      </c>
      <c r="C83" s="75">
        <f>IFERROR(100*'1.3'!C83/'2.2'!C$38,0)</f>
        <v>6.6998562658416922</v>
      </c>
      <c r="D83" s="75">
        <f>IFERROR(100*'1.3'!D83/'2.2'!D$38,0)</f>
        <v>6.696944791480445</v>
      </c>
      <c r="E83" s="75">
        <f>IFERROR(100*'1.3'!E83/'2.2'!E$38,0)</f>
        <v>6.6455803366609638</v>
      </c>
      <c r="F83" s="75">
        <f>IFERROR(100*'1.3'!F83/'2.2'!F$38,0)</f>
        <v>6.6781245790992632</v>
      </c>
      <c r="G83" s="75">
        <f>IFERROR(100*'1.3'!G83/'2.2'!G$38,0)</f>
        <v>6.6695378630474123</v>
      </c>
      <c r="H83" s="75">
        <f>IFERROR(100*'1.3'!H83/'2.2'!H$38,0)</f>
        <v>6.3895638193230093</v>
      </c>
      <c r="I83" s="75">
        <f>IFERROR(100*'1.3'!I83/'2.2'!I$38,0)</f>
        <v>6.6755630459626216</v>
      </c>
      <c r="J83" s="75">
        <f>IFERROR(100*'1.3'!J83/'2.2'!J$38,0)</f>
        <v>6.6752031773348062</v>
      </c>
      <c r="K83" s="75">
        <f>IFERROR(100*'1.3'!K83/'2.2'!K$38,0)</f>
        <v>6.6488278045642124</v>
      </c>
    </row>
    <row r="84" spans="1:11" x14ac:dyDescent="0.3">
      <c r="A84" s="47" t="s">
        <v>725</v>
      </c>
      <c r="B84" s="75">
        <f>IFERROR(100*'1.3'!B84/'2.2'!B$38,0)</f>
        <v>49.181612654854831</v>
      </c>
      <c r="C84" s="75">
        <f>IFERROR(100*'1.3'!C84/'2.2'!C$38,0)</f>
        <v>49.162479305213814</v>
      </c>
      <c r="D84" s="75">
        <f>IFERROR(100*'1.3'!D84/'2.2'!D$38,0)</f>
        <v>49.141115369578017</v>
      </c>
      <c r="E84" s="75">
        <f>IFERROR(100*'1.3'!E84/'2.2'!E$38,0)</f>
        <v>48.764211172399826</v>
      </c>
      <c r="F84" s="75">
        <f>IFERROR(100*'1.3'!F84/'2.2'!F$38,0)</f>
        <v>49.003015645494855</v>
      </c>
      <c r="G84" s="75">
        <f>IFERROR(100*'1.3'!G84/'2.2'!G$38,0)</f>
        <v>48.940007689286723</v>
      </c>
      <c r="H84" s="75">
        <f>IFERROR(100*'1.3'!H84/'2.2'!H$38,0)</f>
        <v>46.885602701410647</v>
      </c>
      <c r="I84" s="75">
        <f>IFERROR(100*'1.3'!I84/'2.2'!I$38,0)</f>
        <v>48.984219522888189</v>
      </c>
      <c r="J84" s="75">
        <f>IFERROR(100*'1.3'!J84/'2.2'!J$38,0)</f>
        <v>48.981578864153796</v>
      </c>
      <c r="K84" s="75">
        <f>IFERROR(100*'1.3'!K84/'2.2'!K$38,0)</f>
        <v>48.788040575188923</v>
      </c>
    </row>
    <row r="85" spans="1:11" x14ac:dyDescent="0.3">
      <c r="A85" s="36" t="s">
        <v>480</v>
      </c>
      <c r="B85" s="75">
        <f>IFERROR(100*'1.3'!B85/'2.2'!B$38,0)</f>
        <v>61.962446941679126</v>
      </c>
      <c r="C85" s="75">
        <f>IFERROR(100*'1.3'!C85/'2.2'!C$38,0)</f>
        <v>61.938341405118784</v>
      </c>
      <c r="D85" s="75">
        <f>IFERROR(100*'1.3'!D85/'2.2'!D$38,0)</f>
        <v>61.911425619790876</v>
      </c>
      <c r="E85" s="75">
        <f>IFERROR(100*'1.3'!E85/'2.2'!E$38,0)</f>
        <v>61.43657526293817</v>
      </c>
      <c r="F85" s="75">
        <f>IFERROR(100*'1.3'!F85/'2.2'!F$38,0)</f>
        <v>61.73743789624438</v>
      </c>
      <c r="G85" s="75">
        <f>IFERROR(100*'1.3'!G85/'2.2'!G$38,0)</f>
        <v>61.658056051430805</v>
      </c>
      <c r="H85" s="75">
        <f>IFERROR(100*'1.3'!H85/'2.2'!H$38,0)</f>
        <v>59.069772479858514</v>
      </c>
      <c r="I85" s="75">
        <f>IFERROR(100*'1.3'!I85/'2.2'!I$38,0)</f>
        <v>61.713757221966837</v>
      </c>
      <c r="J85" s="75">
        <f>IFERROR(100*'1.3'!J85/'2.2'!J$38,0)</f>
        <v>61.710430334785045</v>
      </c>
      <c r="K85" s="75">
        <f>IFERROR(100*'1.3'!K85/'2.2'!K$38,0)</f>
        <v>61.466597216799933</v>
      </c>
    </row>
    <row r="86" spans="1:11" x14ac:dyDescent="0.3">
      <c r="A86" s="36" t="s">
        <v>254</v>
      </c>
      <c r="B86" s="75">
        <f t="shared" ref="B86:K86" si="18">SUBTOTAL(9,B82:B85)</f>
        <v>117.84652335276854</v>
      </c>
      <c r="C86" s="75">
        <f t="shared" si="18"/>
        <v>117.80067697617429</v>
      </c>
      <c r="D86" s="75">
        <f t="shared" si="18"/>
        <v>117.74948578084934</v>
      </c>
      <c r="E86" s="75">
        <f t="shared" si="18"/>
        <v>116.84636677199896</v>
      </c>
      <c r="F86" s="75">
        <f t="shared" si="18"/>
        <v>117.4185781208385</v>
      </c>
      <c r="G86" s="75">
        <f t="shared" si="18"/>
        <v>117.26760160376494</v>
      </c>
      <c r="H86" s="75">
        <f t="shared" si="18"/>
        <v>112.34493900059218</v>
      </c>
      <c r="I86" s="75">
        <f t="shared" si="18"/>
        <v>117.37353979081765</v>
      </c>
      <c r="J86" s="75">
        <f t="shared" si="18"/>
        <v>117.36721237627364</v>
      </c>
      <c r="K86" s="75">
        <f t="shared" si="18"/>
        <v>116.90346559655308</v>
      </c>
    </row>
    <row r="87" spans="1:11" x14ac:dyDescent="0.3">
      <c r="A87" s="32" t="s">
        <v>263</v>
      </c>
      <c r="B87" s="75">
        <f t="shared" ref="B87:K87" si="19">SUBTOTAL(9,B72:B86)</f>
        <v>8236.3309534943746</v>
      </c>
      <c r="C87" s="75">
        <f t="shared" si="19"/>
        <v>8233.1267356701592</v>
      </c>
      <c r="D87" s="75">
        <f t="shared" si="19"/>
        <v>8229.5489667669626</v>
      </c>
      <c r="E87" s="75">
        <f t="shared" si="19"/>
        <v>8166.4296923441007</v>
      </c>
      <c r="F87" s="75">
        <f t="shared" si="19"/>
        <v>8206.4217252891885</v>
      </c>
      <c r="G87" s="75">
        <f t="shared" si="19"/>
        <v>8195.8699285501243</v>
      </c>
      <c r="H87" s="75">
        <f t="shared" si="19"/>
        <v>7851.8234754294635</v>
      </c>
      <c r="I87" s="75">
        <f t="shared" si="19"/>
        <v>8203.2739820966799</v>
      </c>
      <c r="J87" s="75">
        <f t="shared" si="19"/>
        <v>8202.8317570841682</v>
      </c>
      <c r="K87" s="75">
        <f t="shared" si="19"/>
        <v>8170.4203473308025</v>
      </c>
    </row>
    <row r="88" spans="1:11" x14ac:dyDescent="0.3">
      <c r="A88" s="32" t="s">
        <v>246</v>
      </c>
      <c r="B88" s="75"/>
      <c r="C88" s="75"/>
      <c r="D88" s="75"/>
      <c r="E88" s="75"/>
      <c r="F88" s="75"/>
      <c r="G88" s="75"/>
      <c r="H88" s="75"/>
      <c r="I88" s="75"/>
      <c r="J88" s="75"/>
      <c r="K88" s="75"/>
    </row>
    <row r="89" spans="1:11" x14ac:dyDescent="0.3">
      <c r="A89" s="36" t="s">
        <v>255</v>
      </c>
      <c r="B89" s="75">
        <f>IFERROR(100*'1.3'!B89/'2.2'!B$38,0)</f>
        <v>54.828523208447699</v>
      </c>
      <c r="C89" s="75">
        <f>IFERROR(100*'1.3'!C89/'2.2'!C$38,0)</f>
        <v>54.807193015145387</v>
      </c>
      <c r="D89" s="75">
        <f>IFERROR(100*'1.3'!D89/'2.2'!D$38,0)</f>
        <v>54.783376125507139</v>
      </c>
      <c r="E89" s="75">
        <f>IFERROR(100*'1.3'!E89/'2.2'!E$38,0)</f>
        <v>54.363196724978572</v>
      </c>
      <c r="F89" s="75">
        <f>IFERROR(100*'1.3'!F89/'2.2'!F$38,0)</f>
        <v>54.629420134268891</v>
      </c>
      <c r="G89" s="75">
        <f>IFERROR(100*'1.3'!G89/'2.2'!G$38,0)</f>
        <v>54.55917776109748</v>
      </c>
      <c r="H89" s="75">
        <f>IFERROR(100*'1.3'!H89/'2.2'!H$38,0)</f>
        <v>52.268891097506447</v>
      </c>
      <c r="I89" s="75">
        <f>IFERROR(100*'1.3'!I89/'2.2'!I$38,0)</f>
        <v>54.608465887571036</v>
      </c>
      <c r="J89" s="75">
        <f>IFERROR(100*'1.3'!J89/'2.2'!J$38,0)</f>
        <v>54.605522034962554</v>
      </c>
      <c r="K89" s="75">
        <f>IFERROR(100*'1.3'!K89/'2.2'!K$38,0)</f>
        <v>54.389762160582201</v>
      </c>
    </row>
    <row r="90" spans="1:11" x14ac:dyDescent="0.3">
      <c r="A90" s="36" t="s">
        <v>256</v>
      </c>
      <c r="B90" s="75">
        <f>IFERROR(100*'1.3'!B90/'2.2'!B$38,0)</f>
        <v>4.9714263213814975</v>
      </c>
      <c r="C90" s="75">
        <f>IFERROR(100*'1.3'!C90/'2.2'!C$38,0)</f>
        <v>4.9694922644669948</v>
      </c>
      <c r="D90" s="75">
        <f>IFERROR(100*'1.3'!D90/'2.2'!D$38,0)</f>
        <v>4.9673327331662733</v>
      </c>
      <c r="E90" s="75">
        <f>IFERROR(100*'1.3'!E90/'2.2'!E$38,0)</f>
        <v>4.9292341157085584</v>
      </c>
      <c r="F90" s="75">
        <f>IFERROR(100*'1.3'!F90/'2.2'!F$38,0)</f>
        <v>4.9533731949115873</v>
      </c>
      <c r="G90" s="75">
        <f>IFERROR(100*'1.3'!G90/'2.2'!G$38,0)</f>
        <v>4.9470041599198362</v>
      </c>
      <c r="H90" s="75">
        <f>IFERROR(100*'1.3'!H90/'2.2'!H$38,0)</f>
        <v>4.7393386833284259</v>
      </c>
      <c r="I90" s="75">
        <f>IFERROR(100*'1.3'!I90/'2.2'!I$38,0)</f>
        <v>4.9514732259267875</v>
      </c>
      <c r="J90" s="75">
        <f>IFERROR(100*'1.3'!J90/'2.2'!J$38,0)</f>
        <v>4.9512063001464153</v>
      </c>
      <c r="K90" s="75">
        <f>IFERROR(100*'1.3'!K90/'2.2'!K$38,0)</f>
        <v>4.9316428638941838</v>
      </c>
    </row>
    <row r="91" spans="1:11" x14ac:dyDescent="0.3">
      <c r="A91" s="36" t="s">
        <v>257</v>
      </c>
      <c r="B91" s="75">
        <f>IFERROR(100*'1.3'!B91/'2.2'!B$38,0)</f>
        <v>-2.8970596349979467</v>
      </c>
      <c r="C91" s="75">
        <f>IFERROR(100*'1.3'!C91/'2.2'!C$38,0)</f>
        <v>-2.8959325785242949</v>
      </c>
      <c r="D91" s="75">
        <f>IFERROR(100*'1.3'!D91/'2.2'!D$38,0)</f>
        <v>-2.8946741286233224</v>
      </c>
      <c r="E91" s="75">
        <f>IFERROR(100*'1.3'!E91/'2.2'!E$38,0)</f>
        <v>-2.8724724585892587</v>
      </c>
      <c r="F91" s="75">
        <f>IFERROR(100*'1.3'!F91/'2.2'!F$38,0)</f>
        <v>-2.8865393173666565</v>
      </c>
      <c r="G91" s="75">
        <f>IFERROR(100*'1.3'!G91/'2.2'!G$38,0)</f>
        <v>-2.8828278122581259</v>
      </c>
      <c r="H91" s="75">
        <f>IFERROR(100*'1.3'!H91/'2.2'!H$38,0)</f>
        <v>-2.7618123871218643</v>
      </c>
      <c r="I91" s="75">
        <f>IFERROR(100*'1.3'!I91/'2.2'!I$38,0)</f>
        <v>-2.8854321253662567</v>
      </c>
      <c r="J91" s="75">
        <f>IFERROR(100*'1.3'!J91/'2.2'!J$38,0)</f>
        <v>-2.8852765764646202</v>
      </c>
      <c r="K91" s="75">
        <f>IFERROR(100*'1.3'!K91/'2.2'!K$38,0)</f>
        <v>-2.8738761376721489</v>
      </c>
    </row>
    <row r="92" spans="1:11" x14ac:dyDescent="0.3">
      <c r="A92" s="3" t="s">
        <v>728</v>
      </c>
      <c r="B92" s="75">
        <f>IFERROR(100*'1.3'!B92/'2.2'!B$38,0)</f>
        <v>-0.18153879074960269</v>
      </c>
      <c r="C92" s="75">
        <f>IFERROR(100*'1.3'!C92/'2.2'!C$38,0)</f>
        <v>-0.1814681658764169</v>
      </c>
      <c r="D92" s="75">
        <f>IFERROR(100*'1.3'!D92/'2.2'!D$38,0)</f>
        <v>-0.18138930748134574</v>
      </c>
      <c r="E92" s="75">
        <f>IFERROR(100*'1.3'!E92/'2.2'!E$38,0)</f>
        <v>-0.17999808160462727</v>
      </c>
      <c r="F92" s="75">
        <f>IFERROR(100*'1.3'!F92/'2.2'!F$38,0)</f>
        <v>-0.18087955484088539</v>
      </c>
      <c r="G92" s="75">
        <f>IFERROR(100*'1.3'!G92/'2.2'!G$38,0)</f>
        <v>-0.18064698035704524</v>
      </c>
      <c r="H92" s="75">
        <f>IFERROR(100*'1.3'!H92/'2.2'!H$38,0)</f>
        <v>-0.17306377645061213</v>
      </c>
      <c r="I92" s="75">
        <f>IFERROR(100*'1.3'!I92/'2.2'!I$38,0)</f>
        <v>-0.18081017473753783</v>
      </c>
      <c r="J92" s="75">
        <f>IFERROR(100*'1.3'!J92/'2.2'!J$38,0)</f>
        <v>-0.18080042755830666</v>
      </c>
      <c r="K92" s="75">
        <f>IFERROR(100*'1.3'!K92/'2.2'!K$38,0)</f>
        <v>-0.18008604051311158</v>
      </c>
    </row>
    <row r="93" spans="1:11" x14ac:dyDescent="0.3">
      <c r="A93" s="36" t="s">
        <v>258</v>
      </c>
      <c r="B93" s="75">
        <f>IFERROR(100*'1.3'!B93/'2.2'!B$38,0)</f>
        <v>9.2562022129314761E-2</v>
      </c>
      <c r="C93" s="75">
        <f>IFERROR(100*'1.3'!C93/'2.2'!C$38,0)</f>
        <v>9.2526012298866353E-2</v>
      </c>
      <c r="D93" s="75">
        <f>IFERROR(100*'1.3'!D93/'2.2'!D$38,0)</f>
        <v>9.2485804404567162E-2</v>
      </c>
      <c r="E93" s="75">
        <f>IFERROR(100*'1.3'!E93/'2.2'!E$38,0)</f>
        <v>9.1776453637957153E-2</v>
      </c>
      <c r="F93" s="75">
        <f>IFERROR(100*'1.3'!F93/'2.2'!F$38,0)</f>
        <v>9.2225894470211331E-2</v>
      </c>
      <c r="G93" s="75">
        <f>IFERROR(100*'1.3'!G93/'2.2'!G$38,0)</f>
        <v>9.2107310643410281E-2</v>
      </c>
      <c r="H93" s="75">
        <f>IFERROR(100*'1.3'!H93/'2.2'!H$38,0)</f>
        <v>8.8240827425691143E-2</v>
      </c>
      <c r="I93" s="75">
        <f>IFERROR(100*'1.3'!I93/'2.2'!I$38,0)</f>
        <v>9.2190519316312391E-2</v>
      </c>
      <c r="J93" s="75">
        <f>IFERROR(100*'1.3'!J93/'2.2'!J$38,0)</f>
        <v>9.218554947699617E-2</v>
      </c>
      <c r="K93" s="75">
        <f>IFERROR(100*'1.3'!K93/'2.2'!K$38,0)</f>
        <v>9.1821301653083665E-2</v>
      </c>
    </row>
    <row r="94" spans="1:11" x14ac:dyDescent="0.3">
      <c r="A94" s="36" t="s">
        <v>259</v>
      </c>
      <c r="B94" s="75">
        <f t="shared" ref="B94:K94" si="20">SUBTOTAL(9,B88:B93)</f>
        <v>56.813913126210963</v>
      </c>
      <c r="C94" s="75">
        <f t="shared" si="20"/>
        <v>56.791810547510536</v>
      </c>
      <c r="D94" s="75">
        <f t="shared" si="20"/>
        <v>56.767131226973312</v>
      </c>
      <c r="E94" s="75">
        <f t="shared" si="20"/>
        <v>56.3317367541312</v>
      </c>
      <c r="F94" s="75">
        <f t="shared" si="20"/>
        <v>56.607600351443146</v>
      </c>
      <c r="G94" s="75">
        <f t="shared" si="20"/>
        <v>56.534814439045554</v>
      </c>
      <c r="H94" s="75">
        <f t="shared" si="20"/>
        <v>54.161594444688092</v>
      </c>
      <c r="I94" s="75">
        <f t="shared" si="20"/>
        <v>56.585887332710342</v>
      </c>
      <c r="J94" s="75">
        <f t="shared" si="20"/>
        <v>56.582836880563036</v>
      </c>
      <c r="K94" s="75">
        <f t="shared" si="20"/>
        <v>56.359264147944209</v>
      </c>
    </row>
    <row r="95" spans="1:11" x14ac:dyDescent="0.3">
      <c r="A95" s="32" t="s">
        <v>260</v>
      </c>
      <c r="B95" s="75">
        <f>IFERROR(100*'1.3'!B95/'2.2'!B$38,0)</f>
        <v>95.822401090083801</v>
      </c>
      <c r="C95" s="75">
        <f>IFERROR(100*'1.3'!C95/'2.2'!C$38,0)</f>
        <v>95.785122859368471</v>
      </c>
      <c r="D95" s="75">
        <f>IFERROR(100*'1.3'!D95/'2.2'!D$38,0)</f>
        <v>95.743498693367215</v>
      </c>
      <c r="E95" s="75">
        <f>IFERROR(100*'1.3'!E95/'2.2'!E$38,0)</f>
        <v>95.009161952357999</v>
      </c>
      <c r="F95" s="75">
        <f>IFERROR(100*'1.3'!F95/'2.2'!F$38,0)</f>
        <v>95.47443376366688</v>
      </c>
      <c r="G95" s="75">
        <f>IFERROR(100*'1.3'!G95/'2.2'!G$38,0)</f>
        <v>95.351672973084192</v>
      </c>
      <c r="H95" s="75">
        <f>IFERROR(100*'1.3'!H95/'2.2'!H$38,0)</f>
        <v>91.348997824320094</v>
      </c>
      <c r="I95" s="75">
        <f>IFERROR(100*'1.3'!I95/'2.2'!I$38,0)</f>
        <v>95.437812565171569</v>
      </c>
      <c r="J95" s="75">
        <f>IFERROR(100*'1.3'!J95/'2.2'!J$38,0)</f>
        <v>95.432667669615469</v>
      </c>
      <c r="K95" s="75">
        <f>IFERROR(100*'1.3'!K95/'2.2'!K$38,0)</f>
        <v>95.055589681513965</v>
      </c>
    </row>
    <row r="96" spans="1:11" x14ac:dyDescent="0.3">
      <c r="A96" s="32" t="s">
        <v>261</v>
      </c>
      <c r="B96" s="75">
        <f>IFERROR(100*'1.3'!B96/'2.2'!B$38,0)</f>
        <v>29.849362812240752</v>
      </c>
      <c r="C96" s="75">
        <f>IFERROR(100*'1.3'!C96/'2.2'!C$38,0)</f>
        <v>29.837750376933748</v>
      </c>
      <c r="D96" s="75">
        <f>IFERROR(100*'1.3'!D96/'2.2'!D$38,0)</f>
        <v>29.824784151723417</v>
      </c>
      <c r="E96" s="75">
        <f>IFERROR(100*'1.3'!E96/'2.2'!E$38,0)</f>
        <v>29.596033008364614</v>
      </c>
      <c r="F96" s="75">
        <f>IFERROR(100*'1.3'!F96/'2.2'!F$38,0)</f>
        <v>29.740968503030537</v>
      </c>
      <c r="G96" s="75">
        <f>IFERROR(100*'1.3'!G96/'2.2'!G$38,0)</f>
        <v>29.702727639354251</v>
      </c>
      <c r="H96" s="75">
        <f>IFERROR(100*'1.3'!H96/'2.2'!H$38,0)</f>
        <v>28.455865722142661</v>
      </c>
      <c r="I96" s="75">
        <f>IFERROR(100*'1.3'!I96/'2.2'!I$38,0)</f>
        <v>29.729560737956078</v>
      </c>
      <c r="J96" s="75">
        <f>IFERROR(100*'1.3'!J96/'2.2'!J$38,0)</f>
        <v>29.727958066218179</v>
      </c>
      <c r="K96" s="75">
        <f>IFERROR(100*'1.3'!K96/'2.2'!K$38,0)</f>
        <v>29.610495577830203</v>
      </c>
    </row>
    <row r="97" spans="1:11" x14ac:dyDescent="0.3">
      <c r="A97" s="1" t="s">
        <v>606</v>
      </c>
      <c r="B97" s="75">
        <f>IFERROR(100*'1.3'!B97/'2.2'!B$38,0)</f>
        <v>65.973038277843045</v>
      </c>
      <c r="C97" s="75">
        <f>IFERROR(100*'1.3'!C97/'2.2'!C$38,0)</f>
        <v>65.94737248243473</v>
      </c>
      <c r="D97" s="75">
        <f>IFERROR(100*'1.3'!D97/'2.2'!D$38,0)</f>
        <v>65.918714541643794</v>
      </c>
      <c r="E97" s="75">
        <f>IFERROR(100*'1.3'!E97/'2.2'!E$38,0)</f>
        <v>65.413128943993371</v>
      </c>
      <c r="F97" s="75">
        <f>IFERROR(100*'1.3'!F97/'2.2'!F$38,0)</f>
        <v>65.733465260636351</v>
      </c>
      <c r="G97" s="75">
        <f>IFERROR(100*'1.3'!G97/'2.2'!G$38,0)</f>
        <v>65.648945333729941</v>
      </c>
      <c r="H97" s="75">
        <f>IFERROR(100*'1.3'!H97/'2.2'!H$38,0)</f>
        <v>62.893132102177418</v>
      </c>
      <c r="I97" s="75">
        <f>IFERROR(100*'1.3'!I97/'2.2'!I$38,0)</f>
        <v>65.708251827215477</v>
      </c>
      <c r="J97" s="75">
        <f>IFERROR(100*'1.3'!J97/'2.2'!J$38,0)</f>
        <v>65.704709603397305</v>
      </c>
      <c r="K97" s="75">
        <f>IFERROR(100*'1.3'!K97/'2.2'!K$38,0)</f>
        <v>65.445094103683743</v>
      </c>
    </row>
    <row r="98" spans="1:11" x14ac:dyDescent="0.3">
      <c r="A98" s="1" t="s">
        <v>629</v>
      </c>
      <c r="B98" s="75">
        <f t="shared" ref="B98:K98" si="21">SUBTOTAL(9,B72:B97)</f>
        <v>8484.7896688007531</v>
      </c>
      <c r="C98" s="75">
        <f t="shared" si="21"/>
        <v>8481.4887919364064</v>
      </c>
      <c r="D98" s="75">
        <f t="shared" si="21"/>
        <v>8477.8030953806719</v>
      </c>
      <c r="E98" s="75">
        <f t="shared" si="21"/>
        <v>8412.7797530029475</v>
      </c>
      <c r="F98" s="75">
        <f t="shared" si="21"/>
        <v>8453.9781931679663</v>
      </c>
      <c r="G98" s="75">
        <f t="shared" si="21"/>
        <v>8443.1080889353379</v>
      </c>
      <c r="H98" s="75">
        <f t="shared" si="21"/>
        <v>8088.6830655227914</v>
      </c>
      <c r="I98" s="75">
        <f t="shared" si="21"/>
        <v>8450.7354945597344</v>
      </c>
      <c r="J98" s="75">
        <f t="shared" si="21"/>
        <v>8450.2799293039589</v>
      </c>
      <c r="K98" s="75">
        <f t="shared" si="21"/>
        <v>8416.890790841775</v>
      </c>
    </row>
    <row r="99" spans="1:11" x14ac:dyDescent="0.3">
      <c r="A99" s="1" t="s">
        <v>632</v>
      </c>
      <c r="B99" s="75">
        <f>IFERROR(100*'1.3'!B99/'2.2'!B$38,0)</f>
        <v>0</v>
      </c>
      <c r="C99" s="75">
        <f>IFERROR(100*'1.3'!C99/'2.2'!C$38,0)</f>
        <v>0</v>
      </c>
      <c r="D99" s="75">
        <f>IFERROR(100*'1.3'!D99/'2.2'!D$38,0)</f>
        <v>0</v>
      </c>
      <c r="E99" s="75">
        <f>IFERROR(100*'1.3'!E99/'2.2'!E$38,0)</f>
        <v>0</v>
      </c>
      <c r="F99" s="75">
        <f>IFERROR(100*'1.3'!F99/'2.2'!F$38,0)</f>
        <v>0</v>
      </c>
      <c r="G99" s="75">
        <f>IFERROR(100*'1.3'!G99/'2.2'!G$38,0)</f>
        <v>0</v>
      </c>
      <c r="H99" s="75">
        <f>IFERROR(100*'1.3'!H99/'2.2'!H$38,0)</f>
        <v>0</v>
      </c>
      <c r="I99" s="75">
        <f>IFERROR(100*'1.3'!I99/'2.2'!I$38,0)</f>
        <v>0</v>
      </c>
      <c r="J99" s="75">
        <f>IFERROR(100*'1.3'!J99/'2.2'!J$38,0)</f>
        <v>0</v>
      </c>
      <c r="K99" s="75">
        <f>IFERROR(100*'1.3'!K99/'2.2'!K$38,0)</f>
        <v>0</v>
      </c>
    </row>
    <row r="100" spans="1:11" x14ac:dyDescent="0.3">
      <c r="A100" s="1" t="s">
        <v>631</v>
      </c>
      <c r="B100" s="75">
        <f>IFERROR(100*'1.3'!B100/'2.2'!B$38,0)</f>
        <v>-5.4219149124477743</v>
      </c>
      <c r="C100" s="75">
        <f>IFERROR(100*'1.3'!C100/'2.2'!C$38,0)</f>
        <v>-5.4198055998786296</v>
      </c>
      <c r="D100" s="75">
        <f>IFERROR(100*'1.3'!D100/'2.2'!D$38,0)</f>
        <v>-5.4174503814349961</v>
      </c>
      <c r="E100" s="75">
        <f>IFERROR(100*'1.3'!E100/'2.2'!E$38,0)</f>
        <v>-5.3758994363371668</v>
      </c>
      <c r="F100" s="75">
        <f>IFERROR(100*'1.3'!F100/'2.2'!F$38,0)</f>
        <v>-5.4022258917732584</v>
      </c>
      <c r="G100" s="75">
        <f>IFERROR(100*'1.3'!G100/'2.2'!G$38,0)</f>
        <v>-5.3952797230950349</v>
      </c>
      <c r="H100" s="75">
        <f>IFERROR(100*'1.3'!H100/'2.2'!H$38,0)</f>
        <v>-5.168796522591995</v>
      </c>
      <c r="I100" s="75">
        <f>IFERROR(100*'1.3'!I100/'2.2'!I$38,0)</f>
        <v>-5.4001537560307327</v>
      </c>
      <c r="J100" s="75">
        <f>IFERROR(100*'1.3'!J100/'2.2'!J$38,0)</f>
        <v>-5.399862642620703</v>
      </c>
      <c r="K100" s="75">
        <f>IFERROR(100*'1.3'!K100/'2.2'!K$38,0)</f>
        <v>-5.3785264545938416</v>
      </c>
    </row>
    <row r="101" spans="1:11" x14ac:dyDescent="0.3">
      <c r="A101" s="1" t="s">
        <v>630</v>
      </c>
      <c r="B101" s="75">
        <f t="shared" ref="B101:K101" si="22">SUBTOTAL(9,B72:B100)</f>
        <v>8479.3677538883057</v>
      </c>
      <c r="C101" s="75">
        <f t="shared" si="22"/>
        <v>8476.0689863365278</v>
      </c>
      <c r="D101" s="75">
        <f t="shared" si="22"/>
        <v>8472.3856449992363</v>
      </c>
      <c r="E101" s="75">
        <f t="shared" si="22"/>
        <v>8407.4038535666095</v>
      </c>
      <c r="F101" s="75">
        <f t="shared" si="22"/>
        <v>8448.5759672761924</v>
      </c>
      <c r="G101" s="75">
        <f t="shared" si="22"/>
        <v>8437.7128092122421</v>
      </c>
      <c r="H101" s="75">
        <f t="shared" si="22"/>
        <v>8083.5142690001994</v>
      </c>
      <c r="I101" s="75">
        <f t="shared" si="22"/>
        <v>8445.3353408037037</v>
      </c>
      <c r="J101" s="75">
        <f t="shared" si="22"/>
        <v>8444.8800666613388</v>
      </c>
      <c r="K101" s="75">
        <f t="shared" si="22"/>
        <v>8411.5122643871819</v>
      </c>
    </row>
    <row r="103" spans="1:11" x14ac:dyDescent="0.3">
      <c r="A103" s="32" t="s">
        <v>604</v>
      </c>
    </row>
    <row r="104" spans="1:11" s="35" customFormat="1" ht="40.5" x14ac:dyDescent="0.25">
      <c r="B104" s="17" t="str">
        <f t="array" ref="B104:J104">TRANSPOSE(List_Classes)</f>
        <v>Residential</v>
      </c>
      <c r="C104" s="17" t="str">
        <v>Residential (S)</v>
      </c>
      <c r="D104" s="17" t="str">
        <v>Farm</v>
      </c>
      <c r="E104" s="17" t="str">
        <v>General Service 1</v>
      </c>
      <c r="F104" s="17" t="str">
        <v>General Service 1 (S)</v>
      </c>
      <c r="G104" s="17" t="str">
        <v>Small Industrial</v>
      </c>
      <c r="H104" s="17" t="str">
        <v>Large Industrial</v>
      </c>
      <c r="I104" s="17" t="str">
        <v>Lights</v>
      </c>
      <c r="J104" s="17" t="str">
        <v>Unmetered</v>
      </c>
      <c r="K104" s="34" t="s">
        <v>214</v>
      </c>
    </row>
    <row r="105" spans="1:11" x14ac:dyDescent="0.3">
      <c r="A105" s="32" t="s">
        <v>262</v>
      </c>
    </row>
    <row r="106" spans="1:11" x14ac:dyDescent="0.3">
      <c r="A106" s="36" t="s">
        <v>247</v>
      </c>
      <c r="B106" s="32">
        <f>IFERROR('1.3'!B106/'2.2'!B$39/'2.2'!B$10,0)</f>
        <v>0.11910437548411025</v>
      </c>
      <c r="C106" s="32">
        <f>IFERROR('1.3'!C106/'2.2'!C$39/'2.2'!C$10,0)</f>
        <v>0.20417892940133181</v>
      </c>
      <c r="D106" s="32">
        <f>IFERROR('1.3'!D106/'2.2'!D$39/'2.2'!D$10,0)</f>
        <v>0.11910437548411024</v>
      </c>
      <c r="E106" s="32">
        <f>IFERROR('1.3'!E106/'2.2'!E$39/'2.2'!E$10,0)</f>
        <v>0.11910437548411022</v>
      </c>
      <c r="F106" s="32">
        <f>IFERROR('1.3'!F106/'2.2'!F$39/'2.2'!F$10,0)</f>
        <v>0.23820875096822045</v>
      </c>
      <c r="G106" s="32">
        <f>IFERROR('1.3'!G106/'2.2'!G$39/'2.2'!G$10,0)</f>
        <v>0.11910437548411024</v>
      </c>
      <c r="H106" s="32">
        <f>IFERROR('1.3'!H106/'2.2'!H$39/'2.2'!H$10,0)</f>
        <v>0.10816617511796217</v>
      </c>
      <c r="I106" s="32">
        <f>IFERROR('1.3'!I106/'2.2'!I$39/'2.2'!I$10,0)</f>
        <v>1.9440891303618151</v>
      </c>
      <c r="J106" s="32">
        <f>IFERROR('1.3'!J106/'2.2'!J$39/'2.2'!J$10,0)</f>
        <v>0.22892789054088722</v>
      </c>
      <c r="K106" s="32">
        <f>IFERROR('1.3'!K106/'2.2'!K$39/'2.2'!K$10,0)</f>
        <v>1.6898899661604235E-2</v>
      </c>
    </row>
    <row r="107" spans="1:11" x14ac:dyDescent="0.3">
      <c r="A107" s="36" t="s">
        <v>248</v>
      </c>
      <c r="B107" s="32">
        <f>IFERROR('1.3'!B107/'2.2'!B$39/'2.2'!B$10,0)</f>
        <v>0</v>
      </c>
      <c r="C107" s="32">
        <f>IFERROR('1.3'!C107/'2.2'!C$39/'2.2'!C$10,0)</f>
        <v>0</v>
      </c>
      <c r="D107" s="32">
        <f>IFERROR('1.3'!D107/'2.2'!D$39/'2.2'!D$10,0)</f>
        <v>0</v>
      </c>
      <c r="E107" s="32">
        <f>IFERROR('1.3'!E107/'2.2'!E$39/'2.2'!E$10,0)</f>
        <v>0</v>
      </c>
      <c r="F107" s="32">
        <f>IFERROR('1.3'!F107/'2.2'!F$39/'2.2'!F$10,0)</f>
        <v>0</v>
      </c>
      <c r="G107" s="32">
        <f>IFERROR('1.3'!G107/'2.2'!G$39/'2.2'!G$10,0)</f>
        <v>0</v>
      </c>
      <c r="H107" s="32">
        <f>IFERROR('1.3'!H107/'2.2'!H$39/'2.2'!H$10,0)</f>
        <v>0</v>
      </c>
      <c r="I107" s="32">
        <f>IFERROR('1.3'!I107/'2.2'!I$39/'2.2'!I$10,0)</f>
        <v>0</v>
      </c>
      <c r="J107" s="32">
        <f>IFERROR('1.3'!J107/'2.2'!J$39/'2.2'!J$10,0)</f>
        <v>0</v>
      </c>
      <c r="K107" s="32">
        <f>IFERROR('1.3'!K107/'2.2'!K$39/'2.2'!K$10,0)</f>
        <v>0</v>
      </c>
    </row>
    <row r="108" spans="1:11" x14ac:dyDescent="0.3">
      <c r="A108" s="36" t="s">
        <v>249</v>
      </c>
      <c r="B108" s="32">
        <f>SUBTOTAL(9,B106:B107)</f>
        <v>0.11910437548411025</v>
      </c>
      <c r="C108" s="32">
        <f t="shared" ref="C108:J108" si="23">SUBTOTAL(9,C106:C107)</f>
        <v>0.20417892940133181</v>
      </c>
      <c r="D108" s="32">
        <f t="shared" si="23"/>
        <v>0.11910437548411024</v>
      </c>
      <c r="E108" s="32">
        <f t="shared" si="23"/>
        <v>0.11910437548411022</v>
      </c>
      <c r="F108" s="32">
        <f t="shared" si="23"/>
        <v>0.23820875096822045</v>
      </c>
      <c r="G108" s="32">
        <f t="shared" si="23"/>
        <v>0.11910437548411024</v>
      </c>
      <c r="H108" s="32">
        <f t="shared" si="23"/>
        <v>0.10816617511796217</v>
      </c>
      <c r="I108" s="32">
        <f t="shared" si="23"/>
        <v>1.9440891303618151</v>
      </c>
      <c r="J108" s="32">
        <f t="shared" si="23"/>
        <v>0.22892789054088722</v>
      </c>
      <c r="K108" s="32">
        <f t="shared" ref="K108" si="24">SUBTOTAL(9,K106:K107)</f>
        <v>1.6898899661604235E-2</v>
      </c>
    </row>
    <row r="109" spans="1:11" x14ac:dyDescent="0.3">
      <c r="A109" s="36" t="s">
        <v>124</v>
      </c>
      <c r="B109" s="32">
        <f>IFERROR('1.3'!B109/'2.2'!B$39/'2.2'!B$10,0)</f>
        <v>3.7294927176950683</v>
      </c>
      <c r="C109" s="32">
        <f>IFERROR('1.3'!C109/'2.2'!C$39/'2.2'!C$10,0)</f>
        <v>6.5668697962581524</v>
      </c>
      <c r="D109" s="32">
        <f>IFERROR('1.3'!D109/'2.2'!D$39/'2.2'!D$10,0)</f>
        <v>3.8278984412206687</v>
      </c>
      <c r="E109" s="32">
        <f>IFERROR('1.3'!E109/'2.2'!E$39/'2.2'!E$10,0)</f>
        <v>4.4115524285271164</v>
      </c>
      <c r="F109" s="32">
        <f>IFERROR('1.3'!F109/'2.2'!F$39/'2.2'!F$10,0)</f>
        <v>9.0682806898804227</v>
      </c>
      <c r="G109" s="32">
        <f>IFERROR('1.3'!G109/'2.2'!G$39/'2.2'!G$10,0)</f>
        <v>5.524864024917453</v>
      </c>
      <c r="H109" s="32">
        <f>IFERROR('1.3'!H109/'2.2'!H$39/'2.2'!H$10,0)</f>
        <v>25.503341794026671</v>
      </c>
      <c r="I109" s="32">
        <f>IFERROR('1.3'!I109/'2.2'!I$39/'2.2'!I$10,0)</f>
        <v>75.262319860924222</v>
      </c>
      <c r="J109" s="32">
        <f>IFERROR('1.3'!J109/'2.2'!J$39/'2.2'!J$10,0)</f>
        <v>6.5287631522094971</v>
      </c>
      <c r="K109" s="32">
        <f>IFERROR('1.3'!K109/'2.2'!K$39/'2.2'!K$10,0)</f>
        <v>0.54902783702795055</v>
      </c>
    </row>
    <row r="110" spans="1:11" x14ac:dyDescent="0.3">
      <c r="A110" s="36" t="s">
        <v>12</v>
      </c>
      <c r="B110" s="32">
        <f>IFERROR('1.3'!B110/'2.2'!B$39/'2.2'!B$10,0)</f>
        <v>0</v>
      </c>
      <c r="C110" s="32">
        <f>IFERROR('1.3'!C110/'2.2'!C$39/'2.2'!C$10,0)</f>
        <v>0</v>
      </c>
      <c r="D110" s="32">
        <f>IFERROR('1.3'!D110/'2.2'!D$39/'2.2'!D$10,0)</f>
        <v>0</v>
      </c>
      <c r="E110" s="32">
        <f>IFERROR('1.3'!E110/'2.2'!E$39/'2.2'!E$10,0)</f>
        <v>0</v>
      </c>
      <c r="F110" s="32">
        <f>IFERROR('1.3'!F110/'2.2'!F$39/'2.2'!F$10,0)</f>
        <v>0</v>
      </c>
      <c r="G110" s="32">
        <f>IFERROR('1.3'!G110/'2.2'!G$39/'2.2'!G$10,0)</f>
        <v>0</v>
      </c>
      <c r="H110" s="32">
        <f>IFERROR('1.3'!H110/'2.2'!H$39/'2.2'!H$10,0)</f>
        <v>0</v>
      </c>
      <c r="I110" s="32">
        <f>IFERROR('1.3'!I110/'2.2'!I$39/'2.2'!I$10,0)</f>
        <v>0</v>
      </c>
      <c r="J110" s="32">
        <f>IFERROR('1.3'!J110/'2.2'!J$39/'2.2'!J$10,0)</f>
        <v>0</v>
      </c>
      <c r="K110" s="32">
        <f>IFERROR('1.3'!K110/'2.2'!K$39/'2.2'!K$10,0)</f>
        <v>0</v>
      </c>
    </row>
    <row r="111" spans="1:11" x14ac:dyDescent="0.3">
      <c r="A111" s="36" t="s">
        <v>250</v>
      </c>
      <c r="B111" s="32">
        <f>IFERROR('1.3'!B111/'2.2'!B$39/'2.2'!B$10,0)</f>
        <v>0.95744480856932945</v>
      </c>
      <c r="C111" s="32">
        <f>IFERROR('1.3'!C111/'2.2'!C$39/'2.2'!C$10,0)</f>
        <v>1.6413339575474217</v>
      </c>
      <c r="D111" s="32">
        <f>IFERROR('1.3'!D111/'2.2'!D$39/'2.2'!D$10,0)</f>
        <v>0.95744480856932934</v>
      </c>
      <c r="E111" s="32">
        <f>IFERROR('1.3'!E111/'2.2'!E$39/'2.2'!E$10,0)</f>
        <v>0.95744480856932934</v>
      </c>
      <c r="F111" s="32">
        <f>IFERROR('1.3'!F111/'2.2'!F$39/'2.2'!F$10,0)</f>
        <v>1.9148896171386587</v>
      </c>
      <c r="G111" s="32">
        <f>IFERROR('1.3'!G111/'2.2'!G$39/'2.2'!G$10,0)</f>
        <v>0.95744480856932945</v>
      </c>
      <c r="H111" s="32">
        <f>IFERROR('1.3'!H111/'2.2'!H$39/'2.2'!H$10,0)</f>
        <v>0.89539683916444768</v>
      </c>
      <c r="I111" s="32">
        <f>IFERROR('1.3'!I111/'2.2'!I$39/'2.2'!I$10,0)</f>
        <v>15.62795688819431</v>
      </c>
      <c r="J111" s="32">
        <f>IFERROR('1.3'!J111/'2.2'!J$39/'2.2'!J$10,0)</f>
        <v>1.8402835281592305</v>
      </c>
      <c r="K111" s="32">
        <f>IFERROR('1.3'!K111/'2.2'!K$39/'2.2'!K$10,0)</f>
        <v>0.13584553653177275</v>
      </c>
    </row>
    <row r="112" spans="1:11" x14ac:dyDescent="0.3">
      <c r="A112" s="36" t="s">
        <v>251</v>
      </c>
      <c r="B112" s="32">
        <f>IFERROR('1.3'!B112/'2.2'!B$39/'2.2'!B$10,0)</f>
        <v>0</v>
      </c>
      <c r="C112" s="32">
        <f>IFERROR('1.3'!C112/'2.2'!C$39/'2.2'!C$10,0)</f>
        <v>0</v>
      </c>
      <c r="D112" s="32">
        <f>IFERROR('1.3'!D112/'2.2'!D$39/'2.2'!D$10,0)</f>
        <v>0</v>
      </c>
      <c r="E112" s="32">
        <f>IFERROR('1.3'!E112/'2.2'!E$39/'2.2'!E$10,0)</f>
        <v>0</v>
      </c>
      <c r="F112" s="32">
        <f>IFERROR('1.3'!F112/'2.2'!F$39/'2.2'!F$10,0)</f>
        <v>0</v>
      </c>
      <c r="G112" s="32">
        <f>IFERROR('1.3'!G112/'2.2'!G$39/'2.2'!G$10,0)</f>
        <v>0</v>
      </c>
      <c r="H112" s="32">
        <f>IFERROR('1.3'!H112/'2.2'!H$39/'2.2'!H$10,0)</f>
        <v>0</v>
      </c>
      <c r="I112" s="32">
        <f>IFERROR('1.3'!I112/'2.2'!I$39/'2.2'!I$10,0)</f>
        <v>0</v>
      </c>
      <c r="J112" s="32">
        <f>IFERROR('1.3'!J112/'2.2'!J$39/'2.2'!J$10,0)</f>
        <v>0</v>
      </c>
      <c r="K112" s="32">
        <f>IFERROR('1.3'!K112/'2.2'!K$39/'2.2'!K$10,0)</f>
        <v>0</v>
      </c>
    </row>
    <row r="113" spans="1:11" x14ac:dyDescent="0.3">
      <c r="A113" s="36" t="s">
        <v>252</v>
      </c>
      <c r="B113" s="32">
        <f>IFERROR('1.3'!B113/'2.2'!B$39/'2.2'!B$10,0)</f>
        <v>6.0783466257476491</v>
      </c>
      <c r="C113" s="32">
        <f>IFERROR('1.3'!C113/'2.2'!C$39/'2.2'!C$10,0)</f>
        <v>8.2736003544365495</v>
      </c>
      <c r="D113" s="32">
        <f>IFERROR('1.3'!D113/'2.2'!D$39/'2.2'!D$10,0)</f>
        <v>5.9948332234461867</v>
      </c>
      <c r="E113" s="32">
        <f>IFERROR('1.3'!E113/'2.2'!E$39/'2.2'!E$10,0)</f>
        <v>6.6642036101029118</v>
      </c>
      <c r="F113" s="32">
        <f>IFERROR('1.3'!F113/'2.2'!F$39/'2.2'!F$10,0)</f>
        <v>10.43229463469463</v>
      </c>
      <c r="G113" s="32">
        <f>IFERROR('1.3'!G113/'2.2'!G$39/'2.2'!G$10,0)</f>
        <v>7.0373788036979379</v>
      </c>
      <c r="H113" s="32">
        <f>IFERROR('1.3'!H113/'2.2'!H$39/'2.2'!H$10,0)</f>
        <v>53.055721089282692</v>
      </c>
      <c r="I113" s="32">
        <f>IFERROR('1.3'!I113/'2.2'!I$39/'2.2'!I$10,0)</f>
        <v>57.894211238571025</v>
      </c>
      <c r="J113" s="32">
        <f>IFERROR('1.3'!J113/'2.2'!J$39/'2.2'!J$10,0)</f>
        <v>30.111837433060884</v>
      </c>
      <c r="K113" s="32">
        <f>IFERROR('1.3'!K113/'2.2'!K$39/'2.2'!K$10,0)</f>
        <v>0.83725576844804073</v>
      </c>
    </row>
    <row r="114" spans="1:11" x14ac:dyDescent="0.3">
      <c r="A114" s="36" t="s">
        <v>253</v>
      </c>
      <c r="B114" s="32">
        <f t="shared" ref="B114:J114" si="25">SUBTOTAL(9,B105:B113)</f>
        <v>10.884388527496156</v>
      </c>
      <c r="C114" s="32">
        <f t="shared" si="25"/>
        <v>16.685983037643453</v>
      </c>
      <c r="D114" s="32">
        <f t="shared" si="25"/>
        <v>10.899280848720295</v>
      </c>
      <c r="E114" s="32">
        <f t="shared" si="25"/>
        <v>12.152305222683468</v>
      </c>
      <c r="F114" s="32">
        <f t="shared" si="25"/>
        <v>21.653673692681934</v>
      </c>
      <c r="G114" s="32">
        <f t="shared" si="25"/>
        <v>13.63879201266883</v>
      </c>
      <c r="H114" s="32">
        <f t="shared" si="25"/>
        <v>79.562625897591772</v>
      </c>
      <c r="I114" s="32">
        <f t="shared" si="25"/>
        <v>150.72857711805136</v>
      </c>
      <c r="J114" s="32">
        <f t="shared" si="25"/>
        <v>38.709812003970498</v>
      </c>
      <c r="K114" s="32">
        <f t="shared" ref="K114" si="26">SUBTOTAL(9,K105:K113)</f>
        <v>1.5390280416693682</v>
      </c>
    </row>
    <row r="115" spans="1:11" x14ac:dyDescent="0.3">
      <c r="A115" s="37" t="s">
        <v>138</v>
      </c>
    </row>
    <row r="116" spans="1:11" x14ac:dyDescent="0.3">
      <c r="A116" s="36" t="s">
        <v>479</v>
      </c>
      <c r="B116" s="32">
        <f>IFERROR('1.3'!B116/'2.2'!B$39/'2.2'!B$10,0)</f>
        <v>8.319560663854654E-2</v>
      </c>
      <c r="C116" s="32">
        <f>IFERROR('1.3'!C116/'2.2'!C$39/'2.2'!C$10,0)</f>
        <v>0.12108750006155057</v>
      </c>
      <c r="D116" s="32">
        <f>IFERROR('1.3'!D116/'2.2'!D$39/'2.2'!D$10,0)</f>
        <v>8.3790316367367987E-2</v>
      </c>
      <c r="E116" s="32">
        <f>IFERROR('1.3'!E116/'2.2'!E$39/'2.2'!E$10,0)</f>
        <v>9.7942327938043125E-2</v>
      </c>
      <c r="F116" s="32">
        <f>IFERROR('1.3'!F116/'2.2'!F$39/'2.2'!F$10,0)</f>
        <v>0.16603211411149207</v>
      </c>
      <c r="G116" s="32">
        <f>IFERROR('1.3'!G116/'2.2'!G$39/'2.2'!G$10,0)</f>
        <v>0.10741958272732675</v>
      </c>
      <c r="H116" s="32">
        <f>IFERROR('1.3'!H116/'2.2'!H$39/'2.2'!H$10,0)</f>
        <v>0.71334087240942612</v>
      </c>
      <c r="I116" s="32">
        <f>IFERROR('1.3'!I116/'2.2'!I$39/'2.2'!I$10,0)</f>
        <v>1.0012142965032866</v>
      </c>
      <c r="J116" s="32">
        <f>IFERROR('1.3'!J116/'2.2'!J$39/'2.2'!J$10,0)</f>
        <v>0.25002213226725328</v>
      </c>
      <c r="K116" s="32">
        <f>IFERROR('1.3'!K116/'2.2'!K$39/'2.2'!K$10,0)</f>
        <v>1.1699102802570549E-2</v>
      </c>
    </row>
    <row r="117" spans="1:11" x14ac:dyDescent="0.3">
      <c r="A117" s="47" t="s">
        <v>725</v>
      </c>
      <c r="B117" s="32">
        <f>IFERROR('1.3'!B117/'2.2'!B$39/'2.2'!B$10,0)</f>
        <v>0</v>
      </c>
      <c r="C117" s="32">
        <f>IFERROR('1.3'!C117/'2.2'!C$39/'2.2'!C$10,0)</f>
        <v>0</v>
      </c>
      <c r="D117" s="32">
        <f>IFERROR('1.3'!D117/'2.2'!D$39/'2.2'!D$10,0)</f>
        <v>0</v>
      </c>
      <c r="E117" s="32">
        <f>IFERROR('1.3'!E117/'2.2'!E$39/'2.2'!E$10,0)</f>
        <v>0</v>
      </c>
      <c r="F117" s="32">
        <f>IFERROR('1.3'!F117/'2.2'!F$39/'2.2'!F$10,0)</f>
        <v>0</v>
      </c>
      <c r="G117" s="32">
        <f>IFERROR('1.3'!G117/'2.2'!G$39/'2.2'!G$10,0)</f>
        <v>0</v>
      </c>
      <c r="H117" s="32">
        <f>IFERROR('1.3'!H117/'2.2'!H$39/'2.2'!H$10,0)</f>
        <v>0</v>
      </c>
      <c r="I117" s="32">
        <f>IFERROR('1.3'!I117/'2.2'!I$39/'2.2'!I$10,0)</f>
        <v>0</v>
      </c>
      <c r="J117" s="32">
        <f>IFERROR('1.3'!J117/'2.2'!J$39/'2.2'!J$10,0)</f>
        <v>0</v>
      </c>
      <c r="K117" s="32">
        <f>IFERROR('1.3'!K117/'2.2'!K$39/'2.2'!K$10,0)</f>
        <v>0</v>
      </c>
    </row>
    <row r="118" spans="1:11" x14ac:dyDescent="0.3">
      <c r="A118" s="36" t="s">
        <v>480</v>
      </c>
      <c r="B118" s="32">
        <f>IFERROR('1.3'!B118/'2.2'!B$39/'2.2'!B$10,0)</f>
        <v>9.8319089838755094</v>
      </c>
      <c r="C118" s="32">
        <f>IFERROR('1.3'!C118/'2.2'!C$39/'2.2'!C$10,0)</f>
        <v>17.501321875173097</v>
      </c>
      <c r="D118" s="32">
        <f>IFERROR('1.3'!D118/'2.2'!D$39/'2.2'!D$10,0)</f>
        <v>10.291916938123647</v>
      </c>
      <c r="E118" s="32">
        <f>IFERROR('1.3'!E118/'2.2'!E$39/'2.2'!E$10,0)</f>
        <v>13.496402653348008</v>
      </c>
      <c r="F118" s="32">
        <f>IFERROR('1.3'!F118/'2.2'!F$39/'2.2'!F$10,0)</f>
        <v>27.915220569314073</v>
      </c>
      <c r="G118" s="32">
        <f>IFERROR('1.3'!G118/'2.2'!G$39/'2.2'!G$10,0)</f>
        <v>18.796658784595863</v>
      </c>
      <c r="H118" s="32">
        <f>IFERROR('1.3'!H118/'2.2'!H$39/'2.2'!H$10,0)</f>
        <v>126.66735697244899</v>
      </c>
      <c r="I118" s="32">
        <f>IFERROR('1.3'!I118/'2.2'!I$39/'2.2'!I$10,0)</f>
        <v>265.3661284250598</v>
      </c>
      <c r="J118" s="32">
        <f>IFERROR('1.3'!J118/'2.2'!J$39/'2.2'!J$10,0)</f>
        <v>16.528201309333433</v>
      </c>
      <c r="K118" s="32">
        <f>IFERROR('1.3'!K118/'2.2'!K$39/'2.2'!K$10,0)</f>
        <v>1.5126731015730157</v>
      </c>
    </row>
    <row r="119" spans="1:11" x14ac:dyDescent="0.3">
      <c r="A119" s="36" t="s">
        <v>254</v>
      </c>
      <c r="B119" s="32">
        <f t="shared" ref="B119:J119" si="27">SUBTOTAL(9,B115:B118)</f>
        <v>9.9151045905140567</v>
      </c>
      <c r="C119" s="32">
        <f t="shared" si="27"/>
        <v>17.62240937523465</v>
      </c>
      <c r="D119" s="32">
        <f t="shared" si="27"/>
        <v>10.375707254491015</v>
      </c>
      <c r="E119" s="32">
        <f t="shared" si="27"/>
        <v>13.594344981286051</v>
      </c>
      <c r="F119" s="32">
        <f t="shared" si="27"/>
        <v>28.081252683425564</v>
      </c>
      <c r="G119" s="32">
        <f t="shared" si="27"/>
        <v>18.904078367323191</v>
      </c>
      <c r="H119" s="32">
        <f t="shared" si="27"/>
        <v>127.38069784485842</v>
      </c>
      <c r="I119" s="32">
        <f t="shared" si="27"/>
        <v>266.36734272156309</v>
      </c>
      <c r="J119" s="32">
        <f t="shared" si="27"/>
        <v>16.778223441600687</v>
      </c>
      <c r="K119" s="32">
        <f t="shared" ref="K119" si="28">SUBTOTAL(9,K115:K118)</f>
        <v>1.5243722043755863</v>
      </c>
    </row>
    <row r="120" spans="1:11" x14ac:dyDescent="0.3">
      <c r="A120" s="32" t="s">
        <v>263</v>
      </c>
      <c r="B120" s="32">
        <f t="shared" ref="B120:J120" si="29">SUBTOTAL(9,B105:B119)</f>
        <v>20.799493118010211</v>
      </c>
      <c r="C120" s="32">
        <f t="shared" si="29"/>
        <v>34.308392412878106</v>
      </c>
      <c r="D120" s="32">
        <f t="shared" si="29"/>
        <v>21.27498810321131</v>
      </c>
      <c r="E120" s="32">
        <f t="shared" si="29"/>
        <v>25.746650203969519</v>
      </c>
      <c r="F120" s="32">
        <f t="shared" si="29"/>
        <v>49.734926376107495</v>
      </c>
      <c r="G120" s="32">
        <f t="shared" si="29"/>
        <v>32.542870379992017</v>
      </c>
      <c r="H120" s="32">
        <f t="shared" si="29"/>
        <v>206.94332374245019</v>
      </c>
      <c r="I120" s="32">
        <f t="shared" si="29"/>
        <v>417.09591983961445</v>
      </c>
      <c r="J120" s="32">
        <f t="shared" si="29"/>
        <v>55.488035445571185</v>
      </c>
      <c r="K120" s="32">
        <f t="shared" ref="K120" si="30">SUBTOTAL(9,K105:K119)</f>
        <v>3.0634002460449548</v>
      </c>
    </row>
    <row r="121" spans="1:11" x14ac:dyDescent="0.3">
      <c r="A121" s="32" t="s">
        <v>246</v>
      </c>
    </row>
    <row r="122" spans="1:11" x14ac:dyDescent="0.3">
      <c r="A122" s="36" t="s">
        <v>255</v>
      </c>
      <c r="B122" s="32">
        <f>IFERROR('1.3'!B122/'2.2'!B$39/'2.2'!B$10,0)</f>
        <v>4.7116141920748129</v>
      </c>
      <c r="C122" s="32">
        <f>IFERROR('1.3'!C122/'2.2'!C$39/'2.2'!C$10,0)</f>
        <v>8.3719840437761288</v>
      </c>
      <c r="D122" s="32">
        <f>IFERROR('1.3'!D122/'2.2'!D$39/'2.2'!D$10,0)</f>
        <v>4.8990299824676899</v>
      </c>
      <c r="E122" s="32">
        <f>IFERROR('1.3'!E122/'2.2'!E$39/'2.2'!E$10,0)</f>
        <v>5.7663307265382135</v>
      </c>
      <c r="F122" s="32">
        <f>IFERROR('1.3'!F122/'2.2'!F$39/'2.2'!F$10,0)</f>
        <v>11.953357373913571</v>
      </c>
      <c r="G122" s="32">
        <f>IFERROR('1.3'!G122/'2.2'!G$39/'2.2'!G$10,0)</f>
        <v>7.9221066304107026</v>
      </c>
      <c r="H122" s="32">
        <f>IFERROR('1.3'!H122/'2.2'!H$39/'2.2'!H$10,0)</f>
        <v>40.521228273943514</v>
      </c>
      <c r="I122" s="32">
        <f>IFERROR('1.3'!I122/'2.2'!I$39/'2.2'!I$10,0)</f>
        <v>127.31775684878357</v>
      </c>
      <c r="J122" s="32">
        <f>IFERROR('1.3'!J122/'2.2'!J$39/'2.2'!J$10,0)</f>
        <v>8.1961919305477267</v>
      </c>
      <c r="K122" s="32">
        <f>IFERROR('1.3'!K122/'2.2'!K$39/'2.2'!K$10,0)</f>
        <v>0.7136027450536665</v>
      </c>
    </row>
    <row r="123" spans="1:11" x14ac:dyDescent="0.3">
      <c r="A123" s="36" t="s">
        <v>256</v>
      </c>
      <c r="B123" s="32">
        <f>IFERROR('1.3'!B123/'2.2'!B$39/'2.2'!B$10,0)</f>
        <v>0.4272127250559683</v>
      </c>
      <c r="C123" s="32">
        <f>IFERROR('1.3'!C123/'2.2'!C$39/'2.2'!C$10,0)</f>
        <v>0.75910674593916228</v>
      </c>
      <c r="D123" s="32">
        <f>IFERROR('1.3'!D123/'2.2'!D$39/'2.2'!D$10,0)</f>
        <v>0.44420613904706624</v>
      </c>
      <c r="E123" s="32">
        <f>IFERROR('1.3'!E123/'2.2'!E$39/'2.2'!E$10,0)</f>
        <v>0.52284626092730746</v>
      </c>
      <c r="F123" s="32">
        <f>IFERROR('1.3'!F123/'2.2'!F$39/'2.2'!F$10,0)</f>
        <v>1.0838379733780175</v>
      </c>
      <c r="G123" s="32">
        <f>IFERROR('1.3'!G123/'2.2'!G$39/'2.2'!G$10,0)</f>
        <v>0.71831534242648631</v>
      </c>
      <c r="H123" s="32">
        <f>IFERROR('1.3'!H123/'2.2'!H$39/'2.2'!H$10,0)</f>
        <v>3.6741515004867544</v>
      </c>
      <c r="I123" s="32">
        <f>IFERROR('1.3'!I123/'2.2'!I$39/'2.2'!I$10,0)</f>
        <v>11.544189238344657</v>
      </c>
      <c r="J123" s="32">
        <f>IFERROR('1.3'!J123/'2.2'!J$39/'2.2'!J$10,0)</f>
        <v>0.74316727707051466</v>
      </c>
      <c r="K123" s="32">
        <f>IFERROR('1.3'!K123/'2.2'!K$39/'2.2'!K$10,0)</f>
        <v>6.4703976364318488E-2</v>
      </c>
    </row>
    <row r="124" spans="1:11" x14ac:dyDescent="0.3">
      <c r="A124" s="36" t="s">
        <v>257</v>
      </c>
      <c r="B124" s="32">
        <f>IFERROR('1.3'!B124/'2.2'!B$39/'2.2'!B$10,0)</f>
        <v>-0.24895485949255525</v>
      </c>
      <c r="C124" s="32">
        <f>IFERROR('1.3'!C124/'2.2'!C$39/'2.2'!C$10,0)</f>
        <v>-0.44236349291884175</v>
      </c>
      <c r="D124" s="32">
        <f>IFERROR('1.3'!D124/'2.2'!D$39/'2.2'!D$10,0)</f>
        <v>-0.25885763800154832</v>
      </c>
      <c r="E124" s="32">
        <f>IFERROR('1.3'!E124/'2.2'!E$39/'2.2'!E$10,0)</f>
        <v>-0.30468455125795491</v>
      </c>
      <c r="F124" s="32">
        <f>IFERROR('1.3'!F124/'2.2'!F$39/'2.2'!F$10,0)</f>
        <v>-0.63159806473384139</v>
      </c>
      <c r="G124" s="32">
        <f>IFERROR('1.3'!G124/'2.2'!G$39/'2.2'!G$10,0)</f>
        <v>-0.41859262296483485</v>
      </c>
      <c r="H124" s="32">
        <f>IFERROR('1.3'!H124/'2.2'!H$39/'2.2'!H$10,0)</f>
        <v>-2.1410829240589879</v>
      </c>
      <c r="I124" s="32">
        <f>IFERROR('1.3'!I124/'2.2'!I$39/'2.2'!I$10,0)</f>
        <v>-6.7272855915306549</v>
      </c>
      <c r="J124" s="32">
        <f>IFERROR('1.3'!J124/'2.2'!J$39/'2.2'!J$10,0)</f>
        <v>-0.43307489265053239</v>
      </c>
      <c r="K124" s="32">
        <f>IFERROR('1.3'!K124/'2.2'!K$39/'2.2'!K$10,0)</f>
        <v>-3.7705733934489429E-2</v>
      </c>
    </row>
    <row r="125" spans="1:11" x14ac:dyDescent="0.3">
      <c r="A125" s="3" t="s">
        <v>728</v>
      </c>
      <c r="B125" s="32">
        <f>IFERROR('1.3'!B125/'2.2'!B$39/'2.2'!B$10,0)</f>
        <v>-1.5600287822017089E-2</v>
      </c>
      <c r="C125" s="32">
        <f>IFERROR('1.3'!C125/'2.2'!C$39/'2.2'!C$10,0)</f>
        <v>-2.7719875906632451E-2</v>
      </c>
      <c r="D125" s="32">
        <f>IFERROR('1.3'!D125/'2.2'!D$39/'2.2'!D$10,0)</f>
        <v>-1.6220826803633539E-2</v>
      </c>
      <c r="E125" s="32">
        <f>IFERROR('1.3'!E125/'2.2'!E$39/'2.2'!E$10,0)</f>
        <v>-1.9092484092235015E-2</v>
      </c>
      <c r="F125" s="32">
        <f>IFERROR('1.3'!F125/'2.2'!F$39/'2.2'!F$10,0)</f>
        <v>-3.9577904274535967E-2</v>
      </c>
      <c r="G125" s="32">
        <f>IFERROR('1.3'!G125/'2.2'!G$39/'2.2'!G$10,0)</f>
        <v>-2.6230319069629488E-2</v>
      </c>
      <c r="H125" s="32">
        <f>IFERROR('1.3'!H125/'2.2'!H$39/'2.2'!H$10,0)</f>
        <v>-0.13416693264878807</v>
      </c>
      <c r="I125" s="32">
        <f>IFERROR('1.3'!I125/'2.2'!I$39/'2.2'!I$10,0)</f>
        <v>-0.42155269313762889</v>
      </c>
      <c r="J125" s="32">
        <f>IFERROR('1.3'!J125/'2.2'!J$39/'2.2'!J$10,0)</f>
        <v>-2.7137823248794591E-2</v>
      </c>
      <c r="K125" s="32">
        <f>IFERROR('1.3'!K125/'2.2'!K$39/'2.2'!K$10,0)</f>
        <v>-2.3627588676814804E-3</v>
      </c>
    </row>
    <row r="126" spans="1:11" x14ac:dyDescent="0.3">
      <c r="A126" s="36" t="s">
        <v>258</v>
      </c>
      <c r="B126" s="32">
        <f>IFERROR('1.3'!B126/'2.2'!B$39/'2.2'!B$10,0)</f>
        <v>7.9541908406613373E-3</v>
      </c>
      <c r="C126" s="32">
        <f>IFERROR('1.3'!C126/'2.2'!C$39/'2.2'!C$10,0)</f>
        <v>1.4133661221918142E-2</v>
      </c>
      <c r="D126" s="32">
        <f>IFERROR('1.3'!D126/'2.2'!D$39/'2.2'!D$10,0)</f>
        <v>8.2705879187255481E-3</v>
      </c>
      <c r="E126" s="32">
        <f>IFERROR('1.3'!E126/'2.2'!E$39/'2.2'!E$10,0)</f>
        <v>9.7347730903782868E-3</v>
      </c>
      <c r="F126" s="32">
        <f>IFERROR('1.3'!F126/'2.2'!F$39/'2.2'!F$10,0)</f>
        <v>2.0179768941748975E-2</v>
      </c>
      <c r="G126" s="32">
        <f>IFERROR('1.3'!G126/'2.2'!G$39/'2.2'!G$10,0)</f>
        <v>1.3374173994200989E-2</v>
      </c>
      <c r="H126" s="32">
        <f>IFERROR('1.3'!H126/'2.2'!H$39/'2.2'!H$10,0)</f>
        <v>6.8408313934340687E-2</v>
      </c>
      <c r="I126" s="32">
        <f>IFERROR('1.3'!I126/'2.2'!I$39/'2.2'!I$10,0)</f>
        <v>0.21493901964290152</v>
      </c>
      <c r="J126" s="32">
        <f>IFERROR('1.3'!J126/'2.2'!J$39/'2.2'!J$10,0)</f>
        <v>1.3836887343604031E-2</v>
      </c>
      <c r="K126" s="32">
        <f>IFERROR('1.3'!K126/'2.2'!K$39/'2.2'!K$10,0)</f>
        <v>1.2047107821612857E-3</v>
      </c>
    </row>
    <row r="127" spans="1:11" x14ac:dyDescent="0.3">
      <c r="A127" s="36" t="s">
        <v>259</v>
      </c>
      <c r="B127" s="32">
        <f t="shared" ref="B127:J127" si="31">SUBTOTAL(9,B121:B126)</f>
        <v>4.8822259606568696</v>
      </c>
      <c r="C127" s="32">
        <f t="shared" si="31"/>
        <v>8.6751410821117343</v>
      </c>
      <c r="D127" s="32">
        <f t="shared" si="31"/>
        <v>5.0764282446283007</v>
      </c>
      <c r="E127" s="32">
        <f t="shared" si="31"/>
        <v>5.9751347252057094</v>
      </c>
      <c r="F127" s="32">
        <f t="shared" si="31"/>
        <v>12.386199147224959</v>
      </c>
      <c r="G127" s="32">
        <f t="shared" si="31"/>
        <v>8.2089732047969246</v>
      </c>
      <c r="H127" s="32">
        <f t="shared" si="31"/>
        <v>41.988538231656833</v>
      </c>
      <c r="I127" s="32">
        <f t="shared" si="31"/>
        <v>131.92804682210283</v>
      </c>
      <c r="J127" s="32">
        <f t="shared" si="31"/>
        <v>8.4929833790625189</v>
      </c>
      <c r="K127" s="32">
        <f t="shared" ref="K127" si="32">SUBTOTAL(9,K121:K126)</f>
        <v>0.73944293939797545</v>
      </c>
    </row>
    <row r="128" spans="1:11" x14ac:dyDescent="0.3">
      <c r="A128" s="32" t="s">
        <v>260</v>
      </c>
      <c r="B128" s="32">
        <f t="shared" ref="B128:J128" si="33">SUBTOTAL(9,B105:B127)</f>
        <v>25.681719078667079</v>
      </c>
      <c r="C128" s="32">
        <f t="shared" si="33"/>
        <v>42.983533494989842</v>
      </c>
      <c r="D128" s="32">
        <f t="shared" si="33"/>
        <v>26.351416347839614</v>
      </c>
      <c r="E128" s="32">
        <f t="shared" si="33"/>
        <v>31.721784929175229</v>
      </c>
      <c r="F128" s="32">
        <f t="shared" si="33"/>
        <v>62.121125523332452</v>
      </c>
      <c r="G128" s="32">
        <f t="shared" si="33"/>
        <v>40.751843584788936</v>
      </c>
      <c r="H128" s="32">
        <f t="shared" si="33"/>
        <v>248.93186197410699</v>
      </c>
      <c r="I128" s="32">
        <f t="shared" si="33"/>
        <v>549.02396666171728</v>
      </c>
      <c r="J128" s="32">
        <f t="shared" si="33"/>
        <v>63.981018824633701</v>
      </c>
      <c r="K128" s="32">
        <f t="shared" ref="K128" si="34">SUBTOTAL(9,K105:K127)</f>
        <v>3.8028431854429301</v>
      </c>
    </row>
    <row r="129" spans="1:11" x14ac:dyDescent="0.3">
      <c r="A129" s="32" t="s">
        <v>261</v>
      </c>
      <c r="B129" s="32">
        <f>IFERROR('1.3'!B129/'2.2'!B$39/'2.2'!B$10,0)</f>
        <v>2.5650641895982118</v>
      </c>
      <c r="C129" s="32">
        <f>IFERROR('1.3'!C129/'2.2'!C$39/'2.2'!C$10,0)</f>
        <v>4.5578172556444319</v>
      </c>
      <c r="D129" s="32">
        <f>IFERROR('1.3'!D129/'2.2'!D$39/'2.2'!D$10,0)</f>
        <v>2.6670957891529112</v>
      </c>
      <c r="E129" s="32">
        <f>IFERROR('1.3'!E129/'2.2'!E$39/'2.2'!E$10,0)</f>
        <v>3.1392656208783571</v>
      </c>
      <c r="F129" s="32">
        <f>IFERROR('1.3'!F129/'2.2'!F$39/'2.2'!F$10,0)</f>
        <v>6.5075635855051734</v>
      </c>
      <c r="G129" s="32">
        <f>IFERROR('1.3'!G129/'2.2'!G$39/'2.2'!G$10,0)</f>
        <v>4.3128981269361093</v>
      </c>
      <c r="H129" s="32">
        <f>IFERROR('1.3'!H129/'2.2'!H$39/'2.2'!H$10,0)</f>
        <v>22.060284931406091</v>
      </c>
      <c r="I129" s="32">
        <f>IFERROR('1.3'!I129/'2.2'!I$39/'2.2'!I$10,0)</f>
        <v>69.313446619230675</v>
      </c>
      <c r="J129" s="32">
        <f>IFERROR('1.3'!J129/'2.2'!J$39/'2.2'!J$10,0)</f>
        <v>4.4621137374713102</v>
      </c>
      <c r="K129" s="32">
        <f>IFERROR('1.3'!K129/'2.2'!K$39/'2.2'!K$10,0)</f>
        <v>0.38849463736123285</v>
      </c>
    </row>
    <row r="130" spans="1:11" x14ac:dyDescent="0.3">
      <c r="A130" s="1" t="s">
        <v>606</v>
      </c>
      <c r="B130" s="32">
        <f>IFERROR('1.3'!B130/'2.2'!B$39/'2.2'!B$10,0)</f>
        <v>5.6693028601632598</v>
      </c>
      <c r="C130" s="32">
        <f>IFERROR('1.3'!C130/'2.2'!C$39/'2.2'!C$10,0)</f>
        <v>10.073684123894738</v>
      </c>
      <c r="D130" s="32">
        <f>IFERROR('1.3'!D130/'2.2'!D$39/'2.2'!D$10,0)</f>
        <v>5.8948130214793757</v>
      </c>
      <c r="E130" s="32">
        <f>IFERROR('1.3'!E130/'2.2'!E$39/'2.2'!E$10,0)</f>
        <v>6.9384024132533009</v>
      </c>
      <c r="F130" s="32">
        <f>IFERROR('1.3'!F130/'2.2'!F$39/'2.2'!F$10,0)</f>
        <v>14.383011933037695</v>
      </c>
      <c r="G130" s="32">
        <f>IFERROR('1.3'!G130/'2.2'!G$39/'2.2'!G$10,0)</f>
        <v>9.5323640577047843</v>
      </c>
      <c r="H130" s="32">
        <f>IFERROR('1.3'!H130/'2.2'!H$39/'2.2'!H$10,0)</f>
        <v>48.757624454313252</v>
      </c>
      <c r="I130" s="32">
        <f>IFERROR('1.3'!I130/'2.2'!I$39/'2.2'!I$10,0)</f>
        <v>153.19652535780415</v>
      </c>
      <c r="J130" s="32">
        <f>IFERROR('1.3'!J130/'2.2'!J$39/'2.2'!J$10,0)</f>
        <v>9.8621602830852968</v>
      </c>
      <c r="K130" s="32">
        <f>IFERROR('1.3'!K130/'2.2'!K$39/'2.2'!K$10,0)</f>
        <v>0.85865054281355868</v>
      </c>
    </row>
    <row r="131" spans="1:11" x14ac:dyDescent="0.3">
      <c r="A131" s="1" t="s">
        <v>629</v>
      </c>
      <c r="B131" s="32">
        <f t="shared" ref="B131:K131" si="35">SUBTOTAL(9,B105:B130)</f>
        <v>33.916086128428546</v>
      </c>
      <c r="C131" s="32">
        <f t="shared" si="35"/>
        <v>57.615034874529009</v>
      </c>
      <c r="D131" s="32">
        <f t="shared" si="35"/>
        <v>34.913325158471899</v>
      </c>
      <c r="E131" s="32">
        <f t="shared" si="35"/>
        <v>41.799452963306884</v>
      </c>
      <c r="F131" s="32">
        <f t="shared" si="35"/>
        <v>83.011701041875313</v>
      </c>
      <c r="G131" s="32">
        <f t="shared" si="35"/>
        <v>54.597105769429831</v>
      </c>
      <c r="H131" s="32">
        <f t="shared" si="35"/>
        <v>319.74977135982635</v>
      </c>
      <c r="I131" s="32">
        <f t="shared" si="35"/>
        <v>771.53393863875215</v>
      </c>
      <c r="J131" s="32">
        <f t="shared" si="35"/>
        <v>78.305292845190309</v>
      </c>
      <c r="K131" s="32">
        <f t="shared" ref="K131" si="36">SUBTOTAL(9,K105:K130)</f>
        <v>5.0499883656177218</v>
      </c>
    </row>
    <row r="132" spans="1:11" x14ac:dyDescent="0.3">
      <c r="A132" s="1" t="s">
        <v>632</v>
      </c>
      <c r="B132" s="32">
        <f>IFERROR('1.3'!B132/'2.2'!B$39/'2.2'!B$10,0)</f>
        <v>0</v>
      </c>
      <c r="C132" s="32">
        <f>IFERROR('1.3'!C132/'2.2'!C$39/'2.2'!C$10,0)</f>
        <v>0</v>
      </c>
      <c r="D132" s="32">
        <f>IFERROR('1.3'!D132/'2.2'!D$39/'2.2'!D$10,0)</f>
        <v>0</v>
      </c>
      <c r="E132" s="32">
        <f>IFERROR('1.3'!E132/'2.2'!E$39/'2.2'!E$10,0)</f>
        <v>0</v>
      </c>
      <c r="F132" s="32">
        <f>IFERROR('1.3'!F132/'2.2'!F$39/'2.2'!F$10,0)</f>
        <v>0</v>
      </c>
      <c r="G132" s="32">
        <f>IFERROR('1.3'!G132/'2.2'!G$39/'2.2'!G$10,0)</f>
        <v>0</v>
      </c>
      <c r="H132" s="32">
        <f>IFERROR('1.3'!H132/'2.2'!H$39/'2.2'!H$10,0)</f>
        <v>0</v>
      </c>
      <c r="I132" s="32">
        <f>IFERROR('1.3'!I132/'2.2'!I$39/'2.2'!I$10,0)</f>
        <v>0</v>
      </c>
      <c r="J132" s="32">
        <f>IFERROR('1.3'!J132/'2.2'!J$39/'2.2'!J$10,0)</f>
        <v>0</v>
      </c>
      <c r="K132" s="32">
        <f>IFERROR('1.3'!K132/'2.2'!K$39/'2.2'!K$10,0)</f>
        <v>0</v>
      </c>
    </row>
    <row r="133" spans="1:11" x14ac:dyDescent="0.3">
      <c r="A133" s="1" t="s">
        <v>631</v>
      </c>
      <c r="B133" s="32">
        <f>IFERROR('1.3'!B133/'2.2'!B$39/'2.2'!B$10,0)</f>
        <v>-1.8044664386467593</v>
      </c>
      <c r="C133" s="32">
        <f>IFERROR('1.3'!C133/'2.2'!C$39/'2.2'!C$10,0)</f>
        <v>-2.1144801795643349</v>
      </c>
      <c r="D133" s="32">
        <f>IFERROR('1.3'!D133/'2.2'!D$39/'2.2'!D$10,0)</f>
        <v>-2.3295545631466816</v>
      </c>
      <c r="E133" s="32">
        <f>IFERROR('1.3'!E133/'2.2'!E$39/'2.2'!E$10,0)</f>
        <v>-1.9844268192726044</v>
      </c>
      <c r="F133" s="32">
        <f>IFERROR('1.3'!F133/'2.2'!F$39/'2.2'!F$10,0)</f>
        <v>-2.7654877689493156</v>
      </c>
      <c r="G133" s="32">
        <f>IFERROR('1.3'!G133/'2.2'!G$39/'2.2'!G$10,0)</f>
        <v>-8.9131003668475586</v>
      </c>
      <c r="H133" s="32">
        <f>IFERROR('1.3'!H133/'2.2'!H$39/'2.2'!H$10,0)</f>
        <v>-4.2315634809742617</v>
      </c>
      <c r="I133" s="32">
        <f>IFERROR('1.3'!I133/'2.2'!I$39/'2.2'!I$10,0)</f>
        <v>-16.657467259436686</v>
      </c>
      <c r="J133" s="32">
        <f>IFERROR('1.3'!J133/'2.2'!J$39/'2.2'!J$10,0)</f>
        <v>-1.2579516617308832</v>
      </c>
      <c r="K133" s="32">
        <f>IFERROR('1.3'!K133/'2.2'!K$39/'2.2'!K$10,0)</f>
        <v>-0.24703049829145501</v>
      </c>
    </row>
    <row r="134" spans="1:11" x14ac:dyDescent="0.3">
      <c r="A134" s="1" t="s">
        <v>630</v>
      </c>
      <c r="B134" s="32">
        <f t="shared" ref="B134:J134" si="37">SUBTOTAL(9,B105:B133)</f>
        <v>32.11161968978179</v>
      </c>
      <c r="C134" s="32">
        <f t="shared" si="37"/>
        <v>55.500554694964677</v>
      </c>
      <c r="D134" s="32">
        <f t="shared" si="37"/>
        <v>32.58377059532522</v>
      </c>
      <c r="E134" s="32">
        <f t="shared" si="37"/>
        <v>39.815026144034277</v>
      </c>
      <c r="F134" s="32">
        <f t="shared" si="37"/>
        <v>80.246213272925999</v>
      </c>
      <c r="G134" s="32">
        <f t="shared" si="37"/>
        <v>45.684005402582272</v>
      </c>
      <c r="H134" s="32">
        <f t="shared" si="37"/>
        <v>315.51820787885208</v>
      </c>
      <c r="I134" s="32">
        <f t="shared" si="37"/>
        <v>754.87647137931549</v>
      </c>
      <c r="J134" s="32">
        <f t="shared" si="37"/>
        <v>77.047341183459423</v>
      </c>
      <c r="K134" s="32">
        <f t="shared" ref="K134" si="38">SUBTOTAL(9,K105:K133)</f>
        <v>4.8029578673262669</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36" max="11" man="1"/>
    <brk id="69" max="11" man="1"/>
    <brk id="10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V82"/>
  <sheetViews>
    <sheetView zoomScale="70" zoomScaleNormal="70" zoomScaleSheetLayoutView="40" workbookViewId="0">
      <selection activeCell="E21" sqref="E21"/>
    </sheetView>
  </sheetViews>
  <sheetFormatPr defaultColWidth="8.7109375" defaultRowHeight="13.5" x14ac:dyDescent="0.3"/>
  <cols>
    <col min="1" max="1" width="25.7109375" style="1" customWidth="1"/>
    <col min="2" max="11" width="9.7109375" style="32" customWidth="1"/>
    <col min="12" max="16384" width="8.7109375" style="1"/>
  </cols>
  <sheetData>
    <row r="1" spans="1:22" x14ac:dyDescent="0.3">
      <c r="A1" s="1" t="s">
        <v>546</v>
      </c>
    </row>
    <row r="2" spans="1:22" x14ac:dyDescent="0.3">
      <c r="A2" s="32" t="s">
        <v>607</v>
      </c>
      <c r="V2" s="74"/>
    </row>
    <row r="4" spans="1:22" x14ac:dyDescent="0.3">
      <c r="A4" s="32" t="s">
        <v>595</v>
      </c>
    </row>
    <row r="5" spans="1:22" s="9" customFormat="1" ht="40.5" x14ac:dyDescent="0.25">
      <c r="B5" s="17" t="str">
        <f t="array" ref="B5:J5">TRANSPOSE(List_Classes)</f>
        <v>Residential</v>
      </c>
      <c r="C5" s="17" t="str">
        <v>Residential (S)</v>
      </c>
      <c r="D5" s="17" t="str">
        <v>Farm</v>
      </c>
      <c r="E5" s="17" t="str">
        <v>General Service 1</v>
      </c>
      <c r="F5" s="17" t="str">
        <v>General Service 1 (S)</v>
      </c>
      <c r="G5" s="17" t="str">
        <v>Small Industrial</v>
      </c>
      <c r="H5" s="17" t="str">
        <v>Large Industrial</v>
      </c>
      <c r="I5" s="17" t="str">
        <v>Lights</v>
      </c>
      <c r="J5" s="17" t="str">
        <v>Unmetered</v>
      </c>
      <c r="K5" s="34" t="s">
        <v>214</v>
      </c>
    </row>
    <row r="6" spans="1:22" x14ac:dyDescent="0.3">
      <c r="A6" s="1" t="str">
        <f t="array" ref="A6:A21">List_Functions</f>
        <v>Generation</v>
      </c>
      <c r="B6" s="75">
        <f>IFERROR(100*'1.4'!B6/'2.2'!B$38,0)</f>
        <v>949.93796792495016</v>
      </c>
      <c r="C6" s="75">
        <f>IFERROR(100*'1.4'!C6/'2.2'!C$38,0)</f>
        <v>624.61834806348679</v>
      </c>
      <c r="D6" s="75">
        <f>IFERROR(100*'1.4'!D6/'2.2'!D$38,0)</f>
        <v>625.50118087364297</v>
      </c>
      <c r="E6" s="75">
        <f>IFERROR(100*'1.4'!E6/'2.2'!E$38,0)</f>
        <v>641.3923397643423</v>
      </c>
      <c r="F6" s="75">
        <f>IFERROR(100*'1.4'!F6/'2.2'!F$38,0)</f>
        <v>273.13994007716099</v>
      </c>
      <c r="G6" s="75">
        <f>IFERROR(100*'1.4'!G6/'2.2'!G$38,0)</f>
        <v>819.54323521711092</v>
      </c>
      <c r="H6" s="75">
        <f>IFERROR(100*'1.4'!H6/'2.2'!H$38,0)</f>
        <v>505.24132809056618</v>
      </c>
      <c r="I6" s="75">
        <f>IFERROR(100*'1.4'!I6/'2.2'!I$38,0)</f>
        <v>859.10893773059706</v>
      </c>
      <c r="J6" s="75">
        <f>IFERROR(100*'1.4'!J6/'2.2'!J$38,0)</f>
        <v>583.97685749025254</v>
      </c>
      <c r="K6" s="75">
        <f>IFERROR(100*'1.4'!K6/'2.2'!K$38,0)</f>
        <v>785.8460926383483</v>
      </c>
    </row>
    <row r="7" spans="1:22" x14ac:dyDescent="0.3">
      <c r="A7" s="1" t="str">
        <v>Purchased Power</v>
      </c>
      <c r="B7" s="75">
        <f>IFERROR(100*'1.4'!B7/'2.2'!B$38,0)</f>
        <v>10177.255570784147</v>
      </c>
      <c r="C7" s="75">
        <f>IFERROR(100*'1.4'!C7/'2.2'!C$38,0)</f>
        <v>9191.1844362597221</v>
      </c>
      <c r="D7" s="75">
        <f>IFERROR(100*'1.4'!D7/'2.2'!D$38,0)</f>
        <v>9190.678926933706</v>
      </c>
      <c r="E7" s="75">
        <f>IFERROR(100*'1.4'!E7/'2.2'!E$38,0)</f>
        <v>9172.1662050123796</v>
      </c>
      <c r="F7" s="75">
        <f>IFERROR(100*'1.4'!F7/'2.2'!F$38,0)</f>
        <v>8105.2054875170224</v>
      </c>
      <c r="G7" s="75">
        <f>IFERROR(100*'1.4'!G7/'2.2'!G$38,0)</f>
        <v>9747.2656294785338</v>
      </c>
      <c r="H7" s="75">
        <f>IFERROR(100*'1.4'!H7/'2.2'!H$38,0)</f>
        <v>7913.3203829598679</v>
      </c>
      <c r="I7" s="75">
        <f>IFERROR(100*'1.4'!I7/'2.2'!I$38,0)</f>
        <v>9873.4148342245226</v>
      </c>
      <c r="J7" s="75">
        <f>IFERROR(100*'1.4'!J7/'2.2'!J$38,0)</f>
        <v>9041.4779423460877</v>
      </c>
      <c r="K7" s="75">
        <f>IFERROR(100*'1.4'!K7/'2.2'!K$38,0)</f>
        <v>9554.0439843583154</v>
      </c>
    </row>
    <row r="8" spans="1:22" x14ac:dyDescent="0.3">
      <c r="A8" s="1" t="str">
        <v>Transmission</v>
      </c>
      <c r="B8" s="75">
        <f>IFERROR(100*'1.4'!B8/'2.2'!B$38,0)</f>
        <v>1853.420971925877</v>
      </c>
      <c r="C8" s="75">
        <f>IFERROR(100*'1.4'!C8/'2.2'!C$38,0)</f>
        <v>969.79195867699264</v>
      </c>
      <c r="D8" s="75">
        <f>IFERROR(100*'1.4'!D8/'2.2'!D$38,0)</f>
        <v>972.47508074802818</v>
      </c>
      <c r="E8" s="75">
        <f>IFERROR(100*'1.4'!E8/'2.2'!E$38,0)</f>
        <v>1021.2092317001204</v>
      </c>
      <c r="F8" s="75">
        <f>IFERROR(100*'1.4'!F8/'2.2'!F$38,0)</f>
        <v>17.3803244404343</v>
      </c>
      <c r="G8" s="75">
        <f>IFERROR(100*'1.4'!G8/'2.2'!G$38,0)</f>
        <v>1502.7108976725826</v>
      </c>
      <c r="H8" s="75">
        <f>IFERROR(100*'1.4'!H8/'2.2'!H$38,0)</f>
        <v>679.07141558089518</v>
      </c>
      <c r="I8" s="75">
        <f>IFERROR(100*'1.4'!I8/'2.2'!I$38,0)</f>
        <v>1609.8525512952269</v>
      </c>
      <c r="J8" s="75">
        <f>IFERROR(100*'1.4'!J8/'2.2'!J$38,0)</f>
        <v>862.17066970673272</v>
      </c>
      <c r="K8" s="75">
        <f>IFERROR(100*'1.4'!K8/'2.2'!K$38,0)</f>
        <v>1413.3787174471754</v>
      </c>
    </row>
    <row r="9" spans="1:22" x14ac:dyDescent="0.3">
      <c r="A9" s="1" t="str">
        <v>Substations</v>
      </c>
      <c r="B9" s="75">
        <f>IFERROR(100*'1.4'!B9/'2.2'!B$38,0)</f>
        <v>666.70071258591111</v>
      </c>
      <c r="C9" s="75">
        <f>IFERROR(100*'1.4'!C9/'2.2'!C$38,0)</f>
        <v>348.84734752850028</v>
      </c>
      <c r="D9" s="75">
        <f>IFERROR(100*'1.4'!D9/'2.2'!D$38,0)</f>
        <v>349.81250300251861</v>
      </c>
      <c r="E9" s="75">
        <f>IFERROR(100*'1.4'!E9/'2.2'!E$38,0)</f>
        <v>367.34283942321201</v>
      </c>
      <c r="F9" s="75">
        <f>IFERROR(100*'1.4'!F9/'2.2'!F$38,0)</f>
        <v>6.2519389091466939</v>
      </c>
      <c r="G9" s="75">
        <f>IFERROR(100*'1.4'!G9/'2.2'!G$38,0)</f>
        <v>540.5455325391622</v>
      </c>
      <c r="H9" s="75">
        <f>IFERROR(100*'1.4'!H9/'2.2'!H$38,0)</f>
        <v>60.836210448116788</v>
      </c>
      <c r="I9" s="75">
        <f>IFERROR(100*'1.4'!I9/'2.2'!I$38,0)</f>
        <v>579.08584145971247</v>
      </c>
      <c r="J9" s="75">
        <f>IFERROR(100*'1.4'!J9/'2.2'!J$38,0)</f>
        <v>310.1345072549114</v>
      </c>
      <c r="K9" s="75">
        <f>IFERROR(100*'1.4'!K9/'2.2'!K$38,0)</f>
        <v>487.51652246985083</v>
      </c>
    </row>
    <row r="10" spans="1:22" x14ac:dyDescent="0.3">
      <c r="A10" s="1" t="str">
        <v>Primary Lines</v>
      </c>
      <c r="B10" s="75">
        <f>IFERROR(100*'1.4'!B10/'2.2'!B$38,0)</f>
        <v>2205.0222528351787</v>
      </c>
      <c r="C10" s="75">
        <f>IFERROR(100*'1.4'!C10/'2.2'!C$38,0)</f>
        <v>4849.5130872577529</v>
      </c>
      <c r="D10" s="75">
        <f>IFERROR(100*'1.4'!D10/'2.2'!D$38,0)</f>
        <v>963.13041789232227</v>
      </c>
      <c r="E10" s="75">
        <f>IFERROR(100*'1.4'!E10/'2.2'!E$38,0)</f>
        <v>868.46436555954904</v>
      </c>
      <c r="F10" s="75">
        <f>IFERROR(100*'1.4'!F10/'2.2'!F$38,0)</f>
        <v>3426.7299337369523</v>
      </c>
      <c r="G10" s="75">
        <f>IFERROR(100*'1.4'!G10/'2.2'!G$38,0)</f>
        <v>1060.3335656262143</v>
      </c>
      <c r="H10" s="75">
        <f>IFERROR(100*'1.4'!H10/'2.2'!H$38,0)</f>
        <v>188.76732081759391</v>
      </c>
      <c r="I10" s="75">
        <f>IFERROR(100*'1.4'!I10/'2.2'!I$38,0)</f>
        <v>18063.77854146358</v>
      </c>
      <c r="J10" s="75">
        <f>IFERROR(100*'1.4'!J10/'2.2'!J$38,0)</f>
        <v>2003.7464237324755</v>
      </c>
      <c r="K10" s="75">
        <f>IFERROR(100*'1.4'!K10/'2.2'!K$38,0)</f>
        <v>1597.6064991487722</v>
      </c>
    </row>
    <row r="11" spans="1:22" x14ac:dyDescent="0.3">
      <c r="A11" s="1" t="str">
        <v>Transformers</v>
      </c>
      <c r="B11" s="75">
        <f>IFERROR(100*'1.4'!B11/'2.2'!B$38,0)</f>
        <v>1501.0229137010249</v>
      </c>
      <c r="C11" s="75">
        <f>IFERROR(100*'1.4'!C11/'2.2'!C$38,0)</f>
        <v>2946.7536321634689</v>
      </c>
      <c r="D11" s="75">
        <f>IFERROR(100*'1.4'!D11/'2.2'!D$38,0)</f>
        <v>761.26783544727289</v>
      </c>
      <c r="E11" s="75">
        <f>IFERROR(100*'1.4'!E11/'2.2'!E$38,0)</f>
        <v>650.57982067394448</v>
      </c>
      <c r="F11" s="75">
        <f>IFERROR(100*'1.4'!F11/'2.2'!F$38,0)</f>
        <v>2246.4414357553005</v>
      </c>
      <c r="G11" s="75">
        <f>IFERROR(100*'1.4'!G11/'2.2'!G$38,0)</f>
        <v>870.3087154226738</v>
      </c>
      <c r="H11" s="75">
        <f>IFERROR(100*'1.4'!H11/'2.2'!H$38,0)</f>
        <v>156.77591507942333</v>
      </c>
      <c r="I11" s="75">
        <f>IFERROR(100*'1.4'!I11/'2.2'!I$38,0)</f>
        <v>10256.8426497569</v>
      </c>
      <c r="J11" s="75">
        <f>IFERROR(100*'1.4'!J11/'2.2'!J$38,0)</f>
        <v>1241.5971885084716</v>
      </c>
      <c r="K11" s="75">
        <f>IFERROR(100*'1.4'!K11/'2.2'!K$38,0)</f>
        <v>1107.0646496870675</v>
      </c>
    </row>
    <row r="12" spans="1:22" x14ac:dyDescent="0.3">
      <c r="A12" s="1" t="str">
        <v>Secondary Lines</v>
      </c>
      <c r="B12" s="75">
        <f>IFERROR(100*'1.4'!B12/'2.2'!B$38,0)</f>
        <v>767.22036316548133</v>
      </c>
      <c r="C12" s="75">
        <f>IFERROR(100*'1.4'!C12/'2.2'!C$38,0)</f>
        <v>1687.3668284259577</v>
      </c>
      <c r="D12" s="75">
        <f>IFERROR(100*'1.4'!D12/'2.2'!D$38,0)</f>
        <v>335.1151747142232</v>
      </c>
      <c r="E12" s="75">
        <f>IFERROR(100*'1.4'!E12/'2.2'!E$38,0)</f>
        <v>302.17546153445443</v>
      </c>
      <c r="F12" s="75">
        <f>IFERROR(100*'1.4'!F12/'2.2'!F$38,0)</f>
        <v>1192.2244816866016</v>
      </c>
      <c r="G12" s="75">
        <f>IFERROR(100*'1.4'!G12/'2.2'!G$38,0)</f>
        <v>368.93398902978038</v>
      </c>
      <c r="H12" s="75">
        <f>IFERROR(100*'1.4'!H12/'2.2'!H$38,0)</f>
        <v>65.653586694051924</v>
      </c>
      <c r="I12" s="75">
        <f>IFERROR(100*'1.4'!I12/'2.2'!I$38,0)</f>
        <v>6285.3435860497893</v>
      </c>
      <c r="J12" s="75">
        <f>IFERROR(100*'1.4'!J12/'2.2'!J$38,0)</f>
        <v>696.79836156644183</v>
      </c>
      <c r="K12" s="75">
        <f>IFERROR(100*'1.4'!K12/'2.2'!K$38,0)</f>
        <v>555.87134020434621</v>
      </c>
    </row>
    <row r="13" spans="1:22" x14ac:dyDescent="0.3">
      <c r="A13" s="1" t="str">
        <v>Service Lines</v>
      </c>
      <c r="B13" s="75">
        <f>IFERROR(100*'1.4'!B13/'2.2'!B$38,0)</f>
        <v>720.98706734763834</v>
      </c>
      <c r="C13" s="75">
        <f>IFERROR(100*'1.4'!C13/'2.2'!C$38,0)</f>
        <v>2774.0713067970046</v>
      </c>
      <c r="D13" s="75">
        <f>IFERROR(100*'1.4'!D13/'2.2'!D$38,0)</f>
        <v>101.09623457227346</v>
      </c>
      <c r="E13" s="75">
        <f>IFERROR(100*'1.4'!E13/'2.2'!E$38,0)</f>
        <v>172.17248598048471</v>
      </c>
      <c r="F13" s="75">
        <f>IFERROR(100*'1.4'!F13/'2.2'!F$38,0)</f>
        <v>1732.5550499774552</v>
      </c>
      <c r="G13" s="75">
        <f>IFERROR(100*'1.4'!G13/'2.2'!G$38,0)</f>
        <v>75.918386585119507</v>
      </c>
      <c r="H13" s="75">
        <f>IFERROR(100*'1.4'!H13/'2.2'!H$38,0)</f>
        <v>3.6462519776017381</v>
      </c>
      <c r="I13" s="75">
        <f>IFERROR(100*'1.4'!I13/'2.2'!I$38,0)</f>
        <v>7048.4074149076805</v>
      </c>
      <c r="J13" s="75">
        <f>IFERROR(100*'1.4'!J13/'2.2'!J$38,0)</f>
        <v>629.34790366395225</v>
      </c>
      <c r="K13" s="75">
        <f>IFERROR(100*'1.4'!K13/'2.2'!K$38,0)</f>
        <v>489.75251007619482</v>
      </c>
    </row>
    <row r="14" spans="1:22" x14ac:dyDescent="0.3">
      <c r="A14" s="1" t="str">
        <v>Meter Assets</v>
      </c>
      <c r="B14" s="75">
        <f>IFERROR(100*'1.4'!B14/'2.2'!B$38,0)</f>
        <v>193.55943432921163</v>
      </c>
      <c r="C14" s="75">
        <f>IFERROR(100*'1.4'!C14/'2.2'!C$38,0)</f>
        <v>631.20426301732562</v>
      </c>
      <c r="D14" s="75">
        <f>IFERROR(100*'1.4'!D14/'2.2'!D$38,0)</f>
        <v>22.746079518833167</v>
      </c>
      <c r="E14" s="75">
        <f>IFERROR(100*'1.4'!E14/'2.2'!E$38,0)</f>
        <v>209.61552899773469</v>
      </c>
      <c r="F14" s="75">
        <f>IFERROR(100*'1.4'!F14/'2.2'!F$38,0)</f>
        <v>1764.3525457680598</v>
      </c>
      <c r="G14" s="75">
        <f>IFERROR(100*'1.4'!G14/'2.2'!G$38,0)</f>
        <v>33.351383273305139</v>
      </c>
      <c r="H14" s="75">
        <f>IFERROR(100*'1.4'!H14/'2.2'!H$38,0)</f>
        <v>9.3742010855482203</v>
      </c>
      <c r="I14" s="75">
        <f>IFERROR(100*'1.4'!I14/'2.2'!I$38,0)</f>
        <v>0</v>
      </c>
      <c r="J14" s="75">
        <f>IFERROR(100*'1.4'!J14/'2.2'!J$38,0)</f>
        <v>0</v>
      </c>
      <c r="K14" s="75">
        <f>IFERROR(100*'1.4'!K14/'2.2'!K$38,0)</f>
        <v>178.97084848184545</v>
      </c>
    </row>
    <row r="15" spans="1:22" x14ac:dyDescent="0.3">
      <c r="A15" s="1" t="str">
        <v>Meter Reading</v>
      </c>
      <c r="B15" s="75">
        <f>IFERROR(100*'1.4'!B15/'2.2'!B$38,0)</f>
        <v>161.63960296297421</v>
      </c>
      <c r="C15" s="75">
        <f>IFERROR(100*'1.4'!C15/'2.2'!C$38,0)</f>
        <v>307.88009869454976</v>
      </c>
      <c r="D15" s="75">
        <f>IFERROR(100*'1.4'!D15/'2.2'!D$38,0)</f>
        <v>19.259378705369375</v>
      </c>
      <c r="E15" s="75">
        <f>IFERROR(100*'1.4'!E15/'2.2'!E$38,0)</f>
        <v>34.796121413990441</v>
      </c>
      <c r="F15" s="75">
        <f>IFERROR(100*'1.4'!F15/'2.2'!F$38,0)</f>
        <v>146.50921941189134</v>
      </c>
      <c r="G15" s="75">
        <f>IFERROR(100*'1.4'!G15/'2.2'!G$38,0)</f>
        <v>5.5443977162370341</v>
      </c>
      <c r="H15" s="75">
        <f>IFERROR(100*'1.4'!H15/'2.2'!H$38,0)</f>
        <v>0.36765225817097524</v>
      </c>
      <c r="I15" s="75">
        <f>IFERROR(100*'1.4'!I15/'2.2'!I$38,0)</f>
        <v>0</v>
      </c>
      <c r="J15" s="75">
        <f>IFERROR(100*'1.4'!J15/'2.2'!J$38,0)</f>
        <v>0</v>
      </c>
      <c r="K15" s="75">
        <f>IFERROR(100*'1.4'!K15/'2.2'!K$38,0)</f>
        <v>96.37134905393772</v>
      </c>
    </row>
    <row r="16" spans="1:22" x14ac:dyDescent="0.3">
      <c r="A16" s="1" t="str">
        <v>Billing</v>
      </c>
      <c r="B16" s="75">
        <f>IFERROR(100*'1.4'!B16/'2.2'!B$38,0)</f>
        <v>117.02673722007192</v>
      </c>
      <c r="C16" s="75">
        <f>IFERROR(100*'1.4'!C16/'2.2'!C$38,0)</f>
        <v>222.90455275041788</v>
      </c>
      <c r="D16" s="75">
        <f>IFERROR(100*'1.4'!D16/'2.2'!D$38,0)</f>
        <v>13.943750228657697</v>
      </c>
      <c r="E16" s="75">
        <f>IFERROR(100*'1.4'!E16/'2.2'!E$38,0)</f>
        <v>25.192319718364704</v>
      </c>
      <c r="F16" s="75">
        <f>IFERROR(100*'1.4'!F16/'2.2'!F$38,0)</f>
        <v>106.07237091742103</v>
      </c>
      <c r="G16" s="75">
        <f>IFERROR(100*'1.4'!G16/'2.2'!G$38,0)</f>
        <v>4.0141324445734057</v>
      </c>
      <c r="H16" s="75">
        <f>IFERROR(100*'1.4'!H16/'2.2'!H$38,0)</f>
        <v>1.3308973610630641</v>
      </c>
      <c r="I16" s="75">
        <f>IFERROR(100*'1.4'!I16/'2.2'!I$38,0)</f>
        <v>102.71818170232693</v>
      </c>
      <c r="J16" s="75">
        <f>IFERROR(100*'1.4'!J16/'2.2'!J$38,0)</f>
        <v>1939.2189464556952</v>
      </c>
      <c r="K16" s="75">
        <f>IFERROR(100*'1.4'!K16/'2.2'!K$38,0)</f>
        <v>73.499178441897143</v>
      </c>
    </row>
    <row r="17" spans="1:11" x14ac:dyDescent="0.3">
      <c r="A17" s="1" t="str">
        <v>Remittance &amp; Collection</v>
      </c>
      <c r="B17" s="75">
        <f>IFERROR(100*'1.4'!B17/'2.2'!B$38,0)</f>
        <v>94.614985301625325</v>
      </c>
      <c r="C17" s="75">
        <f>IFERROR(100*'1.4'!C17/'2.2'!C$38,0)</f>
        <v>180.21617523596882</v>
      </c>
      <c r="D17" s="75">
        <f>IFERROR(100*'1.4'!D17/'2.2'!D$38,0)</f>
        <v>11.273387212812972</v>
      </c>
      <c r="E17" s="75">
        <f>IFERROR(100*'1.4'!E17/'2.2'!E$38,0)</f>
        <v>20.367746862706706</v>
      </c>
      <c r="F17" s="75">
        <f>IFERROR(100*'1.4'!F17/'2.2'!F$38,0)</f>
        <v>85.758486083289711</v>
      </c>
      <c r="G17" s="75">
        <f>IFERROR(100*'1.4'!G17/'2.2'!G$38,0)</f>
        <v>3.2453872616124593</v>
      </c>
      <c r="H17" s="75">
        <f>IFERROR(100*'1.4'!H17/'2.2'!H$38,0)</f>
        <v>4.3040705823713589E-2</v>
      </c>
      <c r="I17" s="75">
        <f>IFERROR(100*'1.4'!I17/'2.2'!I$38,0)</f>
        <v>112.9612168858383</v>
      </c>
      <c r="J17" s="75">
        <f>IFERROR(100*'1.4'!J17/'2.2'!J$38,0)</f>
        <v>120.54040786293942</v>
      </c>
      <c r="K17" s="75">
        <f>IFERROR(100*'1.4'!K17/'2.2'!K$38,0)</f>
        <v>56.895143440402968</v>
      </c>
    </row>
    <row r="18" spans="1:11" x14ac:dyDescent="0.3">
      <c r="A18" s="1" t="str">
        <v>Uncollectibles &amp; Damage Claims</v>
      </c>
      <c r="B18" s="75">
        <f>IFERROR(100*'1.4'!B18/'2.2'!B$38,0)</f>
        <v>46.347977040420133</v>
      </c>
      <c r="C18" s="75">
        <f>IFERROR(100*'1.4'!C18/'2.2'!C$38,0)</f>
        <v>151.33794459764133</v>
      </c>
      <c r="D18" s="75">
        <f>IFERROR(100*'1.4'!D18/'2.2'!D$38,0)</f>
        <v>5.5223672026321813</v>
      </c>
      <c r="E18" s="75">
        <f>IFERROR(100*'1.4'!E18/'2.2'!E$38,0)</f>
        <v>9.97731871910573</v>
      </c>
      <c r="F18" s="75">
        <f>IFERROR(100*'1.4'!F18/'2.2'!F$38,0)</f>
        <v>84.0190870682558</v>
      </c>
      <c r="G18" s="75">
        <f>IFERROR(100*'1.4'!G18/'2.2'!G$38,0)</f>
        <v>0</v>
      </c>
      <c r="H18" s="75">
        <f>IFERROR(100*'1.4'!H18/'2.2'!H$38,0)</f>
        <v>0</v>
      </c>
      <c r="I18" s="75">
        <f>IFERROR(100*'1.4'!I18/'2.2'!I$38,0)</f>
        <v>0</v>
      </c>
      <c r="J18" s="75">
        <f>IFERROR(100*'1.4'!J18/'2.2'!J$38,0)</f>
        <v>0</v>
      </c>
      <c r="K18" s="75">
        <f>IFERROR(100*'1.4'!K18/'2.2'!K$38,0)</f>
        <v>28.911122912993093</v>
      </c>
    </row>
    <row r="19" spans="1:11" x14ac:dyDescent="0.3">
      <c r="A19" s="1" t="str">
        <v>Service Connections</v>
      </c>
      <c r="B19" s="75">
        <f>IFERROR(100*'1.4'!B19/'2.2'!B$38,0)</f>
        <v>-33.288326757710728</v>
      </c>
      <c r="C19" s="75">
        <f>IFERROR(100*'1.4'!C19/'2.2'!C$38,0)</f>
        <v>-75.07404186468986</v>
      </c>
      <c r="D19" s="75">
        <f>IFERROR(100*'1.4'!D19/'2.2'!D$38,0)</f>
        <v>0</v>
      </c>
      <c r="E19" s="75">
        <f>IFERROR(100*'1.4'!E19/'2.2'!E$38,0)</f>
        <v>-4.6922734670540311</v>
      </c>
      <c r="F19" s="75">
        <f>IFERROR(100*'1.4'!F19/'2.2'!F$38,0)</f>
        <v>-36.823124927771062</v>
      </c>
      <c r="G19" s="75">
        <f>IFERROR(100*'1.4'!G19/'2.2'!G$38,0)</f>
        <v>0</v>
      </c>
      <c r="H19" s="75">
        <f>IFERROR(100*'1.4'!H19/'2.2'!H$38,0)</f>
        <v>0</v>
      </c>
      <c r="I19" s="75">
        <f>IFERROR(100*'1.4'!I19/'2.2'!I$38,0)</f>
        <v>0</v>
      </c>
      <c r="J19" s="75">
        <f>IFERROR(100*'1.4'!J19/'2.2'!J$38,0)</f>
        <v>0</v>
      </c>
      <c r="K19" s="75">
        <f>IFERROR(100*'1.4'!K19/'2.2'!K$38,0)</f>
        <v>-19.217374213486671</v>
      </c>
    </row>
    <row r="20" spans="1:11" x14ac:dyDescent="0.3">
      <c r="A20" s="1" t="str">
        <v>Late Payments</v>
      </c>
      <c r="B20" s="75">
        <f>IFERROR(100*'1.4'!B20/'2.2'!B$38,0)</f>
        <v>-64.019911868615154</v>
      </c>
      <c r="C20" s="75">
        <f>IFERROR(100*'1.4'!C20/'2.2'!C$38,0)</f>
        <v>-59.48655928650745</v>
      </c>
      <c r="D20" s="75">
        <f>IFERROR(100*'1.4'!D20/'2.2'!D$38,0)</f>
        <v>-20.302913807965993</v>
      </c>
      <c r="E20" s="75">
        <f>IFERROR(100*'1.4'!E20/'2.2'!E$38,0)</f>
        <v>-19.429681766658476</v>
      </c>
      <c r="F20" s="75">
        <f>IFERROR(100*'1.4'!F20/'2.2'!F$38,0)</f>
        <v>-48.629347546394044</v>
      </c>
      <c r="G20" s="75">
        <f>IFERROR(100*'1.4'!G20/'2.2'!G$38,0)</f>
        <v>-28.627269146516028</v>
      </c>
      <c r="H20" s="75">
        <f>IFERROR(100*'1.4'!H20/'2.2'!H$38,0)</f>
        <v>0</v>
      </c>
      <c r="I20" s="75">
        <f>IFERROR(100*'1.4'!I20/'2.2'!I$38,0)</f>
        <v>-24.809972683391777</v>
      </c>
      <c r="J20" s="75">
        <f>IFERROR(100*'1.4'!J20/'2.2'!J$38,0)</f>
        <v>0</v>
      </c>
      <c r="K20" s="75">
        <f>IFERROR(100*'1.4'!K20/'2.2'!K$38,0)</f>
        <v>-40.627889316570688</v>
      </c>
    </row>
    <row r="21" spans="1:11" x14ac:dyDescent="0.3">
      <c r="A21" s="1" t="str">
        <v>Lighting</v>
      </c>
      <c r="B21" s="75">
        <f>IFERROR(100*'1.4'!B21/'2.2'!B$38,0)</f>
        <v>0</v>
      </c>
      <c r="C21" s="75">
        <f>IFERROR(100*'1.4'!C21/'2.2'!C$38,0)</f>
        <v>0</v>
      </c>
      <c r="D21" s="75">
        <f>IFERROR(100*'1.4'!D21/'2.2'!D$38,0)</f>
        <v>0</v>
      </c>
      <c r="E21" s="75">
        <f>IFERROR(100*'1.4'!E21/'2.2'!E$38,0)</f>
        <v>0</v>
      </c>
      <c r="F21" s="75">
        <f>IFERROR(100*'1.4'!F21/'2.2'!F$38,0)</f>
        <v>0</v>
      </c>
      <c r="G21" s="75">
        <f>IFERROR(100*'1.4'!G21/'2.2'!G$38,0)</f>
        <v>0</v>
      </c>
      <c r="H21" s="75">
        <f>IFERROR(100*'1.4'!H21/'2.2'!H$38,0)</f>
        <v>0</v>
      </c>
      <c r="I21" s="75">
        <f>IFERROR(100*'1.4'!I21/'2.2'!I$38,0)</f>
        <v>32676.076796004949</v>
      </c>
      <c r="J21" s="75">
        <f>IFERROR(100*'1.4'!J21/'2.2'!J$38,0)</f>
        <v>0</v>
      </c>
      <c r="K21" s="75">
        <f>IFERROR(100*'1.4'!K21/'2.2'!K$38,0)</f>
        <v>85.88945281447306</v>
      </c>
    </row>
    <row r="22" spans="1:11" x14ac:dyDescent="0.3">
      <c r="A22" s="2" t="s">
        <v>214</v>
      </c>
      <c r="B22" s="75">
        <f>IFERROR(100*'1.4'!B22/'2.2'!B$38,0)</f>
        <v>19357.448318498191</v>
      </c>
      <c r="C22" s="75">
        <f>IFERROR(100*'1.4'!C22/'2.2'!C$38,0)</f>
        <v>24751.129378317586</v>
      </c>
      <c r="D22" s="75">
        <f>IFERROR(100*'1.4'!D22/'2.2'!D$38,0)</f>
        <v>13351.519403244323</v>
      </c>
      <c r="E22" s="75">
        <f>IFERROR(100*'1.4'!E22/'2.2'!E$38,0)</f>
        <v>13471.329830126677</v>
      </c>
      <c r="F22" s="75">
        <f>IFERROR(100*'1.4'!F22/'2.2'!F$38,0)</f>
        <v>19101.187828874827</v>
      </c>
      <c r="G22" s="75">
        <f>IFERROR(100*'1.4'!G22/'2.2'!G$38,0)</f>
        <v>15003.087983120389</v>
      </c>
      <c r="H22" s="75">
        <f>IFERROR(100*'1.4'!H22/'2.2'!H$38,0)</f>
        <v>9584.4282030587219</v>
      </c>
      <c r="I22" s="75">
        <f>IFERROR(100*'1.4'!I22/'2.2'!I$38,0)</f>
        <v>87442.780578797741</v>
      </c>
      <c r="J22" s="75">
        <f>IFERROR(100*'1.4'!J22/'2.2'!J$38,0)</f>
        <v>17429.009208587962</v>
      </c>
      <c r="K22" s="75">
        <f>IFERROR(100*'1.4'!K22/'2.2'!K$38,0)</f>
        <v>16451.772147645563</v>
      </c>
    </row>
    <row r="23" spans="1:11" x14ac:dyDescent="0.3">
      <c r="G23" s="32">
        <f>G22/D22</f>
        <v>1.1236989236951374</v>
      </c>
    </row>
    <row r="24" spans="1:11" x14ac:dyDescent="0.3">
      <c r="A24" s="32" t="s">
        <v>549</v>
      </c>
    </row>
    <row r="25" spans="1:11" s="9" customFormat="1" ht="40.5" x14ac:dyDescent="0.25">
      <c r="B25" s="17" t="str">
        <f t="array" ref="B25:J25">TRANSPOSE(List_Classes)</f>
        <v>Residential</v>
      </c>
      <c r="C25" s="17" t="str">
        <v>Residential (S)</v>
      </c>
      <c r="D25" s="17" t="str">
        <v>Farm</v>
      </c>
      <c r="E25" s="17" t="str">
        <v>General Service 1</v>
      </c>
      <c r="F25" s="17" t="str">
        <v>General Service 1 (S)</v>
      </c>
      <c r="G25" s="17" t="str">
        <v>Small Industrial</v>
      </c>
      <c r="H25" s="17" t="str">
        <v>Large Industrial</v>
      </c>
      <c r="I25" s="17" t="str">
        <v>Lights</v>
      </c>
      <c r="J25" s="17" t="str">
        <v>Unmetered</v>
      </c>
      <c r="K25" s="34" t="s">
        <v>214</v>
      </c>
    </row>
    <row r="26" spans="1:11" x14ac:dyDescent="0.3">
      <c r="A26" s="1" t="str">
        <f t="array" ref="A26:A41">List_Functions</f>
        <v>Generation</v>
      </c>
      <c r="B26" s="32">
        <f>IFERROR('1.4'!B26/'2.2'!B$36,0)</f>
        <v>0</v>
      </c>
      <c r="C26" s="32">
        <f>IFERROR('1.4'!C26/'2.2'!C$36,0)</f>
        <v>0</v>
      </c>
      <c r="D26" s="32">
        <f>IFERROR('1.4'!D26/'2.2'!D$36,0)</f>
        <v>0</v>
      </c>
      <c r="E26" s="32">
        <f>IFERROR('1.4'!E26/'2.2'!E$36,0)</f>
        <v>1.4322353895423834</v>
      </c>
      <c r="F26" s="32">
        <f>IFERROR('1.4'!F26/'2.2'!F$36,0)</f>
        <v>3.8330249129397725E-2</v>
      </c>
      <c r="G26" s="32">
        <f>IFERROR('1.4'!G26/'2.2'!G$36,0)</f>
        <v>1.5801184137995672</v>
      </c>
      <c r="H26" s="32">
        <f>IFERROR('1.4'!H26/'2.2'!H$36,0)</f>
        <v>1.4036383363373215</v>
      </c>
      <c r="I26" s="32">
        <f>IFERROR('1.4'!I26/'2.2'!I$36,0)</f>
        <v>0</v>
      </c>
      <c r="J26" s="32">
        <f>IFERROR('1.4'!J26/'2.2'!J$36,0)</f>
        <v>6.793198893249186</v>
      </c>
      <c r="K26" s="32">
        <f>IFERROR('1.4'!K26/'2.2'!K$36,0)</f>
        <v>4.5497655136265873</v>
      </c>
    </row>
    <row r="27" spans="1:11" x14ac:dyDescent="0.3">
      <c r="A27" s="1" t="str">
        <v>Purchased Power</v>
      </c>
      <c r="B27" s="32">
        <f>IFERROR('1.4'!B27/'2.2'!B$36,0)</f>
        <v>0</v>
      </c>
      <c r="C27" s="32">
        <f>IFERROR('1.4'!C27/'2.2'!C$36,0)</f>
        <v>0</v>
      </c>
      <c r="D27" s="32">
        <f>IFERROR('1.4'!D27/'2.2'!D$36,0)</f>
        <v>0</v>
      </c>
      <c r="E27" s="32">
        <f>IFERROR('1.4'!E27/'2.2'!E$36,0)</f>
        <v>4.2885075197494169</v>
      </c>
      <c r="F27" s="32">
        <f>IFERROR('1.4'!F27/'2.2'!F$36,0)</f>
        <v>0.11584731199006432</v>
      </c>
      <c r="G27" s="32">
        <f>IFERROR('1.4'!G27/'2.2'!G$36,0)</f>
        <v>4.7756660867693199</v>
      </c>
      <c r="H27" s="32">
        <f>IFERROR('1.4'!H27/'2.2'!H$36,0)</f>
        <v>0.99126419446912883</v>
      </c>
      <c r="I27" s="32">
        <f>IFERROR('1.4'!I27/'2.2'!I$36,0)</f>
        <v>0</v>
      </c>
      <c r="J27" s="32">
        <f>IFERROR('1.4'!J27/'2.2'!J$36,0)</f>
        <v>20.531404033928428</v>
      </c>
      <c r="K27" s="32">
        <f>IFERROR('1.4'!K27/'2.2'!K$36,0)</f>
        <v>13.149163884178215</v>
      </c>
    </row>
    <row r="28" spans="1:11" x14ac:dyDescent="0.3">
      <c r="A28" s="1" t="str">
        <v>Transmission</v>
      </c>
      <c r="B28" s="32">
        <f>IFERROR('1.4'!B28/'2.2'!B$36,0)</f>
        <v>0</v>
      </c>
      <c r="C28" s="32">
        <f>IFERROR('1.4'!C28/'2.2'!C$36,0)</f>
        <v>0</v>
      </c>
      <c r="D28" s="32">
        <f>IFERROR('1.4'!D28/'2.2'!D$36,0)</f>
        <v>0</v>
      </c>
      <c r="E28" s="32">
        <f>IFERROR('1.4'!E28/'2.2'!E$36,0)</f>
        <v>3.8916974045467572</v>
      </c>
      <c r="F28" s="32">
        <f>IFERROR('1.4'!F28/'2.2'!F$36,0)</f>
        <v>0.10615066063195235</v>
      </c>
      <c r="G28" s="32">
        <f>IFERROR('1.4'!G28/'2.2'!G$36,0)</f>
        <v>4.2936080313699296</v>
      </c>
      <c r="H28" s="32">
        <f>IFERROR('1.4'!H28/'2.2'!H$36,0)</f>
        <v>3.8140793395260659</v>
      </c>
      <c r="I28" s="32">
        <f>IFERROR('1.4'!I28/'2.2'!I$36,0)</f>
        <v>0</v>
      </c>
      <c r="J28" s="32">
        <f>IFERROR('1.4'!J28/'2.2'!J$36,0)</f>
        <v>18.462644644224984</v>
      </c>
      <c r="K28" s="32">
        <f>IFERROR('1.4'!K28/'2.2'!K$36,0)</f>
        <v>12.362793904723695</v>
      </c>
    </row>
    <row r="29" spans="1:11" x14ac:dyDescent="0.3">
      <c r="A29" s="1" t="str">
        <v>Substations</v>
      </c>
      <c r="B29" s="32">
        <f>IFERROR('1.4'!B29/'2.2'!B$36,0)</f>
        <v>0</v>
      </c>
      <c r="C29" s="32">
        <f>IFERROR('1.4'!C29/'2.2'!C$36,0)</f>
        <v>0</v>
      </c>
      <c r="D29" s="32">
        <f>IFERROR('1.4'!D29/'2.2'!D$36,0)</f>
        <v>0</v>
      </c>
      <c r="E29" s="32">
        <f>IFERROR('1.4'!E29/'2.2'!E$36,0)</f>
        <v>1.3998964466685813</v>
      </c>
      <c r="F29" s="32">
        <f>IFERROR('1.4'!F29/'2.2'!F$36,0)</f>
        <v>3.8183835273672584E-2</v>
      </c>
      <c r="G29" s="32">
        <f>IFERROR('1.4'!G29/'2.2'!G$36,0)</f>
        <v>1.5444691613176607</v>
      </c>
      <c r="H29" s="32">
        <f>IFERROR('1.4'!H29/'2.2'!H$36,0)</f>
        <v>0.34169327119553994</v>
      </c>
      <c r="I29" s="32">
        <f>IFERROR('1.4'!I29/'2.2'!I$36,0)</f>
        <v>0</v>
      </c>
      <c r="J29" s="32">
        <f>IFERROR('1.4'!J29/'2.2'!J$36,0)</f>
        <v>6.6412641957617389</v>
      </c>
      <c r="K29" s="32">
        <f>IFERROR('1.4'!K29/'2.2'!K$36,0)</f>
        <v>4.2642967649381092</v>
      </c>
    </row>
    <row r="30" spans="1:11" x14ac:dyDescent="0.3">
      <c r="A30" s="1" t="str">
        <v>Primary Lines</v>
      </c>
      <c r="B30" s="32">
        <f>IFERROR('1.4'!B30/'2.2'!B$36,0)</f>
        <v>0</v>
      </c>
      <c r="C30" s="32">
        <f>IFERROR('1.4'!C30/'2.2'!C$36,0)</f>
        <v>0</v>
      </c>
      <c r="D30" s="32">
        <f>IFERROR('1.4'!D30/'2.2'!D$36,0)</f>
        <v>0</v>
      </c>
      <c r="E30" s="32">
        <f>IFERROR('1.4'!E30/'2.2'!E$36,0)</f>
        <v>2.3253533209736843</v>
      </c>
      <c r="F30" s="32">
        <f>IFERROR('1.4'!F30/'2.2'!F$36,0)</f>
        <v>7.6453539110758184</v>
      </c>
      <c r="G30" s="32">
        <f>IFERROR('1.4'!G30/'2.2'!G$36,0)</f>
        <v>2.9120438661994994</v>
      </c>
      <c r="H30" s="32">
        <f>IFERROR('1.4'!H30/'2.2'!H$36,0)</f>
        <v>1.0571669899750902</v>
      </c>
      <c r="I30" s="32">
        <f>IFERROR('1.4'!I30/'2.2'!I$36,0)</f>
        <v>0</v>
      </c>
      <c r="J30" s="32">
        <f>IFERROR('1.4'!J30/'2.2'!J$36,0)</f>
        <v>10.176494082768103</v>
      </c>
      <c r="K30" s="32">
        <f>IFERROR('1.4'!K30/'2.2'!K$36,0)</f>
        <v>6.9871152176032343</v>
      </c>
    </row>
    <row r="31" spans="1:11" x14ac:dyDescent="0.3">
      <c r="A31" s="1" t="str">
        <v>Transformers</v>
      </c>
      <c r="B31" s="32">
        <f>IFERROR('1.4'!B31/'2.2'!B$36,0)</f>
        <v>0</v>
      </c>
      <c r="C31" s="32">
        <f>IFERROR('1.4'!C31/'2.2'!C$36,0)</f>
        <v>0</v>
      </c>
      <c r="D31" s="32">
        <f>IFERROR('1.4'!D31/'2.2'!D$36,0)</f>
        <v>0</v>
      </c>
      <c r="E31" s="32">
        <f>IFERROR('1.4'!E31/'2.2'!E$36,0)</f>
        <v>1.9336381112146896</v>
      </c>
      <c r="F31" s="32">
        <f>IFERROR('1.4'!F31/'2.2'!F$36,0)</f>
        <v>6.3562591440461311</v>
      </c>
      <c r="G31" s="32">
        <f>IFERROR('1.4'!G31/'2.2'!G$36,0)</f>
        <v>2.4214967498873508</v>
      </c>
      <c r="H31" s="32">
        <f>IFERROR('1.4'!H31/'2.2'!H$36,0)</f>
        <v>0.87909256742460751</v>
      </c>
      <c r="I31" s="32">
        <f>IFERROR('1.4'!I31/'2.2'!I$36,0)</f>
        <v>0</v>
      </c>
      <c r="J31" s="32">
        <f>IFERROR('1.4'!J31/'2.2'!J$36,0)</f>
        <v>8.4421632048483488</v>
      </c>
      <c r="K31" s="32">
        <f>IFERROR('1.4'!K31/'2.2'!K$36,0)</f>
        <v>5.8100827192331943</v>
      </c>
    </row>
    <row r="32" spans="1:11" x14ac:dyDescent="0.3">
      <c r="A32" s="1" t="str">
        <v>Secondary Lines</v>
      </c>
      <c r="B32" s="32">
        <f>IFERROR('1.4'!B32/'2.2'!B$36,0)</f>
        <v>0</v>
      </c>
      <c r="C32" s="32">
        <f>IFERROR('1.4'!C32/'2.2'!C$36,0)</f>
        <v>0</v>
      </c>
      <c r="D32" s="32">
        <f>IFERROR('1.4'!D32/'2.2'!D$36,0)</f>
        <v>0</v>
      </c>
      <c r="E32" s="32">
        <f>IFERROR('1.4'!E32/'2.2'!E$36,0)</f>
        <v>0.80908705185294738</v>
      </c>
      <c r="F32" s="32">
        <f>IFERROR('1.4'!F32/'2.2'!F$36,0)</f>
        <v>2.6596326074887897</v>
      </c>
      <c r="G32" s="32">
        <f>IFERROR('1.4'!G32/'2.2'!G$36,0)</f>
        <v>1.0132204444435065</v>
      </c>
      <c r="H32" s="32">
        <f>IFERROR('1.4'!H32/'2.2'!H$36,0)</f>
        <v>0.36783636480799753</v>
      </c>
      <c r="I32" s="32">
        <f>IFERROR('1.4'!I32/'2.2'!I$36,0)</f>
        <v>0</v>
      </c>
      <c r="J32" s="32">
        <f>IFERROR('1.4'!J32/'2.2'!J$36,0)</f>
        <v>3.532431895636031</v>
      </c>
      <c r="K32" s="32">
        <f>IFERROR('1.4'!K32/'2.2'!K$36,0)</f>
        <v>2.4310974587551502</v>
      </c>
    </row>
    <row r="33" spans="1:11" x14ac:dyDescent="0.3">
      <c r="A33" s="1" t="str">
        <v>Service Lines</v>
      </c>
      <c r="B33" s="32">
        <f>IFERROR('1.4'!B33/'2.2'!B$36,0)</f>
        <v>0</v>
      </c>
      <c r="C33" s="32">
        <f>IFERROR('1.4'!C33/'2.2'!C$36,0)</f>
        <v>0</v>
      </c>
      <c r="D33" s="32">
        <f>IFERROR('1.4'!D33/'2.2'!D$36,0)</f>
        <v>0</v>
      </c>
      <c r="E33" s="32">
        <f>IFERROR('1.4'!E33/'2.2'!E$36,0)</f>
        <v>0</v>
      </c>
      <c r="F33" s="32">
        <f>IFERROR('1.4'!F33/'2.2'!F$36,0)</f>
        <v>0</v>
      </c>
      <c r="G33" s="32">
        <f>IFERROR('1.4'!G33/'2.2'!G$36,0)</f>
        <v>0</v>
      </c>
      <c r="H33" s="32">
        <f>IFERROR('1.4'!H33/'2.2'!H$36,0)</f>
        <v>0</v>
      </c>
      <c r="I33" s="32">
        <f>IFERROR('1.4'!I33/'2.2'!I$36,0)</f>
        <v>0</v>
      </c>
      <c r="J33" s="32">
        <f>IFERROR('1.4'!J33/'2.2'!J$36,0)</f>
        <v>0</v>
      </c>
      <c r="K33" s="32">
        <f>IFERROR('1.4'!K33/'2.2'!K$36,0)</f>
        <v>0</v>
      </c>
    </row>
    <row r="34" spans="1:11" x14ac:dyDescent="0.3">
      <c r="A34" s="1" t="str">
        <v>Meter Assets</v>
      </c>
      <c r="B34" s="32">
        <f>IFERROR('1.4'!B34/'2.2'!B$36,0)</f>
        <v>0</v>
      </c>
      <c r="C34" s="32">
        <f>IFERROR('1.4'!C34/'2.2'!C$36,0)</f>
        <v>0</v>
      </c>
      <c r="D34" s="32">
        <f>IFERROR('1.4'!D34/'2.2'!D$36,0)</f>
        <v>0</v>
      </c>
      <c r="E34" s="32">
        <f>IFERROR('1.4'!E34/'2.2'!E$36,0)</f>
        <v>0</v>
      </c>
      <c r="F34" s="32">
        <f>IFERROR('1.4'!F34/'2.2'!F$36,0)</f>
        <v>0</v>
      </c>
      <c r="G34" s="32">
        <f>IFERROR('1.4'!G34/'2.2'!G$36,0)</f>
        <v>0</v>
      </c>
      <c r="H34" s="32">
        <f>IFERROR('1.4'!H34/'2.2'!H$36,0)</f>
        <v>0</v>
      </c>
      <c r="I34" s="32">
        <f>IFERROR('1.4'!I34/'2.2'!I$36,0)</f>
        <v>0</v>
      </c>
      <c r="J34" s="32">
        <f>IFERROR('1.4'!J34/'2.2'!J$36,0)</f>
        <v>0</v>
      </c>
      <c r="K34" s="32">
        <f>IFERROR('1.4'!K34/'2.2'!K$36,0)</f>
        <v>0</v>
      </c>
    </row>
    <row r="35" spans="1:11" x14ac:dyDescent="0.3">
      <c r="A35" s="1" t="str">
        <v>Meter Reading</v>
      </c>
      <c r="B35" s="32">
        <f>IFERROR('1.4'!B35/'2.2'!B$36,0)</f>
        <v>0</v>
      </c>
      <c r="C35" s="32">
        <f>IFERROR('1.4'!C35/'2.2'!C$36,0)</f>
        <v>0</v>
      </c>
      <c r="D35" s="32">
        <f>IFERROR('1.4'!D35/'2.2'!D$36,0)</f>
        <v>0</v>
      </c>
      <c r="E35" s="32">
        <f>IFERROR('1.4'!E35/'2.2'!E$36,0)</f>
        <v>0</v>
      </c>
      <c r="F35" s="32">
        <f>IFERROR('1.4'!F35/'2.2'!F$36,0)</f>
        <v>0</v>
      </c>
      <c r="G35" s="32">
        <f>IFERROR('1.4'!G35/'2.2'!G$36,0)</f>
        <v>0</v>
      </c>
      <c r="H35" s="32">
        <f>IFERROR('1.4'!H35/'2.2'!H$36,0)</f>
        <v>0</v>
      </c>
      <c r="I35" s="32">
        <f>IFERROR('1.4'!I35/'2.2'!I$36,0)</f>
        <v>0</v>
      </c>
      <c r="J35" s="32">
        <f>IFERROR('1.4'!J35/'2.2'!J$36,0)</f>
        <v>0</v>
      </c>
      <c r="K35" s="32">
        <f>IFERROR('1.4'!K35/'2.2'!K$36,0)</f>
        <v>0</v>
      </c>
    </row>
    <row r="36" spans="1:11" x14ac:dyDescent="0.3">
      <c r="A36" s="1" t="str">
        <v>Billing</v>
      </c>
      <c r="B36" s="32">
        <f>IFERROR('1.4'!B36/'2.2'!B$36,0)</f>
        <v>0</v>
      </c>
      <c r="C36" s="32">
        <f>IFERROR('1.4'!C36/'2.2'!C$36,0)</f>
        <v>0</v>
      </c>
      <c r="D36" s="32">
        <f>IFERROR('1.4'!D36/'2.2'!D$36,0)</f>
        <v>0</v>
      </c>
      <c r="E36" s="32">
        <f>IFERROR('1.4'!E36/'2.2'!E$36,0)</f>
        <v>0</v>
      </c>
      <c r="F36" s="32">
        <f>IFERROR('1.4'!F36/'2.2'!F$36,0)</f>
        <v>0</v>
      </c>
      <c r="G36" s="32">
        <f>IFERROR('1.4'!G36/'2.2'!G$36,0)</f>
        <v>0</v>
      </c>
      <c r="H36" s="32">
        <f>IFERROR('1.4'!H36/'2.2'!H$36,0)</f>
        <v>0</v>
      </c>
      <c r="I36" s="32">
        <f>IFERROR('1.4'!I36/'2.2'!I$36,0)</f>
        <v>0</v>
      </c>
      <c r="J36" s="32">
        <f>IFERROR('1.4'!J36/'2.2'!J$36,0)</f>
        <v>0</v>
      </c>
      <c r="K36" s="32">
        <f>IFERROR('1.4'!K36/'2.2'!K$36,0)</f>
        <v>0</v>
      </c>
    </row>
    <row r="37" spans="1:11" x14ac:dyDescent="0.3">
      <c r="A37" s="1" t="str">
        <v>Remittance &amp; Collection</v>
      </c>
      <c r="B37" s="32">
        <f>IFERROR('1.4'!B37/'2.2'!B$36,0)</f>
        <v>0</v>
      </c>
      <c r="C37" s="32">
        <f>IFERROR('1.4'!C37/'2.2'!C$36,0)</f>
        <v>0</v>
      </c>
      <c r="D37" s="32">
        <f>IFERROR('1.4'!D37/'2.2'!D$36,0)</f>
        <v>0</v>
      </c>
      <c r="E37" s="32">
        <f>IFERROR('1.4'!E37/'2.2'!E$36,0)</f>
        <v>0</v>
      </c>
      <c r="F37" s="32">
        <f>IFERROR('1.4'!F37/'2.2'!F$36,0)</f>
        <v>0</v>
      </c>
      <c r="G37" s="32">
        <f>IFERROR('1.4'!G37/'2.2'!G$36,0)</f>
        <v>0</v>
      </c>
      <c r="H37" s="32">
        <f>IFERROR('1.4'!H37/'2.2'!H$36,0)</f>
        <v>0</v>
      </c>
      <c r="I37" s="32">
        <f>IFERROR('1.4'!I37/'2.2'!I$36,0)</f>
        <v>0</v>
      </c>
      <c r="J37" s="32">
        <f>IFERROR('1.4'!J37/'2.2'!J$36,0)</f>
        <v>0</v>
      </c>
      <c r="K37" s="32">
        <f>IFERROR('1.4'!K37/'2.2'!K$36,0)</f>
        <v>0</v>
      </c>
    </row>
    <row r="38" spans="1:11" x14ac:dyDescent="0.3">
      <c r="A38" s="1" t="str">
        <v>Uncollectibles &amp; Damage Claims</v>
      </c>
      <c r="B38" s="32">
        <f>IFERROR('1.4'!B38/'2.2'!B$36,0)</f>
        <v>0</v>
      </c>
      <c r="C38" s="32">
        <f>IFERROR('1.4'!C38/'2.2'!C$36,0)</f>
        <v>0</v>
      </c>
      <c r="D38" s="32">
        <f>IFERROR('1.4'!D38/'2.2'!D$36,0)</f>
        <v>0</v>
      </c>
      <c r="E38" s="32">
        <f>IFERROR('1.4'!E38/'2.2'!E$36,0)</f>
        <v>0</v>
      </c>
      <c r="F38" s="32">
        <f>IFERROR('1.4'!F38/'2.2'!F$36,0)</f>
        <v>0</v>
      </c>
      <c r="G38" s="32">
        <f>IFERROR('1.4'!G38/'2.2'!G$36,0)</f>
        <v>0</v>
      </c>
      <c r="H38" s="32">
        <f>IFERROR('1.4'!H38/'2.2'!H$36,0)</f>
        <v>0</v>
      </c>
      <c r="I38" s="32">
        <f>IFERROR('1.4'!I38/'2.2'!I$36,0)</f>
        <v>0</v>
      </c>
      <c r="J38" s="32">
        <f>IFERROR('1.4'!J38/'2.2'!J$36,0)</f>
        <v>0</v>
      </c>
      <c r="K38" s="32">
        <f>IFERROR('1.4'!K38/'2.2'!K$36,0)</f>
        <v>0</v>
      </c>
    </row>
    <row r="39" spans="1:11" x14ac:dyDescent="0.3">
      <c r="A39" s="1" t="str">
        <v>Service Connections</v>
      </c>
      <c r="B39" s="32">
        <f>IFERROR('1.4'!B39/'2.2'!B$36,0)</f>
        <v>0</v>
      </c>
      <c r="C39" s="32">
        <f>IFERROR('1.4'!C39/'2.2'!C$36,0)</f>
        <v>0</v>
      </c>
      <c r="D39" s="32">
        <f>IFERROR('1.4'!D39/'2.2'!D$36,0)</f>
        <v>0</v>
      </c>
      <c r="E39" s="32">
        <f>IFERROR('1.4'!E39/'2.2'!E$36,0)</f>
        <v>0</v>
      </c>
      <c r="F39" s="32">
        <f>IFERROR('1.4'!F39/'2.2'!F$36,0)</f>
        <v>0</v>
      </c>
      <c r="G39" s="32">
        <f>IFERROR('1.4'!G39/'2.2'!G$36,0)</f>
        <v>0</v>
      </c>
      <c r="H39" s="32">
        <f>IFERROR('1.4'!H39/'2.2'!H$36,0)</f>
        <v>0</v>
      </c>
      <c r="I39" s="32">
        <f>IFERROR('1.4'!I39/'2.2'!I$36,0)</f>
        <v>0</v>
      </c>
      <c r="J39" s="32">
        <f>IFERROR('1.4'!J39/'2.2'!J$36,0)</f>
        <v>0</v>
      </c>
      <c r="K39" s="32">
        <f>IFERROR('1.4'!K39/'2.2'!K$36,0)</f>
        <v>0</v>
      </c>
    </row>
    <row r="40" spans="1:11" x14ac:dyDescent="0.3">
      <c r="A40" s="1" t="str">
        <v>Late Payments</v>
      </c>
      <c r="B40" s="32">
        <f>IFERROR('1.4'!B40/'2.2'!B$36,0)</f>
        <v>0</v>
      </c>
      <c r="C40" s="32">
        <f>IFERROR('1.4'!C40/'2.2'!C$36,0)</f>
        <v>0</v>
      </c>
      <c r="D40" s="32">
        <f>IFERROR('1.4'!D40/'2.2'!D$36,0)</f>
        <v>0</v>
      </c>
      <c r="E40" s="32">
        <f>IFERROR('1.4'!E40/'2.2'!E$36,0)</f>
        <v>0</v>
      </c>
      <c r="F40" s="32">
        <f>IFERROR('1.4'!F40/'2.2'!F$36,0)</f>
        <v>0</v>
      </c>
      <c r="G40" s="32">
        <f>IFERROR('1.4'!G40/'2.2'!G$36,0)</f>
        <v>0</v>
      </c>
      <c r="H40" s="32">
        <f>IFERROR('1.4'!H40/'2.2'!H$36,0)</f>
        <v>0</v>
      </c>
      <c r="I40" s="32">
        <f>IFERROR('1.4'!I40/'2.2'!I$36,0)</f>
        <v>0</v>
      </c>
      <c r="J40" s="32">
        <f>IFERROR('1.4'!J40/'2.2'!J$36,0)</f>
        <v>0</v>
      </c>
      <c r="K40" s="32">
        <f>IFERROR('1.4'!K40/'2.2'!K$36,0)</f>
        <v>0</v>
      </c>
    </row>
    <row r="41" spans="1:11" x14ac:dyDescent="0.3">
      <c r="A41" s="1" t="str">
        <v>Lighting</v>
      </c>
      <c r="B41" s="32">
        <f>IFERROR('1.4'!B41/'2.2'!B$36,0)</f>
        <v>0</v>
      </c>
      <c r="C41" s="32">
        <f>IFERROR('1.4'!C41/'2.2'!C$36,0)</f>
        <v>0</v>
      </c>
      <c r="D41" s="32">
        <f>IFERROR('1.4'!D41/'2.2'!D$36,0)</f>
        <v>0</v>
      </c>
      <c r="E41" s="32">
        <f>IFERROR('1.4'!E41/'2.2'!E$36,0)</f>
        <v>0</v>
      </c>
      <c r="F41" s="32">
        <f>IFERROR('1.4'!F41/'2.2'!F$36,0)</f>
        <v>0</v>
      </c>
      <c r="G41" s="32">
        <f>IFERROR('1.4'!G41/'2.2'!G$36,0)</f>
        <v>0</v>
      </c>
      <c r="H41" s="32">
        <f>IFERROR('1.4'!H41/'2.2'!H$36,0)</f>
        <v>0</v>
      </c>
      <c r="I41" s="32">
        <f>IFERROR('1.4'!I41/'2.2'!I$36,0)</f>
        <v>0</v>
      </c>
      <c r="J41" s="32">
        <f>IFERROR('1.4'!J41/'2.2'!J$36,0)</f>
        <v>0</v>
      </c>
      <c r="K41" s="32">
        <f>IFERROR('1.4'!K41/'2.2'!K$36,0)</f>
        <v>0</v>
      </c>
    </row>
    <row r="42" spans="1:11" x14ac:dyDescent="0.3">
      <c r="A42" s="2" t="s">
        <v>214</v>
      </c>
      <c r="B42" s="32">
        <f>IFERROR('1.4'!B42/'2.2'!B$36,0)</f>
        <v>0</v>
      </c>
      <c r="C42" s="32">
        <f>IFERROR('1.4'!C42/'2.2'!C$36,0)</f>
        <v>0</v>
      </c>
      <c r="D42" s="32">
        <f>IFERROR('1.4'!D42/'2.2'!D$36,0)</f>
        <v>0</v>
      </c>
      <c r="E42" s="32">
        <f>IFERROR('1.4'!E42/'2.2'!E$36,0)</f>
        <v>16.080415244548462</v>
      </c>
      <c r="F42" s="32">
        <f>IFERROR('1.4'!F42/'2.2'!F$36,0)</f>
        <v>16.959757719635824</v>
      </c>
      <c r="G42" s="32">
        <f>IFERROR('1.4'!G42/'2.2'!G$36,0)</f>
        <v>18.540622753786835</v>
      </c>
      <c r="H42" s="32">
        <f>IFERROR('1.4'!H42/'2.2'!H$36,0)</f>
        <v>8.8547710637357522</v>
      </c>
      <c r="I42" s="32">
        <f>IFERROR('1.4'!I42/'2.2'!I$36,0)</f>
        <v>0</v>
      </c>
      <c r="J42" s="32">
        <f>IFERROR('1.4'!J42/'2.2'!J$36,0)</f>
        <v>74.579600950416818</v>
      </c>
      <c r="K42" s="32">
        <f>IFERROR('1.4'!K42/'2.2'!K$36,0)</f>
        <v>49.554315463058188</v>
      </c>
    </row>
    <row r="44" spans="1:11" x14ac:dyDescent="0.3">
      <c r="A44" s="32" t="s">
        <v>548</v>
      </c>
    </row>
    <row r="45" spans="1:11" s="9" customFormat="1" ht="40.5" x14ac:dyDescent="0.25">
      <c r="B45" s="17" t="str">
        <f t="array" ref="B45:J45">TRANSPOSE(List_Classes)</f>
        <v>Residential</v>
      </c>
      <c r="C45" s="17" t="str">
        <v>Residential (S)</v>
      </c>
      <c r="D45" s="17" t="str">
        <v>Farm</v>
      </c>
      <c r="E45" s="17" t="str">
        <v>General Service 1</v>
      </c>
      <c r="F45" s="17" t="str">
        <v>General Service 1 (S)</v>
      </c>
      <c r="G45" s="17" t="str">
        <v>Small Industrial</v>
      </c>
      <c r="H45" s="17" t="str">
        <v>Large Industrial</v>
      </c>
      <c r="I45" s="17" t="str">
        <v>Lights</v>
      </c>
      <c r="J45" s="17" t="str">
        <v>Unmetered</v>
      </c>
      <c r="K45" s="34" t="s">
        <v>214</v>
      </c>
    </row>
    <row r="46" spans="1:11" x14ac:dyDescent="0.3">
      <c r="A46" s="1" t="str">
        <f t="array" ref="A46:A61">List_Functions</f>
        <v>Generation</v>
      </c>
      <c r="B46" s="75">
        <f>IFERROR(100*'1.4'!B46/'2.2'!B$38,0)</f>
        <v>267.83664445221234</v>
      </c>
      <c r="C46" s="75">
        <f>IFERROR(100*'1.4'!C46/'2.2'!C$38,0)</f>
        <v>267.7324467269172</v>
      </c>
      <c r="D46" s="75">
        <f>IFERROR(100*'1.4'!D46/'2.2'!D$38,0)</f>
        <v>267.6161015213799</v>
      </c>
      <c r="E46" s="75">
        <f>IFERROR(100*'1.4'!E46/'2.2'!E$38,0)</f>
        <v>265.56353044851591</v>
      </c>
      <c r="F46" s="75">
        <f>IFERROR(100*'1.4'!F46/'2.2'!F$38,0)</f>
        <v>266.86402844565987</v>
      </c>
      <c r="G46" s="75">
        <f>IFERROR(100*'1.4'!G46/'2.2'!G$38,0)</f>
        <v>266.5208953385166</v>
      </c>
      <c r="H46" s="75">
        <f>IFERROR(100*'1.4'!H46/'2.2'!H$38,0)</f>
        <v>255.33287386878339</v>
      </c>
      <c r="I46" s="75">
        <f>IFERROR(100*'1.4'!I46/'2.2'!I$38,0)</f>
        <v>266.7616672147866</v>
      </c>
      <c r="J46" s="75">
        <f>IFERROR(100*'1.4'!J46/'2.2'!J$38,0)</f>
        <v>266.74728653191789</v>
      </c>
      <c r="K46" s="75">
        <f>IFERROR(100*'1.4'!K46/'2.2'!K$38,0)</f>
        <v>265.69330226643331</v>
      </c>
    </row>
    <row r="47" spans="1:11" x14ac:dyDescent="0.3">
      <c r="A47" s="1" t="str">
        <v>Purchased Power</v>
      </c>
      <c r="B47" s="75">
        <f>IFERROR(100*'1.4'!B47/'2.2'!B$38,0)</f>
        <v>8115.7087083460083</v>
      </c>
      <c r="C47" s="75">
        <f>IFERROR(100*'1.4'!C47/'2.2'!C$38,0)</f>
        <v>8112.5514167502406</v>
      </c>
      <c r="D47" s="75">
        <f>IFERROR(100*'1.4'!D47/'2.2'!D$38,0)</f>
        <v>8109.0260447844885</v>
      </c>
      <c r="E47" s="75">
        <f>IFERROR(100*'1.4'!E47/'2.2'!E$38,0)</f>
        <v>8046.8311611657382</v>
      </c>
      <c r="F47" s="75">
        <f>IFERROR(100*'1.4'!F47/'2.2'!F$38,0)</f>
        <v>8086.2375050668643</v>
      </c>
      <c r="G47" s="75">
        <f>IFERROR(100*'1.4'!G47/'2.2'!G$38,0)</f>
        <v>8075.8402409006421</v>
      </c>
      <c r="H47" s="75">
        <f>IFERROR(100*'1.4'!H47/'2.2'!H$38,0)</f>
        <v>7736.8323973070974</v>
      </c>
      <c r="I47" s="75">
        <f>IFERROR(100*'1.4'!I47/'2.2'!I$38,0)</f>
        <v>8083.1358610237448</v>
      </c>
      <c r="J47" s="75">
        <f>IFERROR(100*'1.4'!J47/'2.2'!J$38,0)</f>
        <v>8082.7001124598073</v>
      </c>
      <c r="K47" s="75">
        <f>IFERROR(100*'1.4'!K47/'2.2'!K$38,0)</f>
        <v>8050.7633724392335</v>
      </c>
    </row>
    <row r="48" spans="1:11" x14ac:dyDescent="0.3">
      <c r="A48" s="1" t="str">
        <v>Transmission</v>
      </c>
      <c r="B48" s="75">
        <f>IFERROR(100*'1.4'!B48/'2.2'!B$38,0)</f>
        <v>0</v>
      </c>
      <c r="C48" s="75">
        <f>IFERROR(100*'1.4'!C48/'2.2'!C$38,0)</f>
        <v>0</v>
      </c>
      <c r="D48" s="75">
        <f>IFERROR(100*'1.4'!D48/'2.2'!D$38,0)</f>
        <v>0</v>
      </c>
      <c r="E48" s="75">
        <f>IFERROR(100*'1.4'!E48/'2.2'!E$38,0)</f>
        <v>0</v>
      </c>
      <c r="F48" s="75">
        <f>IFERROR(100*'1.4'!F48/'2.2'!F$38,0)</f>
        <v>0</v>
      </c>
      <c r="G48" s="75">
        <f>IFERROR(100*'1.4'!G48/'2.2'!G$38,0)</f>
        <v>0</v>
      </c>
      <c r="H48" s="75">
        <f>IFERROR(100*'1.4'!H48/'2.2'!H$38,0)</f>
        <v>0</v>
      </c>
      <c r="I48" s="75">
        <f>IFERROR(100*'1.4'!I48/'2.2'!I$38,0)</f>
        <v>0</v>
      </c>
      <c r="J48" s="75">
        <f>IFERROR(100*'1.4'!J48/'2.2'!J$38,0)</f>
        <v>0</v>
      </c>
      <c r="K48" s="75">
        <f>IFERROR(100*'1.4'!K48/'2.2'!K$38,0)</f>
        <v>0</v>
      </c>
    </row>
    <row r="49" spans="1:11" x14ac:dyDescent="0.3">
      <c r="A49" s="1" t="str">
        <v>Substations</v>
      </c>
      <c r="B49" s="75">
        <f>IFERROR(100*'1.4'!B49/'2.2'!B$38,0)</f>
        <v>0</v>
      </c>
      <c r="C49" s="75">
        <f>IFERROR(100*'1.4'!C49/'2.2'!C$38,0)</f>
        <v>0</v>
      </c>
      <c r="D49" s="75">
        <f>IFERROR(100*'1.4'!D49/'2.2'!D$38,0)</f>
        <v>0</v>
      </c>
      <c r="E49" s="75">
        <f>IFERROR(100*'1.4'!E49/'2.2'!E$38,0)</f>
        <v>0</v>
      </c>
      <c r="F49" s="75">
        <f>IFERROR(100*'1.4'!F49/'2.2'!F$38,0)</f>
        <v>0</v>
      </c>
      <c r="G49" s="75">
        <f>IFERROR(100*'1.4'!G49/'2.2'!G$38,0)</f>
        <v>0</v>
      </c>
      <c r="H49" s="75">
        <f>IFERROR(100*'1.4'!H49/'2.2'!H$38,0)</f>
        <v>0</v>
      </c>
      <c r="I49" s="75">
        <f>IFERROR(100*'1.4'!I49/'2.2'!I$38,0)</f>
        <v>0</v>
      </c>
      <c r="J49" s="75">
        <f>IFERROR(100*'1.4'!J49/'2.2'!J$38,0)</f>
        <v>0</v>
      </c>
      <c r="K49" s="75">
        <f>IFERROR(100*'1.4'!K49/'2.2'!K$38,0)</f>
        <v>0</v>
      </c>
    </row>
    <row r="50" spans="1:11" x14ac:dyDescent="0.3">
      <c r="A50" s="1" t="str">
        <v>Primary Lines</v>
      </c>
      <c r="B50" s="75">
        <f>IFERROR(100*'1.4'!B50/'2.2'!B$38,0)</f>
        <v>0</v>
      </c>
      <c r="C50" s="75">
        <f>IFERROR(100*'1.4'!C50/'2.2'!C$38,0)</f>
        <v>0</v>
      </c>
      <c r="D50" s="75">
        <f>IFERROR(100*'1.4'!D50/'2.2'!D$38,0)</f>
        <v>0</v>
      </c>
      <c r="E50" s="75">
        <f>IFERROR(100*'1.4'!E50/'2.2'!E$38,0)</f>
        <v>0</v>
      </c>
      <c r="F50" s="75">
        <f>IFERROR(100*'1.4'!F50/'2.2'!F$38,0)</f>
        <v>0</v>
      </c>
      <c r="G50" s="75">
        <f>IFERROR(100*'1.4'!G50/'2.2'!G$38,0)</f>
        <v>0</v>
      </c>
      <c r="H50" s="75">
        <f>IFERROR(100*'1.4'!H50/'2.2'!H$38,0)</f>
        <v>0</v>
      </c>
      <c r="I50" s="75">
        <f>IFERROR(100*'1.4'!I50/'2.2'!I$38,0)</f>
        <v>0</v>
      </c>
      <c r="J50" s="75">
        <f>IFERROR(100*'1.4'!J50/'2.2'!J$38,0)</f>
        <v>0</v>
      </c>
      <c r="K50" s="75">
        <f>IFERROR(100*'1.4'!K50/'2.2'!K$38,0)</f>
        <v>0</v>
      </c>
    </row>
    <row r="51" spans="1:11" x14ac:dyDescent="0.3">
      <c r="A51" s="1" t="str">
        <v>Transformers</v>
      </c>
      <c r="B51" s="75">
        <f>IFERROR(100*'1.4'!B51/'2.2'!B$38,0)</f>
        <v>0</v>
      </c>
      <c r="C51" s="75">
        <f>IFERROR(100*'1.4'!C51/'2.2'!C$38,0)</f>
        <v>0</v>
      </c>
      <c r="D51" s="75">
        <f>IFERROR(100*'1.4'!D51/'2.2'!D$38,0)</f>
        <v>0</v>
      </c>
      <c r="E51" s="75">
        <f>IFERROR(100*'1.4'!E51/'2.2'!E$38,0)</f>
        <v>0</v>
      </c>
      <c r="F51" s="75">
        <f>IFERROR(100*'1.4'!F51/'2.2'!F$38,0)</f>
        <v>0</v>
      </c>
      <c r="G51" s="75">
        <f>IFERROR(100*'1.4'!G51/'2.2'!G$38,0)</f>
        <v>0</v>
      </c>
      <c r="H51" s="75">
        <f>IFERROR(100*'1.4'!H51/'2.2'!H$38,0)</f>
        <v>0</v>
      </c>
      <c r="I51" s="75">
        <f>IFERROR(100*'1.4'!I51/'2.2'!I$38,0)</f>
        <v>0</v>
      </c>
      <c r="J51" s="75">
        <f>IFERROR(100*'1.4'!J51/'2.2'!J$38,0)</f>
        <v>0</v>
      </c>
      <c r="K51" s="75">
        <f>IFERROR(100*'1.4'!K51/'2.2'!K$38,0)</f>
        <v>0</v>
      </c>
    </row>
    <row r="52" spans="1:11" x14ac:dyDescent="0.3">
      <c r="A52" s="1" t="str">
        <v>Secondary Lines</v>
      </c>
      <c r="B52" s="75">
        <f>IFERROR(100*'1.4'!B52/'2.2'!B$38,0)</f>
        <v>0</v>
      </c>
      <c r="C52" s="75">
        <f>IFERROR(100*'1.4'!C52/'2.2'!C$38,0)</f>
        <v>0</v>
      </c>
      <c r="D52" s="75">
        <f>IFERROR(100*'1.4'!D52/'2.2'!D$38,0)</f>
        <v>0</v>
      </c>
      <c r="E52" s="75">
        <f>IFERROR(100*'1.4'!E52/'2.2'!E$38,0)</f>
        <v>0</v>
      </c>
      <c r="F52" s="75">
        <f>IFERROR(100*'1.4'!F52/'2.2'!F$38,0)</f>
        <v>0</v>
      </c>
      <c r="G52" s="75">
        <f>IFERROR(100*'1.4'!G52/'2.2'!G$38,0)</f>
        <v>0</v>
      </c>
      <c r="H52" s="75">
        <f>IFERROR(100*'1.4'!H52/'2.2'!H$38,0)</f>
        <v>0</v>
      </c>
      <c r="I52" s="75">
        <f>IFERROR(100*'1.4'!I52/'2.2'!I$38,0)</f>
        <v>0</v>
      </c>
      <c r="J52" s="75">
        <f>IFERROR(100*'1.4'!J52/'2.2'!J$38,0)</f>
        <v>0</v>
      </c>
      <c r="K52" s="75">
        <f>IFERROR(100*'1.4'!K52/'2.2'!K$38,0)</f>
        <v>0</v>
      </c>
    </row>
    <row r="53" spans="1:11" x14ac:dyDescent="0.3">
      <c r="A53" s="1" t="str">
        <v>Service Lines</v>
      </c>
      <c r="B53" s="75">
        <f>IFERROR(100*'1.4'!B53/'2.2'!B$38,0)</f>
        <v>0</v>
      </c>
      <c r="C53" s="75">
        <f>IFERROR(100*'1.4'!C53/'2.2'!C$38,0)</f>
        <v>0</v>
      </c>
      <c r="D53" s="75">
        <f>IFERROR(100*'1.4'!D53/'2.2'!D$38,0)</f>
        <v>0</v>
      </c>
      <c r="E53" s="75">
        <f>IFERROR(100*'1.4'!E53/'2.2'!E$38,0)</f>
        <v>0</v>
      </c>
      <c r="F53" s="75">
        <f>IFERROR(100*'1.4'!F53/'2.2'!F$38,0)</f>
        <v>0</v>
      </c>
      <c r="G53" s="75">
        <f>IFERROR(100*'1.4'!G53/'2.2'!G$38,0)</f>
        <v>0</v>
      </c>
      <c r="H53" s="75">
        <f>IFERROR(100*'1.4'!H53/'2.2'!H$38,0)</f>
        <v>0</v>
      </c>
      <c r="I53" s="75">
        <f>IFERROR(100*'1.4'!I53/'2.2'!I$38,0)</f>
        <v>0</v>
      </c>
      <c r="J53" s="75">
        <f>IFERROR(100*'1.4'!J53/'2.2'!J$38,0)</f>
        <v>0</v>
      </c>
      <c r="K53" s="75">
        <f>IFERROR(100*'1.4'!K53/'2.2'!K$38,0)</f>
        <v>0</v>
      </c>
    </row>
    <row r="54" spans="1:11" x14ac:dyDescent="0.3">
      <c r="A54" s="1" t="str">
        <v>Meter Assets</v>
      </c>
      <c r="B54" s="75">
        <f>IFERROR(100*'1.4'!B54/'2.2'!B$38,0)</f>
        <v>0</v>
      </c>
      <c r="C54" s="75">
        <f>IFERROR(100*'1.4'!C54/'2.2'!C$38,0)</f>
        <v>0</v>
      </c>
      <c r="D54" s="75">
        <f>IFERROR(100*'1.4'!D54/'2.2'!D$38,0)</f>
        <v>0</v>
      </c>
      <c r="E54" s="75">
        <f>IFERROR(100*'1.4'!E54/'2.2'!E$38,0)</f>
        <v>0</v>
      </c>
      <c r="F54" s="75">
        <f>IFERROR(100*'1.4'!F54/'2.2'!F$38,0)</f>
        <v>0</v>
      </c>
      <c r="G54" s="75">
        <f>IFERROR(100*'1.4'!G54/'2.2'!G$38,0)</f>
        <v>0</v>
      </c>
      <c r="H54" s="75">
        <f>IFERROR(100*'1.4'!H54/'2.2'!H$38,0)</f>
        <v>0</v>
      </c>
      <c r="I54" s="75">
        <f>IFERROR(100*'1.4'!I54/'2.2'!I$38,0)</f>
        <v>0</v>
      </c>
      <c r="J54" s="75">
        <f>IFERROR(100*'1.4'!J54/'2.2'!J$38,0)</f>
        <v>0</v>
      </c>
      <c r="K54" s="75">
        <f>IFERROR(100*'1.4'!K54/'2.2'!K$38,0)</f>
        <v>0</v>
      </c>
    </row>
    <row r="55" spans="1:11" x14ac:dyDescent="0.3">
      <c r="A55" s="1" t="str">
        <v>Meter Reading</v>
      </c>
      <c r="B55" s="75">
        <f>IFERROR(100*'1.4'!B55/'2.2'!B$38,0)</f>
        <v>0</v>
      </c>
      <c r="C55" s="75">
        <f>IFERROR(100*'1.4'!C55/'2.2'!C$38,0)</f>
        <v>0</v>
      </c>
      <c r="D55" s="75">
        <f>IFERROR(100*'1.4'!D55/'2.2'!D$38,0)</f>
        <v>0</v>
      </c>
      <c r="E55" s="75">
        <f>IFERROR(100*'1.4'!E55/'2.2'!E$38,0)</f>
        <v>0</v>
      </c>
      <c r="F55" s="75">
        <f>IFERROR(100*'1.4'!F55/'2.2'!F$38,0)</f>
        <v>0</v>
      </c>
      <c r="G55" s="75">
        <f>IFERROR(100*'1.4'!G55/'2.2'!G$38,0)</f>
        <v>0</v>
      </c>
      <c r="H55" s="75">
        <f>IFERROR(100*'1.4'!H55/'2.2'!H$38,0)</f>
        <v>0</v>
      </c>
      <c r="I55" s="75">
        <f>IFERROR(100*'1.4'!I55/'2.2'!I$38,0)</f>
        <v>0</v>
      </c>
      <c r="J55" s="75">
        <f>IFERROR(100*'1.4'!J55/'2.2'!J$38,0)</f>
        <v>0</v>
      </c>
      <c r="K55" s="75">
        <f>IFERROR(100*'1.4'!K55/'2.2'!K$38,0)</f>
        <v>0</v>
      </c>
    </row>
    <row r="56" spans="1:11" x14ac:dyDescent="0.3">
      <c r="A56" s="1" t="str">
        <v>Billing</v>
      </c>
      <c r="B56" s="75">
        <f>IFERROR(100*'1.4'!B56/'2.2'!B$38,0)</f>
        <v>0</v>
      </c>
      <c r="C56" s="75">
        <f>IFERROR(100*'1.4'!C56/'2.2'!C$38,0)</f>
        <v>0</v>
      </c>
      <c r="D56" s="75">
        <f>IFERROR(100*'1.4'!D56/'2.2'!D$38,0)</f>
        <v>0</v>
      </c>
      <c r="E56" s="75">
        <f>IFERROR(100*'1.4'!E56/'2.2'!E$38,0)</f>
        <v>0</v>
      </c>
      <c r="F56" s="75">
        <f>IFERROR(100*'1.4'!F56/'2.2'!F$38,0)</f>
        <v>0</v>
      </c>
      <c r="G56" s="75">
        <f>IFERROR(100*'1.4'!G56/'2.2'!G$38,0)</f>
        <v>0</v>
      </c>
      <c r="H56" s="75">
        <f>IFERROR(100*'1.4'!H56/'2.2'!H$38,0)</f>
        <v>0</v>
      </c>
      <c r="I56" s="75">
        <f>IFERROR(100*'1.4'!I56/'2.2'!I$38,0)</f>
        <v>0</v>
      </c>
      <c r="J56" s="75">
        <f>IFERROR(100*'1.4'!J56/'2.2'!J$38,0)</f>
        <v>0</v>
      </c>
      <c r="K56" s="75">
        <f>IFERROR(100*'1.4'!K56/'2.2'!K$38,0)</f>
        <v>0</v>
      </c>
    </row>
    <row r="57" spans="1:11" x14ac:dyDescent="0.3">
      <c r="A57" s="1" t="str">
        <v>Remittance &amp; Collection</v>
      </c>
      <c r="B57" s="75">
        <f>IFERROR(100*'1.4'!B57/'2.2'!B$38,0)</f>
        <v>0</v>
      </c>
      <c r="C57" s="75">
        <f>IFERROR(100*'1.4'!C57/'2.2'!C$38,0)</f>
        <v>0</v>
      </c>
      <c r="D57" s="75">
        <f>IFERROR(100*'1.4'!D57/'2.2'!D$38,0)</f>
        <v>0</v>
      </c>
      <c r="E57" s="75">
        <f>IFERROR(100*'1.4'!E57/'2.2'!E$38,0)</f>
        <v>0</v>
      </c>
      <c r="F57" s="75">
        <f>IFERROR(100*'1.4'!F57/'2.2'!F$38,0)</f>
        <v>0</v>
      </c>
      <c r="G57" s="75">
        <f>IFERROR(100*'1.4'!G57/'2.2'!G$38,0)</f>
        <v>0</v>
      </c>
      <c r="H57" s="75">
        <f>IFERROR(100*'1.4'!H57/'2.2'!H$38,0)</f>
        <v>0</v>
      </c>
      <c r="I57" s="75">
        <f>IFERROR(100*'1.4'!I57/'2.2'!I$38,0)</f>
        <v>0</v>
      </c>
      <c r="J57" s="75">
        <f>IFERROR(100*'1.4'!J57/'2.2'!J$38,0)</f>
        <v>0</v>
      </c>
      <c r="K57" s="75">
        <f>IFERROR(100*'1.4'!K57/'2.2'!K$38,0)</f>
        <v>0</v>
      </c>
    </row>
    <row r="58" spans="1:11" x14ac:dyDescent="0.3">
      <c r="A58" s="1" t="str">
        <v>Uncollectibles &amp; Damage Claims</v>
      </c>
      <c r="B58" s="75">
        <f>IFERROR(100*'1.4'!B58/'2.2'!B$38,0)</f>
        <v>0</v>
      </c>
      <c r="C58" s="75">
        <f>IFERROR(100*'1.4'!C58/'2.2'!C$38,0)</f>
        <v>0</v>
      </c>
      <c r="D58" s="75">
        <f>IFERROR(100*'1.4'!D58/'2.2'!D$38,0)</f>
        <v>0</v>
      </c>
      <c r="E58" s="75">
        <f>IFERROR(100*'1.4'!E58/'2.2'!E$38,0)</f>
        <v>0</v>
      </c>
      <c r="F58" s="75">
        <f>IFERROR(100*'1.4'!F58/'2.2'!F$38,0)</f>
        <v>0</v>
      </c>
      <c r="G58" s="75">
        <f>IFERROR(100*'1.4'!G58/'2.2'!G$38,0)</f>
        <v>0</v>
      </c>
      <c r="H58" s="75">
        <f>IFERROR(100*'1.4'!H58/'2.2'!H$38,0)</f>
        <v>0</v>
      </c>
      <c r="I58" s="75">
        <f>IFERROR(100*'1.4'!I58/'2.2'!I$38,0)</f>
        <v>0</v>
      </c>
      <c r="J58" s="75">
        <f>IFERROR(100*'1.4'!J58/'2.2'!J$38,0)</f>
        <v>0</v>
      </c>
      <c r="K58" s="75">
        <f>IFERROR(100*'1.4'!K58/'2.2'!K$38,0)</f>
        <v>0</v>
      </c>
    </row>
    <row r="59" spans="1:11" x14ac:dyDescent="0.3">
      <c r="A59" s="1" t="str">
        <v>Service Connections</v>
      </c>
      <c r="B59" s="75">
        <f>IFERROR(100*'1.4'!B59/'2.2'!B$38,0)</f>
        <v>0</v>
      </c>
      <c r="C59" s="75">
        <f>IFERROR(100*'1.4'!C59/'2.2'!C$38,0)</f>
        <v>0</v>
      </c>
      <c r="D59" s="75">
        <f>IFERROR(100*'1.4'!D59/'2.2'!D$38,0)</f>
        <v>0</v>
      </c>
      <c r="E59" s="75">
        <f>IFERROR(100*'1.4'!E59/'2.2'!E$38,0)</f>
        <v>0</v>
      </c>
      <c r="F59" s="75">
        <f>IFERROR(100*'1.4'!F59/'2.2'!F$38,0)</f>
        <v>0</v>
      </c>
      <c r="G59" s="75">
        <f>IFERROR(100*'1.4'!G59/'2.2'!G$38,0)</f>
        <v>0</v>
      </c>
      <c r="H59" s="75">
        <f>IFERROR(100*'1.4'!H59/'2.2'!H$38,0)</f>
        <v>0</v>
      </c>
      <c r="I59" s="75">
        <f>IFERROR(100*'1.4'!I59/'2.2'!I$38,0)</f>
        <v>0</v>
      </c>
      <c r="J59" s="75">
        <f>IFERROR(100*'1.4'!J59/'2.2'!J$38,0)</f>
        <v>0</v>
      </c>
      <c r="K59" s="75">
        <f>IFERROR(100*'1.4'!K59/'2.2'!K$38,0)</f>
        <v>0</v>
      </c>
    </row>
    <row r="60" spans="1:11" x14ac:dyDescent="0.3">
      <c r="A60" s="1" t="str">
        <v>Late Payments</v>
      </c>
      <c r="B60" s="75">
        <f>IFERROR(100*'1.4'!B60/'2.2'!B$38,0)</f>
        <v>0</v>
      </c>
      <c r="C60" s="75">
        <f>IFERROR(100*'1.4'!C60/'2.2'!C$38,0)</f>
        <v>0</v>
      </c>
      <c r="D60" s="75">
        <f>IFERROR(100*'1.4'!D60/'2.2'!D$38,0)</f>
        <v>0</v>
      </c>
      <c r="E60" s="75">
        <f>IFERROR(100*'1.4'!E60/'2.2'!E$38,0)</f>
        <v>0</v>
      </c>
      <c r="F60" s="75">
        <f>IFERROR(100*'1.4'!F60/'2.2'!F$38,0)</f>
        <v>0</v>
      </c>
      <c r="G60" s="75">
        <f>IFERROR(100*'1.4'!G60/'2.2'!G$38,0)</f>
        <v>0</v>
      </c>
      <c r="H60" s="75">
        <f>IFERROR(100*'1.4'!H60/'2.2'!H$38,0)</f>
        <v>0</v>
      </c>
      <c r="I60" s="75">
        <f>IFERROR(100*'1.4'!I60/'2.2'!I$38,0)</f>
        <v>0</v>
      </c>
      <c r="J60" s="75">
        <f>IFERROR(100*'1.4'!J60/'2.2'!J$38,0)</f>
        <v>0</v>
      </c>
      <c r="K60" s="75">
        <f>IFERROR(100*'1.4'!K60/'2.2'!K$38,0)</f>
        <v>0</v>
      </c>
    </row>
    <row r="61" spans="1:11" x14ac:dyDescent="0.3">
      <c r="A61" s="1" t="str">
        <v>Lighting</v>
      </c>
      <c r="B61" s="75">
        <f>IFERROR(100*'1.4'!B61/'2.2'!B$38,0)</f>
        <v>0</v>
      </c>
      <c r="C61" s="75">
        <f>IFERROR(100*'1.4'!C61/'2.2'!C$38,0)</f>
        <v>0</v>
      </c>
      <c r="D61" s="75">
        <f>IFERROR(100*'1.4'!D61/'2.2'!D$38,0)</f>
        <v>0</v>
      </c>
      <c r="E61" s="75">
        <f>IFERROR(100*'1.4'!E61/'2.2'!E$38,0)</f>
        <v>0</v>
      </c>
      <c r="F61" s="75">
        <f>IFERROR(100*'1.4'!F61/'2.2'!F$38,0)</f>
        <v>0</v>
      </c>
      <c r="G61" s="75">
        <f>IFERROR(100*'1.4'!G61/'2.2'!G$38,0)</f>
        <v>0</v>
      </c>
      <c r="H61" s="75">
        <f>IFERROR(100*'1.4'!H61/'2.2'!H$38,0)</f>
        <v>0</v>
      </c>
      <c r="I61" s="75">
        <f>IFERROR(100*'1.4'!I61/'2.2'!I$38,0)</f>
        <v>0</v>
      </c>
      <c r="J61" s="75">
        <f>IFERROR(100*'1.4'!J61/'2.2'!J$38,0)</f>
        <v>0</v>
      </c>
      <c r="K61" s="75">
        <f>IFERROR(100*'1.4'!K61/'2.2'!K$38,0)</f>
        <v>0</v>
      </c>
    </row>
    <row r="62" spans="1:11" x14ac:dyDescent="0.3">
      <c r="A62" s="2" t="s">
        <v>214</v>
      </c>
      <c r="B62" s="75">
        <f>IFERROR(100*'1.4'!B62/'2.2'!B$38,0)</f>
        <v>8383.5453527982208</v>
      </c>
      <c r="C62" s="75">
        <f>IFERROR(100*'1.4'!C62/'2.2'!C$38,0)</f>
        <v>8380.2838634771579</v>
      </c>
      <c r="D62" s="75">
        <f>IFERROR(100*'1.4'!D62/'2.2'!D$38,0)</f>
        <v>8376.6421463058687</v>
      </c>
      <c r="E62" s="75">
        <f>IFERROR(100*'1.4'!E62/'2.2'!E$38,0)</f>
        <v>8312.394691614254</v>
      </c>
      <c r="F62" s="75">
        <f>IFERROR(100*'1.4'!F62/'2.2'!F$38,0)</f>
        <v>8353.101533512523</v>
      </c>
      <c r="G62" s="75">
        <f>IFERROR(100*'1.4'!G62/'2.2'!G$38,0)</f>
        <v>8342.3611362391603</v>
      </c>
      <c r="H62" s="75">
        <f>IFERROR(100*'1.4'!H62/'2.2'!H$38,0)</f>
        <v>7992.1652711758816</v>
      </c>
      <c r="I62" s="75">
        <f>IFERROR(100*'1.4'!I62/'2.2'!I$38,0)</f>
        <v>8349.8975282385327</v>
      </c>
      <c r="J62" s="75">
        <f>IFERROR(100*'1.4'!J62/'2.2'!J$38,0)</f>
        <v>8349.447398991726</v>
      </c>
      <c r="K62" s="75">
        <f>IFERROR(100*'1.4'!K62/'2.2'!K$38,0)</f>
        <v>8316.456674705667</v>
      </c>
    </row>
    <row r="64" spans="1:11" x14ac:dyDescent="0.3">
      <c r="A64" s="32" t="s">
        <v>604</v>
      </c>
    </row>
    <row r="65" spans="1:11" s="9" customFormat="1" ht="40.5" x14ac:dyDescent="0.25">
      <c r="B65" s="17" t="str">
        <f t="array" ref="B65:J65">TRANSPOSE(List_Classes)</f>
        <v>Residential</v>
      </c>
      <c r="C65" s="17" t="str">
        <v>Residential (S)</v>
      </c>
      <c r="D65" s="17" t="str">
        <v>Farm</v>
      </c>
      <c r="E65" s="17" t="str">
        <v>General Service 1</v>
      </c>
      <c r="F65" s="17" t="str">
        <v>General Service 1 (S)</v>
      </c>
      <c r="G65" s="17" t="str">
        <v>Small Industrial</v>
      </c>
      <c r="H65" s="17" t="str">
        <v>Large Industrial</v>
      </c>
      <c r="I65" s="17" t="str">
        <v>Lights</v>
      </c>
      <c r="J65" s="17" t="str">
        <v>Unmetered</v>
      </c>
      <c r="K65" s="34" t="s">
        <v>214</v>
      </c>
    </row>
    <row r="66" spans="1:11" x14ac:dyDescent="0.3">
      <c r="A66" s="1" t="str">
        <f t="array" ref="A66:A81">List_Functions</f>
        <v>Generation</v>
      </c>
      <c r="B66" s="32">
        <f>IFERROR('1.4'!B66/'2.2'!B$39/'2.2'!B$10,0)</f>
        <v>0</v>
      </c>
      <c r="C66" s="32">
        <f>IFERROR('1.4'!C66/'2.2'!C$39/'2.2'!C$10,0)</f>
        <v>0</v>
      </c>
      <c r="D66" s="32">
        <f>IFERROR('1.4'!D66/'2.2'!D$39/'2.2'!D$10,0)</f>
        <v>0</v>
      </c>
      <c r="E66" s="32">
        <f>IFERROR('1.4'!E66/'2.2'!E$39/'2.2'!E$10,0)</f>
        <v>0</v>
      </c>
      <c r="F66" s="32">
        <f>IFERROR('1.4'!F66/'2.2'!F$39/'2.2'!F$10,0)</f>
        <v>0</v>
      </c>
      <c r="G66" s="32">
        <f>IFERROR('1.4'!G66/'2.2'!G$39/'2.2'!G$10,0)</f>
        <v>0</v>
      </c>
      <c r="H66" s="32">
        <f>IFERROR('1.4'!H66/'2.2'!H$39/'2.2'!H$10,0)</f>
        <v>0</v>
      </c>
      <c r="I66" s="32">
        <f>IFERROR('1.4'!I66/'2.2'!I$39/'2.2'!I$10,0)</f>
        <v>0</v>
      </c>
      <c r="J66" s="32">
        <f>IFERROR('1.4'!J66/'2.2'!J$39/'2.2'!J$10,0)</f>
        <v>0</v>
      </c>
      <c r="K66" s="32">
        <f>SUM(B66:J66)</f>
        <v>0</v>
      </c>
    </row>
    <row r="67" spans="1:11" x14ac:dyDescent="0.3">
      <c r="A67" s="1" t="str">
        <v>Purchased Power</v>
      </c>
      <c r="B67" s="32">
        <f>IFERROR('1.4'!B67/'2.2'!B$39/'2.2'!B$10,0)</f>
        <v>0</v>
      </c>
      <c r="C67" s="32">
        <f>IFERROR('1.4'!C67/'2.2'!C$39/'2.2'!C$10,0)</f>
        <v>0</v>
      </c>
      <c r="D67" s="32">
        <f>IFERROR('1.4'!D67/'2.2'!D$39/'2.2'!D$10,0)</f>
        <v>0</v>
      </c>
      <c r="E67" s="32">
        <f>IFERROR('1.4'!E67/'2.2'!E$39/'2.2'!E$10,0)</f>
        <v>0</v>
      </c>
      <c r="F67" s="32">
        <f>IFERROR('1.4'!F67/'2.2'!F$39/'2.2'!F$10,0)</f>
        <v>0</v>
      </c>
      <c r="G67" s="32">
        <f>IFERROR('1.4'!G67/'2.2'!G$39/'2.2'!G$10,0)</f>
        <v>0</v>
      </c>
      <c r="H67" s="32">
        <f>IFERROR('1.4'!H67/'2.2'!H$39/'2.2'!H$10,0)</f>
        <v>0</v>
      </c>
      <c r="I67" s="32">
        <f>IFERROR('1.4'!I67/'2.2'!I$39/'2.2'!I$10,0)</f>
        <v>0</v>
      </c>
      <c r="J67" s="32">
        <f>IFERROR('1.4'!J67/'2.2'!J$39/'2.2'!J$10,0)</f>
        <v>0</v>
      </c>
      <c r="K67" s="32">
        <f>SUM(B67:J67)</f>
        <v>0</v>
      </c>
    </row>
    <row r="68" spans="1:11" x14ac:dyDescent="0.3">
      <c r="A68" s="1" t="str">
        <v>Transmission</v>
      </c>
      <c r="B68" s="32">
        <f>IFERROR('1.4'!B68/'2.2'!B$39/'2.2'!B$10,0)</f>
        <v>0</v>
      </c>
      <c r="C68" s="32">
        <f>IFERROR('1.4'!C68/'2.2'!C$39/'2.2'!C$10,0)</f>
        <v>0</v>
      </c>
      <c r="D68" s="32">
        <f>IFERROR('1.4'!D68/'2.2'!D$39/'2.2'!D$10,0)</f>
        <v>0</v>
      </c>
      <c r="E68" s="32">
        <f>IFERROR('1.4'!E68/'2.2'!E$39/'2.2'!E$10,0)</f>
        <v>0</v>
      </c>
      <c r="F68" s="32">
        <f>IFERROR('1.4'!F68/'2.2'!F$39/'2.2'!F$10,0)</f>
        <v>0</v>
      </c>
      <c r="G68" s="32">
        <f>IFERROR('1.4'!G68/'2.2'!G$39/'2.2'!G$10,0)</f>
        <v>0</v>
      </c>
      <c r="H68" s="32">
        <f>IFERROR('1.4'!H68/'2.2'!H$39/'2.2'!H$10,0)</f>
        <v>0</v>
      </c>
      <c r="I68" s="32">
        <f>IFERROR('1.4'!I68/'2.2'!I$39/'2.2'!I$10,0)</f>
        <v>0</v>
      </c>
      <c r="J68" s="32">
        <f>IFERROR('1.4'!J68/'2.2'!J$39/'2.2'!J$10,0)</f>
        <v>0</v>
      </c>
      <c r="K68" s="32">
        <f t="shared" ref="K68:K82" si="0">SUM(B68:J68)</f>
        <v>0</v>
      </c>
    </row>
    <row r="69" spans="1:11" x14ac:dyDescent="0.3">
      <c r="A69" s="1" t="str">
        <v>Substations</v>
      </c>
      <c r="B69" s="32">
        <f>IFERROR('1.4'!B69/'2.2'!B$39/'2.2'!B$10,0)</f>
        <v>0</v>
      </c>
      <c r="C69" s="32">
        <f>IFERROR('1.4'!C69/'2.2'!C$39/'2.2'!C$10,0)</f>
        <v>0</v>
      </c>
      <c r="D69" s="32">
        <f>IFERROR('1.4'!D69/'2.2'!D$39/'2.2'!D$10,0)</f>
        <v>0</v>
      </c>
      <c r="E69" s="32">
        <f>IFERROR('1.4'!E69/'2.2'!E$39/'2.2'!E$10,0)</f>
        <v>0</v>
      </c>
      <c r="F69" s="32">
        <f>IFERROR('1.4'!F69/'2.2'!F$39/'2.2'!F$10,0)</f>
        <v>0</v>
      </c>
      <c r="G69" s="32">
        <f>IFERROR('1.4'!G69/'2.2'!G$39/'2.2'!G$10,0)</f>
        <v>0</v>
      </c>
      <c r="H69" s="32">
        <f>IFERROR('1.4'!H69/'2.2'!H$39/'2.2'!H$10,0)</f>
        <v>0</v>
      </c>
      <c r="I69" s="32">
        <f>IFERROR('1.4'!I69/'2.2'!I$39/'2.2'!I$10,0)</f>
        <v>0</v>
      </c>
      <c r="J69" s="32">
        <f>IFERROR('1.4'!J69/'2.2'!J$39/'2.2'!J$10,0)</f>
        <v>0</v>
      </c>
      <c r="K69" s="32">
        <f t="shared" si="0"/>
        <v>0</v>
      </c>
    </row>
    <row r="70" spans="1:11" x14ac:dyDescent="0.3">
      <c r="A70" s="1" t="str">
        <v>Primary Lines</v>
      </c>
      <c r="B70" s="32">
        <f>IFERROR('1.4'!B70/'2.2'!B$39/'2.2'!B$10,0)</f>
        <v>10.947532108509478</v>
      </c>
      <c r="C70" s="32">
        <f>IFERROR('1.4'!C70/'2.2'!C$39/'2.2'!C$10,0)</f>
        <v>18.767197900301962</v>
      </c>
      <c r="D70" s="32">
        <f>IFERROR('1.4'!D70/'2.2'!D$39/'2.2'!D$10,0)</f>
        <v>10.947532108509479</v>
      </c>
      <c r="E70" s="32">
        <f>IFERROR('1.4'!E70/'2.2'!E$39/'2.2'!E$10,0)</f>
        <v>10.947532108509478</v>
      </c>
      <c r="F70" s="32">
        <f>IFERROR('1.4'!F70/'2.2'!F$39/'2.2'!F$10,0)</f>
        <v>21.895064217018955</v>
      </c>
      <c r="G70" s="32">
        <f>IFERROR('1.4'!G70/'2.2'!G$39/'2.2'!G$10,0)</f>
        <v>10.947532108509478</v>
      </c>
      <c r="H70" s="32">
        <f>IFERROR('1.4'!H70/'2.2'!H$39/'2.2'!H$10,0)</f>
        <v>10.947532108509479</v>
      </c>
      <c r="I70" s="32">
        <f>IFERROR('1.4'!I70/'2.2'!I$39/'2.2'!I$10,0)</f>
        <v>178.69182462805162</v>
      </c>
      <c r="J70" s="32">
        <f>IFERROR('1.4'!J70/'2.2'!J$39/'2.2'!J$10,0)</f>
        <v>21.042009767005236</v>
      </c>
      <c r="K70" s="32">
        <f t="shared" si="0"/>
        <v>295.13375705492518</v>
      </c>
    </row>
    <row r="71" spans="1:11" x14ac:dyDescent="0.3">
      <c r="A71" s="1" t="str">
        <v>Transformers</v>
      </c>
      <c r="B71" s="32">
        <f>IFERROR('1.4'!B71/'2.2'!B$39/'2.2'!B$10,0)</f>
        <v>6.0689590620201779</v>
      </c>
      <c r="C71" s="32">
        <f>IFERROR('1.4'!C71/'2.2'!C$39/'2.2'!C$10,0)</f>
        <v>10.403929820606018</v>
      </c>
      <c r="D71" s="32">
        <f>IFERROR('1.4'!D71/'2.2'!D$39/'2.2'!D$10,0)</f>
        <v>6.0689590620201779</v>
      </c>
      <c r="E71" s="32">
        <f>IFERROR('1.4'!E71/'2.2'!E$39/'2.2'!E$10,0)</f>
        <v>6.0689590620201779</v>
      </c>
      <c r="F71" s="32">
        <f>IFERROR('1.4'!F71/'2.2'!F$39/'2.2'!F$10,0)</f>
        <v>12.137918124040356</v>
      </c>
      <c r="G71" s="32">
        <f>IFERROR('1.4'!G71/'2.2'!G$39/'2.2'!G$10,0)</f>
        <v>6.0689590620201797</v>
      </c>
      <c r="H71" s="32">
        <f>IFERROR('1.4'!H71/'2.2'!H$39/'2.2'!H$10,0)</f>
        <v>5.2019649103030092</v>
      </c>
      <c r="I71" s="32">
        <f>IFERROR('1.4'!I71/'2.2'!I$39/'2.2'!I$10,0)</f>
        <v>99.060989968906057</v>
      </c>
      <c r="J71" s="32">
        <f>IFERROR('1.4'!J71/'2.2'!J$39/'2.2'!J$10,0)</f>
        <v>11.665012223103721</v>
      </c>
      <c r="K71" s="32">
        <f t="shared" si="0"/>
        <v>162.74565129503989</v>
      </c>
    </row>
    <row r="72" spans="1:11" x14ac:dyDescent="0.3">
      <c r="A72" s="1" t="str">
        <v>Secondary Lines</v>
      </c>
      <c r="B72" s="32">
        <f>IFERROR('1.4'!B72/'2.2'!B$39/'2.2'!B$10,0)</f>
        <v>3.8091275974759786</v>
      </c>
      <c r="C72" s="32">
        <f>IFERROR('1.4'!C72/'2.2'!C$39/'2.2'!C$10,0)</f>
        <v>6.529933024244535</v>
      </c>
      <c r="D72" s="32">
        <f>IFERROR('1.4'!D72/'2.2'!D$39/'2.2'!D$10,0)</f>
        <v>3.8091275974759786</v>
      </c>
      <c r="E72" s="32">
        <f>IFERROR('1.4'!E72/'2.2'!E$39/'2.2'!E$10,0)</f>
        <v>3.8091275974759786</v>
      </c>
      <c r="F72" s="32">
        <f>IFERROR('1.4'!F72/'2.2'!F$39/'2.2'!F$10,0)</f>
        <v>7.6182551949519572</v>
      </c>
      <c r="G72" s="32">
        <f>IFERROR('1.4'!G72/'2.2'!G$39/'2.2'!G$10,0)</f>
        <v>3.8091275974759786</v>
      </c>
      <c r="H72" s="32">
        <f>IFERROR('1.4'!H72/'2.2'!H$39/'2.2'!H$10,0)</f>
        <v>3.2649665121222675</v>
      </c>
      <c r="I72" s="32">
        <f>IFERROR('1.4'!I72/'2.2'!I$39/'2.2'!I$10,0)</f>
        <v>62.174739830630372</v>
      </c>
      <c r="J72" s="32">
        <f>IFERROR('1.4'!J72/'2.2'!J$39/'2.2'!J$10,0)</f>
        <v>7.3214400574862966</v>
      </c>
      <c r="K72" s="32">
        <f t="shared" si="0"/>
        <v>102.14584500933934</v>
      </c>
    </row>
    <row r="73" spans="1:11" x14ac:dyDescent="0.3">
      <c r="A73" s="1" t="str">
        <v>Service Lines</v>
      </c>
      <c r="B73" s="32">
        <f>IFERROR('1.4'!B73/'2.2'!B$39/'2.2'!B$10,0)</f>
        <v>6.578764722387473</v>
      </c>
      <c r="C73" s="32">
        <f>IFERROR('1.4'!C73/'2.2'!C$39/'2.2'!C$10,0)</f>
        <v>13.289255720166228</v>
      </c>
      <c r="D73" s="32">
        <f>IFERROR('1.4'!D73/'2.2'!D$39/'2.2'!D$10,0)</f>
        <v>7.7420747916880783</v>
      </c>
      <c r="E73" s="32">
        <f>IFERROR('1.4'!E73/'2.2'!E$39/'2.2'!E$10,0)</f>
        <v>7.2978942838521599</v>
      </c>
      <c r="F73" s="32">
        <f>IFERROR('1.4'!F73/'2.2'!F$39/'2.2'!F$10,0)</f>
        <v>17.441616916033698</v>
      </c>
      <c r="G73" s="32">
        <f>IFERROR('1.4'!G73/'2.2'!G$39/'2.2'!G$10,0)</f>
        <v>20.195622733160825</v>
      </c>
      <c r="H73" s="32">
        <f>IFERROR('1.4'!H73/'2.2'!H$39/'2.2'!H$10,0)</f>
        <v>73.138171661677916</v>
      </c>
      <c r="I73" s="32">
        <f>IFERROR('1.4'!I73/'2.2'!I$39/'2.2'!I$10,0)</f>
        <v>73.273283500430651</v>
      </c>
      <c r="J73" s="32">
        <f>IFERROR('1.4'!J73/'2.2'!J$39/'2.2'!J$10,0)</f>
        <v>8.6637503621271357</v>
      </c>
      <c r="K73" s="32">
        <f t="shared" si="0"/>
        <v>227.62043469152417</v>
      </c>
    </row>
    <row r="74" spans="1:11" x14ac:dyDescent="0.3">
      <c r="A74" s="1" t="str">
        <v>Meter Assets</v>
      </c>
      <c r="B74" s="32">
        <f>IFERROR('1.4'!B74/'2.2'!B$39/'2.2'!B$10,0)</f>
        <v>1.7661647981215529</v>
      </c>
      <c r="C74" s="32">
        <f>IFERROR('1.4'!C74/'2.2'!C$39/'2.2'!C$10,0)</f>
        <v>3.0237992954051056</v>
      </c>
      <c r="D74" s="32">
        <f>IFERROR('1.4'!D74/'2.2'!D$39/'2.2'!D$10,0)</f>
        <v>1.7419229271748591</v>
      </c>
      <c r="E74" s="32">
        <f>IFERROR('1.4'!E74/'2.2'!E$39/'2.2'!E$10,0)</f>
        <v>8.8849967064575477</v>
      </c>
      <c r="F74" s="32">
        <f>IFERROR('1.4'!F74/'2.2'!F$39/'2.2'!F$10,0)</f>
        <v>17.761722035046301</v>
      </c>
      <c r="G74" s="32">
        <f>IFERROR('1.4'!G74/'2.2'!G$39/'2.2'!G$10,0)</f>
        <v>8.8720530626864171</v>
      </c>
      <c r="H74" s="32">
        <f>IFERROR('1.4'!H74/'2.2'!H$39/'2.2'!H$10,0)</f>
        <v>188.03196608394111</v>
      </c>
      <c r="I74" s="32">
        <f>IFERROR('1.4'!I74/'2.2'!I$39/'2.2'!I$10,0)</f>
        <v>0</v>
      </c>
      <c r="J74" s="32">
        <f>IFERROR('1.4'!J74/'2.2'!J$39/'2.2'!J$10,0)</f>
        <v>0</v>
      </c>
      <c r="K74" s="32">
        <f t="shared" si="0"/>
        <v>230.08262490883288</v>
      </c>
    </row>
    <row r="75" spans="1:11" x14ac:dyDescent="0.3">
      <c r="A75" s="1" t="str">
        <v>Meter Reading</v>
      </c>
      <c r="B75" s="32">
        <f>IFERROR('1.4'!B75/'2.2'!B$39/'2.2'!B$10,0)</f>
        <v>1.4749070626544236</v>
      </c>
      <c r="C75" s="32">
        <f>IFERROR('1.4'!C75/'2.2'!C$39/'2.2'!C$10,0)</f>
        <v>1.4749070626544236</v>
      </c>
      <c r="D75" s="32">
        <f>IFERROR('1.4'!D75/'2.2'!D$39/'2.2'!D$10,0)</f>
        <v>1.4749070626544236</v>
      </c>
      <c r="E75" s="32">
        <f>IFERROR('1.4'!E75/'2.2'!E$39/'2.2'!E$10,0)</f>
        <v>1.4749070626544236</v>
      </c>
      <c r="F75" s="32">
        <f>IFERROR('1.4'!F75/'2.2'!F$39/'2.2'!F$10,0)</f>
        <v>1.4749070626544236</v>
      </c>
      <c r="G75" s="32">
        <f>IFERROR('1.4'!G75/'2.2'!G$39/'2.2'!G$10,0)</f>
        <v>1.4749070626544236</v>
      </c>
      <c r="H75" s="32">
        <f>IFERROR('1.4'!H75/'2.2'!H$39/'2.2'!H$10,0)</f>
        <v>7.3745353132721183</v>
      </c>
      <c r="I75" s="32">
        <f>IFERROR('1.4'!I75/'2.2'!I$39/'2.2'!I$10,0)</f>
        <v>0</v>
      </c>
      <c r="J75" s="32">
        <f>IFERROR('1.4'!J75/'2.2'!J$39/'2.2'!J$10,0)</f>
        <v>0</v>
      </c>
      <c r="K75" s="32">
        <f t="shared" si="0"/>
        <v>16.223977689198659</v>
      </c>
    </row>
    <row r="76" spans="1:11" x14ac:dyDescent="0.3">
      <c r="A76" s="1" t="str">
        <v>Billing</v>
      </c>
      <c r="B76" s="32">
        <f>IFERROR('1.4'!B76/'2.2'!B$39/'2.2'!B$10,0)</f>
        <v>1.0678296536327465</v>
      </c>
      <c r="C76" s="32">
        <f>IFERROR('1.4'!C76/'2.2'!C$39/'2.2'!C$10,0)</f>
        <v>1.0678296536327465</v>
      </c>
      <c r="D76" s="32">
        <f>IFERROR('1.4'!D76/'2.2'!D$39/'2.2'!D$10,0)</f>
        <v>1.0678296536327465</v>
      </c>
      <c r="E76" s="32">
        <f>IFERROR('1.4'!E76/'2.2'!E$39/'2.2'!E$10,0)</f>
        <v>1.0678296536327463</v>
      </c>
      <c r="F76" s="32">
        <f>IFERROR('1.4'!F76/'2.2'!F$39/'2.2'!F$10,0)</f>
        <v>1.0678296536327465</v>
      </c>
      <c r="G76" s="32">
        <f>IFERROR('1.4'!G76/'2.2'!G$39/'2.2'!G$10,0)</f>
        <v>1.0678296536327465</v>
      </c>
      <c r="H76" s="32">
        <f>IFERROR('1.4'!H76/'2.2'!H$39/'2.2'!H$10,0)</f>
        <v>26.695741340818657</v>
      </c>
      <c r="I76" s="32">
        <f>IFERROR('1.4'!I76/'2.2'!I$39/'2.2'!I$10,0)</f>
        <v>1.0678296536327463</v>
      </c>
      <c r="J76" s="32">
        <f>IFERROR('1.4'!J76/'2.2'!J$39/'2.2'!J$10,0)</f>
        <v>26.69574134081866</v>
      </c>
      <c r="K76" s="32">
        <f t="shared" si="0"/>
        <v>60.866290257066552</v>
      </c>
    </row>
    <row r="77" spans="1:11" x14ac:dyDescent="0.3">
      <c r="A77" s="1" t="str">
        <v>Remittance &amp; Collection</v>
      </c>
      <c r="B77" s="32">
        <f>IFERROR('1.4'!B77/'2.2'!B$39/'2.2'!B$10,0)</f>
        <v>0.86332994820753894</v>
      </c>
      <c r="C77" s="32">
        <f>IFERROR('1.4'!C77/'2.2'!C$39/'2.2'!C$10,0)</f>
        <v>0.86332994820753906</v>
      </c>
      <c r="D77" s="32">
        <f>IFERROR('1.4'!D77/'2.2'!D$39/'2.2'!D$10,0)</f>
        <v>0.86332994820753894</v>
      </c>
      <c r="E77" s="32">
        <f>IFERROR('1.4'!E77/'2.2'!E$39/'2.2'!E$10,0)</f>
        <v>0.86332994820753883</v>
      </c>
      <c r="F77" s="32">
        <f>IFERROR('1.4'!F77/'2.2'!F$39/'2.2'!F$10,0)</f>
        <v>0.86332994820753894</v>
      </c>
      <c r="G77" s="32">
        <f>IFERROR('1.4'!G77/'2.2'!G$39/'2.2'!G$10,0)</f>
        <v>0.86332994820753894</v>
      </c>
      <c r="H77" s="32">
        <f>IFERROR('1.4'!H77/'2.2'!H$39/'2.2'!H$10,0)</f>
        <v>0.86332994820753894</v>
      </c>
      <c r="I77" s="32">
        <f>IFERROR('1.4'!I77/'2.2'!I$39/'2.2'!I$10,0)</f>
        <v>1.1743133990698911</v>
      </c>
      <c r="J77" s="32">
        <f>IFERROR('1.4'!J77/'2.2'!J$39/'2.2'!J$10,0)</f>
        <v>1.6593874329183869</v>
      </c>
      <c r="K77" s="32">
        <f t="shared" si="0"/>
        <v>8.8770104694410517</v>
      </c>
    </row>
    <row r="78" spans="1:11" x14ac:dyDescent="0.3">
      <c r="A78" s="1" t="str">
        <v>Uncollectibles &amp; Damage Claims</v>
      </c>
      <c r="B78" s="32">
        <f>IFERROR('1.4'!B78/'2.2'!B$39/'2.2'!B$10,0)</f>
        <v>0.42290971657681747</v>
      </c>
      <c r="C78" s="32">
        <f>IFERROR('1.4'!C78/'2.2'!C$39/'2.2'!C$10,0)</f>
        <v>0.7249880855602584</v>
      </c>
      <c r="D78" s="32">
        <f>IFERROR('1.4'!D78/'2.2'!D$39/'2.2'!D$10,0)</f>
        <v>0.42290971657681747</v>
      </c>
      <c r="E78" s="32">
        <f>IFERROR('1.4'!E78/'2.2'!E$39/'2.2'!E$10,0)</f>
        <v>0.42290971657681747</v>
      </c>
      <c r="F78" s="32">
        <f>IFERROR('1.4'!F78/'2.2'!F$39/'2.2'!F$10,0)</f>
        <v>0.84581943315363484</v>
      </c>
      <c r="G78" s="32">
        <f>IFERROR('1.4'!G78/'2.2'!G$39/'2.2'!G$10,0)</f>
        <v>0</v>
      </c>
      <c r="H78" s="32">
        <f>IFERROR('1.4'!H78/'2.2'!H$39/'2.2'!H$10,0)</f>
        <v>0</v>
      </c>
      <c r="I78" s="32">
        <f>IFERROR('1.4'!I78/'2.2'!I$39/'2.2'!I$10,0)</f>
        <v>0</v>
      </c>
      <c r="J78" s="32">
        <f>IFERROR('1.4'!J78/'2.2'!J$39/'2.2'!J$10,0)</f>
        <v>0</v>
      </c>
      <c r="K78" s="32">
        <f t="shared" si="0"/>
        <v>2.8395366684443455</v>
      </c>
    </row>
    <row r="79" spans="1:11" x14ac:dyDescent="0.3">
      <c r="A79" s="1" t="str">
        <v>Service Connections</v>
      </c>
      <c r="B79" s="32">
        <f>IFERROR('1.4'!B79/'2.2'!B$39/'2.2'!B$10,0)</f>
        <v>-0.30374479607044186</v>
      </c>
      <c r="C79" s="32">
        <f>IFERROR('1.4'!C79/'2.2'!C$39/'2.2'!C$10,0)</f>
        <v>-0.35964401413973274</v>
      </c>
      <c r="D79" s="32">
        <f>IFERROR('1.4'!D79/'2.2'!D$39/'2.2'!D$10,0)</f>
        <v>0</v>
      </c>
      <c r="E79" s="32">
        <f>IFERROR('1.4'!E79/'2.2'!E$39/'2.2'!E$10,0)</f>
        <v>-0.19889191654795646</v>
      </c>
      <c r="F79" s="32">
        <f>IFERROR('1.4'!F79/'2.2'!F$39/'2.2'!F$10,0)</f>
        <v>-0.37069808468700099</v>
      </c>
      <c r="G79" s="32">
        <f>IFERROR('1.4'!G79/'2.2'!G$39/'2.2'!G$10,0)</f>
        <v>0</v>
      </c>
      <c r="H79" s="32">
        <f>IFERROR('1.4'!H79/'2.2'!H$39/'2.2'!H$10,0)</f>
        <v>0</v>
      </c>
      <c r="I79" s="32">
        <f>IFERROR('1.4'!I79/'2.2'!I$39/'2.2'!I$10,0)</f>
        <v>0</v>
      </c>
      <c r="J79" s="32">
        <f>IFERROR('1.4'!J79/'2.2'!J$39/'2.2'!J$10,0)</f>
        <v>0</v>
      </c>
      <c r="K79" s="32">
        <f t="shared" si="0"/>
        <v>-1.2329788114451321</v>
      </c>
    </row>
    <row r="80" spans="1:11" x14ac:dyDescent="0.3">
      <c r="A80" s="1" t="str">
        <v>Late Payments</v>
      </c>
      <c r="B80" s="32">
        <f>IFERROR('1.4'!B80/'2.2'!B$39/'2.2'!B$10,0)</f>
        <v>-0.58416018373395306</v>
      </c>
      <c r="C80" s="32">
        <f>IFERROR('1.4'!C80/'2.2'!C$39/'2.2'!C$10,0)</f>
        <v>-0.28497180167440972</v>
      </c>
      <c r="D80" s="32">
        <f>IFERROR('1.4'!D80/'2.2'!D$39/'2.2'!D$10,0)</f>
        <v>-1.5548222726148813</v>
      </c>
      <c r="E80" s="32">
        <f>IFERROR('1.4'!E80/'2.2'!E$39/'2.2'!E$10,0)</f>
        <v>-0.82356807880462146</v>
      </c>
      <c r="F80" s="32">
        <f>IFERROR('1.4'!F80/'2.2'!F$39/'2.2'!F$10,0)</f>
        <v>-0.48955122712660998</v>
      </c>
      <c r="G80" s="32">
        <f>IFERROR('1.4'!G80/'2.2'!G$39/'2.2'!G$10,0)</f>
        <v>-7.6153558257653069</v>
      </c>
      <c r="H80" s="32">
        <f>IFERROR('1.4'!H80/'2.2'!H$39/'2.2'!H$10,0)</f>
        <v>0</v>
      </c>
      <c r="I80" s="32">
        <f>IFERROR('1.4'!I80/'2.2'!I$39/'2.2'!I$10,0)</f>
        <v>-0.25791757698670381</v>
      </c>
      <c r="J80" s="32">
        <f>IFERROR('1.4'!J80/'2.2'!J$39/'2.2'!J$10,0)</f>
        <v>0</v>
      </c>
      <c r="K80" s="32">
        <f t="shared" si="0"/>
        <v>-11.610346966706487</v>
      </c>
    </row>
    <row r="81" spans="1:11" x14ac:dyDescent="0.3">
      <c r="A81" s="1" t="str">
        <v>Lighting</v>
      </c>
      <c r="B81" s="32">
        <f>IFERROR('1.4'!B81/'2.2'!B$39/'2.2'!B$10,0)</f>
        <v>0</v>
      </c>
      <c r="C81" s="32">
        <f>IFERROR('1.4'!C81/'2.2'!C$39/'2.2'!C$10,0)</f>
        <v>0</v>
      </c>
      <c r="D81" s="32">
        <f>IFERROR('1.4'!D81/'2.2'!D$39/'2.2'!D$10,0)</f>
        <v>0</v>
      </c>
      <c r="E81" s="32">
        <f>IFERROR('1.4'!E81/'2.2'!E$39/'2.2'!E$10,0)</f>
        <v>0</v>
      </c>
      <c r="F81" s="32">
        <f>IFERROR('1.4'!F81/'2.2'!F$39/'2.2'!F$10,0)</f>
        <v>0</v>
      </c>
      <c r="G81" s="32">
        <f>IFERROR('1.4'!G81/'2.2'!G$39/'2.2'!G$10,0)</f>
        <v>0</v>
      </c>
      <c r="H81" s="32">
        <f>IFERROR('1.4'!H81/'2.2'!H$39/'2.2'!H$10,0)</f>
        <v>0</v>
      </c>
      <c r="I81" s="32">
        <f>IFERROR('1.4'!I81/'2.2'!I$39/'2.2'!I$10,0)</f>
        <v>339.69140797558089</v>
      </c>
      <c r="J81" s="32">
        <f>IFERROR('1.4'!J81/'2.2'!J$39/'2.2'!J$10,0)</f>
        <v>0</v>
      </c>
      <c r="K81" s="32">
        <f t="shared" si="0"/>
        <v>339.69140797558089</v>
      </c>
    </row>
    <row r="82" spans="1:11" x14ac:dyDescent="0.3">
      <c r="A82" s="2" t="s">
        <v>214</v>
      </c>
      <c r="B82" s="32">
        <f>IFERROR('1.4'!B82/'2.2'!B$39/'2.2'!B$10,0)</f>
        <v>32.111619689781797</v>
      </c>
      <c r="C82" s="32">
        <f>IFERROR('1.4'!C82/'2.2'!C$39/'2.2'!C$10,0)</f>
        <v>55.50055469496467</v>
      </c>
      <c r="D82" s="32">
        <f>IFERROR('1.4'!D82/'2.2'!D$39/'2.2'!D$10,0)</f>
        <v>32.583770595325227</v>
      </c>
      <c r="E82" s="32">
        <f>IFERROR('1.4'!E82/'2.2'!E$39/'2.2'!E$10,0)</f>
        <v>39.815026144034285</v>
      </c>
      <c r="F82" s="32">
        <f>IFERROR('1.4'!F82/'2.2'!F$39/'2.2'!F$10,0)</f>
        <v>80.246213272925999</v>
      </c>
      <c r="G82" s="32">
        <f>IFERROR('1.4'!G82/'2.2'!G$39/'2.2'!G$10,0)</f>
        <v>45.684005402582279</v>
      </c>
      <c r="H82" s="32">
        <f>IFERROR('1.4'!H82/'2.2'!H$39/'2.2'!H$10,0)</f>
        <v>315.51820787885208</v>
      </c>
      <c r="I82" s="32">
        <f>IFERROR('1.4'!I82/'2.2'!I$39/'2.2'!I$10,0)</f>
        <v>754.8764713793156</v>
      </c>
      <c r="J82" s="32">
        <f>IFERROR('1.4'!J82/'2.2'!J$39/'2.2'!J$10,0)</f>
        <v>77.047341183459437</v>
      </c>
      <c r="K82" s="32">
        <f t="shared" si="0"/>
        <v>1433.3832102412414</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23" max="10" man="1"/>
    <brk id="43" max="11" man="1"/>
    <brk id="6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169"/>
  <sheetViews>
    <sheetView topLeftCell="A150" zoomScaleNormal="100" zoomScaleSheetLayoutView="40" workbookViewId="0">
      <selection activeCell="E21" sqref="E21"/>
    </sheetView>
  </sheetViews>
  <sheetFormatPr defaultColWidth="8.7109375" defaultRowHeight="13.5" x14ac:dyDescent="0.3"/>
  <cols>
    <col min="1" max="1" width="25.7109375" style="1" customWidth="1"/>
    <col min="2" max="11" width="9.7109375" style="1" customWidth="1"/>
    <col min="12" max="16384" width="8.7109375" style="1"/>
  </cols>
  <sheetData>
    <row r="1" spans="1:12" x14ac:dyDescent="0.3">
      <c r="A1" s="1" t="s">
        <v>608</v>
      </c>
    </row>
    <row r="2" spans="1:12" x14ac:dyDescent="0.3">
      <c r="A2" s="1" t="s">
        <v>596</v>
      </c>
    </row>
    <row r="4" spans="1:12" x14ac:dyDescent="0.3">
      <c r="A4" s="1" t="s">
        <v>536</v>
      </c>
    </row>
    <row r="5" spans="1:12" s="9" customFormat="1" ht="40.5" x14ac:dyDescent="0.25">
      <c r="B5" s="17" t="str">
        <f t="array" ref="B5:J5">TRANSPOSE(List_Classes)</f>
        <v>Residential</v>
      </c>
      <c r="C5" s="17" t="str">
        <v>Residential (S)</v>
      </c>
      <c r="D5" s="17" t="str">
        <v>Farm</v>
      </c>
      <c r="E5" s="17" t="str">
        <v>General Service 1</v>
      </c>
      <c r="F5" s="17" t="str">
        <v>General Service 1 (S)</v>
      </c>
      <c r="G5" s="17" t="str">
        <v>Small Industrial</v>
      </c>
      <c r="H5" s="17" t="str">
        <v>Large Industrial</v>
      </c>
      <c r="I5" s="17" t="str">
        <v>Lights</v>
      </c>
      <c r="J5" s="17" t="str">
        <v>Unmetered</v>
      </c>
      <c r="K5" s="17" t="s">
        <v>214</v>
      </c>
      <c r="L5" s="56" t="s">
        <v>680</v>
      </c>
    </row>
    <row r="6" spans="1:12" x14ac:dyDescent="0.3">
      <c r="A6" s="1" t="s">
        <v>262</v>
      </c>
    </row>
    <row r="7" spans="1:12" x14ac:dyDescent="0.3">
      <c r="A7" s="3" t="s">
        <v>247</v>
      </c>
      <c r="B7" s="46">
        <f t="array" ref="B7:J7">MMULT('3.0'!B7:Q7,Table_FinalAlloc)</f>
        <v>84984131.17508243</v>
      </c>
      <c r="C7" s="46">
        <v>2655335.5790772149</v>
      </c>
      <c r="D7" s="46">
        <v>4842699.9997988045</v>
      </c>
      <c r="E7" s="46">
        <v>41000416.756331198</v>
      </c>
      <c r="F7" s="46">
        <v>853810.37911471049</v>
      </c>
      <c r="G7" s="46">
        <v>10044175.023821957</v>
      </c>
      <c r="H7" s="46">
        <v>14638536.086378047</v>
      </c>
      <c r="I7" s="46">
        <v>443635.81759070372</v>
      </c>
      <c r="J7" s="46">
        <v>254203.18280491052</v>
      </c>
      <c r="K7" s="1">
        <f>SUM(B7:J7)</f>
        <v>159716943.99999997</v>
      </c>
      <c r="L7" s="1">
        <f>'4.1'!B5-K7</f>
        <v>0</v>
      </c>
    </row>
    <row r="8" spans="1:12" x14ac:dyDescent="0.3">
      <c r="A8" s="3" t="s">
        <v>248</v>
      </c>
      <c r="B8" s="46">
        <f t="array" ref="B8:J8">MMULT('3.0'!B8:Q8,Table_FinalAlloc)</f>
        <v>-4528871.4723241962</v>
      </c>
      <c r="C8" s="46">
        <v>-145814.21696874479</v>
      </c>
      <c r="D8" s="46">
        <v>-267003.20828397974</v>
      </c>
      <c r="E8" s="46">
        <v>-2255373.6569357193</v>
      </c>
      <c r="F8" s="46">
        <v>-49154.450752139281</v>
      </c>
      <c r="G8" s="46">
        <v>-542242.93323139183</v>
      </c>
      <c r="H8" s="46">
        <v>-815286.34960367612</v>
      </c>
      <c r="I8" s="46">
        <v>-23472.986803170559</v>
      </c>
      <c r="J8" s="46">
        <v>-14064.725096981401</v>
      </c>
      <c r="K8" s="1">
        <f>SUM(B8:J8)</f>
        <v>-8641284</v>
      </c>
      <c r="L8" s="1">
        <f>'4.1'!B6-K8</f>
        <v>0</v>
      </c>
    </row>
    <row r="9" spans="1:12" x14ac:dyDescent="0.3">
      <c r="A9" s="3" t="s">
        <v>249</v>
      </c>
      <c r="B9" s="1">
        <f>SUBTOTAL(9,B7:B8)</f>
        <v>80455259.702758238</v>
      </c>
      <c r="C9" s="1">
        <f t="shared" ref="C9:K9" si="0">SUBTOTAL(9,C7:C8)</f>
        <v>2509521.3621084699</v>
      </c>
      <c r="D9" s="1">
        <f t="shared" si="0"/>
        <v>4575696.7915148251</v>
      </c>
      <c r="E9" s="1">
        <f t="shared" si="0"/>
        <v>38745043.099395476</v>
      </c>
      <c r="F9" s="1">
        <f t="shared" si="0"/>
        <v>804655.92836257117</v>
      </c>
      <c r="G9" s="1">
        <f t="shared" si="0"/>
        <v>9501932.0905905664</v>
      </c>
      <c r="H9" s="1">
        <f t="shared" si="0"/>
        <v>13823249.736774372</v>
      </c>
      <c r="I9" s="1">
        <f t="shared" si="0"/>
        <v>420162.83078753314</v>
      </c>
      <c r="J9" s="1">
        <f t="shared" si="0"/>
        <v>240138.45770792913</v>
      </c>
      <c r="K9" s="1">
        <f t="shared" si="0"/>
        <v>151075659.99999997</v>
      </c>
      <c r="L9" s="1">
        <f>'4.1'!B7-K9</f>
        <v>0</v>
      </c>
    </row>
    <row r="10" spans="1:12" x14ac:dyDescent="0.3">
      <c r="A10" s="3" t="s">
        <v>124</v>
      </c>
      <c r="B10" s="46">
        <f t="array" ref="B10:J10">MMULT('3.0'!B10:Q10,Table_FinalAlloc)</f>
        <v>6029641.9341657683</v>
      </c>
      <c r="C10" s="46">
        <v>445832.57680851151</v>
      </c>
      <c r="D10" s="46">
        <v>172342.40107689472</v>
      </c>
      <c r="E10" s="46">
        <v>1422988.1595779259</v>
      </c>
      <c r="F10" s="46">
        <v>128459.1351562902</v>
      </c>
      <c r="G10" s="46">
        <v>386973.61137609358</v>
      </c>
      <c r="H10" s="46">
        <v>126187.97979950832</v>
      </c>
      <c r="I10" s="46">
        <v>295690.84478326386</v>
      </c>
      <c r="J10" s="46">
        <v>17115.357255744231</v>
      </c>
      <c r="K10" s="1">
        <f>SUM(B10:J10)</f>
        <v>9025232</v>
      </c>
      <c r="L10" s="1">
        <f>'4.1'!B8-K10</f>
        <v>0</v>
      </c>
    </row>
    <row r="11" spans="1:12" x14ac:dyDescent="0.3">
      <c r="A11" s="3" t="s">
        <v>12</v>
      </c>
      <c r="B11" s="46">
        <f t="array" ref="B11:J11">MMULT('3.0'!B11:Q11,Table_FinalAlloc)</f>
        <v>1158128.4199849309</v>
      </c>
      <c r="C11" s="46">
        <v>21603.807500390943</v>
      </c>
      <c r="D11" s="46">
        <v>39670.776210852535</v>
      </c>
      <c r="E11" s="46">
        <v>352601.9023356979</v>
      </c>
      <c r="F11" s="46">
        <v>148.00624084841419</v>
      </c>
      <c r="G11" s="46">
        <v>117384.25998322506</v>
      </c>
      <c r="H11" s="46">
        <v>98240.418279004298</v>
      </c>
      <c r="I11" s="46">
        <v>5374.1576418406949</v>
      </c>
      <c r="J11" s="46">
        <v>1883.2518232091327</v>
      </c>
      <c r="K11" s="1">
        <f>SUM(B11:J11)</f>
        <v>1795034.9999999998</v>
      </c>
      <c r="L11" s="1">
        <f>'4.1'!B9-K11</f>
        <v>0</v>
      </c>
    </row>
    <row r="12" spans="1:12" x14ac:dyDescent="0.3">
      <c r="A12" s="3" t="s">
        <v>250</v>
      </c>
      <c r="B12" s="46">
        <f t="array" ref="B12:J12">MMULT('3.0'!B12:Q12,Table_FinalAlloc)</f>
        <v>1904358.4636163339</v>
      </c>
      <c r="C12" s="46">
        <v>120634.70862334163</v>
      </c>
      <c r="D12" s="46">
        <v>58829.844197177983</v>
      </c>
      <c r="E12" s="46">
        <v>460633.45145815553</v>
      </c>
      <c r="F12" s="46">
        <v>31249.35668998467</v>
      </c>
      <c r="G12" s="46">
        <v>137344.11216952099</v>
      </c>
      <c r="H12" s="46">
        <v>40324.180564296847</v>
      </c>
      <c r="I12" s="46">
        <v>63749.337766533208</v>
      </c>
      <c r="J12" s="46">
        <v>5273.5449146554083</v>
      </c>
      <c r="K12" s="1">
        <f>SUM(B12:J12)</f>
        <v>2822397</v>
      </c>
      <c r="L12" s="1">
        <f>'4.1'!B10-K12</f>
        <v>0</v>
      </c>
    </row>
    <row r="13" spans="1:12" x14ac:dyDescent="0.3">
      <c r="A13" s="3" t="s">
        <v>251</v>
      </c>
      <c r="B13" s="46">
        <f t="array" ref="B13:J13">MMULT('3.0'!B13:Q13,Table_FinalAlloc)</f>
        <v>188792.54276331689</v>
      </c>
      <c r="C13" s="46">
        <v>3521.7491264233827</v>
      </c>
      <c r="D13" s="46">
        <v>6466.9397495130997</v>
      </c>
      <c r="E13" s="46">
        <v>57479.471685882032</v>
      </c>
      <c r="F13" s="46">
        <v>24.127267816271697</v>
      </c>
      <c r="G13" s="46">
        <v>19135.419302560313</v>
      </c>
      <c r="H13" s="46">
        <v>16014.682006738409</v>
      </c>
      <c r="I13" s="46">
        <v>876.06941415634822</v>
      </c>
      <c r="J13" s="46">
        <v>306.99868359325023</v>
      </c>
      <c r="K13" s="1">
        <f>SUM(B13:J13)</f>
        <v>292618</v>
      </c>
      <c r="L13" s="1">
        <f>'4.1'!B11-K13</f>
        <v>0</v>
      </c>
    </row>
    <row r="14" spans="1:12" x14ac:dyDescent="0.3">
      <c r="A14" s="3" t="s">
        <v>252</v>
      </c>
      <c r="B14" s="46">
        <f t="array" ref="B14:J14">MMULT('3.0'!B14:Q14,Table_FinalAlloc)</f>
        <v>9322528.8046156876</v>
      </c>
      <c r="C14" s="46">
        <v>559141.34706022812</v>
      </c>
      <c r="D14" s="46">
        <v>229416.70010684337</v>
      </c>
      <c r="E14" s="46">
        <v>2115017.6970360135</v>
      </c>
      <c r="F14" s="46">
        <v>133714.13237824192</v>
      </c>
      <c r="G14" s="46">
        <v>524194.38960522728</v>
      </c>
      <c r="H14" s="46">
        <v>316654.04112616106</v>
      </c>
      <c r="I14" s="46">
        <v>237505.53751722662</v>
      </c>
      <c r="J14" s="46">
        <v>63509.350554367491</v>
      </c>
      <c r="K14" s="1">
        <f>SUM(B14:J14)</f>
        <v>13501681.999999996</v>
      </c>
      <c r="L14" s="1">
        <f>'4.1'!B12-K14</f>
        <v>0</v>
      </c>
    </row>
    <row r="15" spans="1:12" x14ac:dyDescent="0.3">
      <c r="A15" s="3" t="s">
        <v>253</v>
      </c>
      <c r="B15" s="1">
        <f t="shared" ref="B15:K15" si="1">SUBTOTAL(9,B6:B14)</f>
        <v>99058709.867904291</v>
      </c>
      <c r="C15" s="1">
        <f>SUBTOTAL(9,C6:C14)</f>
        <v>3660255.5512273652</v>
      </c>
      <c r="D15" s="1">
        <f t="shared" si="1"/>
        <v>5082423.4528561067</v>
      </c>
      <c r="E15" s="1">
        <f t="shared" si="1"/>
        <v>43153763.781489149</v>
      </c>
      <c r="F15" s="1">
        <f t="shared" si="1"/>
        <v>1098250.6860957525</v>
      </c>
      <c r="G15" s="1">
        <f t="shared" si="1"/>
        <v>10686963.883027194</v>
      </c>
      <c r="H15" s="1">
        <f t="shared" si="1"/>
        <v>14420671.038550084</v>
      </c>
      <c r="I15" s="1">
        <f t="shared" si="1"/>
        <v>1023358.777910554</v>
      </c>
      <c r="J15" s="1">
        <f t="shared" si="1"/>
        <v>328226.96093949862</v>
      </c>
      <c r="K15" s="1">
        <f t="shared" si="1"/>
        <v>178512623.99999997</v>
      </c>
      <c r="L15" s="1">
        <f>'4.1'!B13-K15</f>
        <v>0</v>
      </c>
    </row>
    <row r="16" spans="1:12" x14ac:dyDescent="0.3">
      <c r="A16" s="2" t="s">
        <v>138</v>
      </c>
      <c r="L16" s="1">
        <f>'4.1'!B14-K16</f>
        <v>0</v>
      </c>
    </row>
    <row r="17" spans="1:12" x14ac:dyDescent="0.3">
      <c r="A17" s="3" t="s">
        <v>479</v>
      </c>
      <c r="B17" s="46">
        <f t="array" ref="B17:J17">MMULT('3.0'!B17:Q17,Table_FinalAlloc)</f>
        <v>275460.38451172382</v>
      </c>
      <c r="C17" s="46">
        <v>11834.386931157544</v>
      </c>
      <c r="D17" s="46">
        <v>9916.3051382870581</v>
      </c>
      <c r="E17" s="46">
        <v>85975.514704482455</v>
      </c>
      <c r="F17" s="46">
        <v>2958.758710109832</v>
      </c>
      <c r="G17" s="46">
        <v>23650.755111633567</v>
      </c>
      <c r="H17" s="46">
        <v>20973.977018992187</v>
      </c>
      <c r="I17" s="46">
        <v>4748.4504258615452</v>
      </c>
      <c r="J17" s="46">
        <v>893.46744775183117</v>
      </c>
      <c r="K17" s="1">
        <f>SUM(B17:J17)</f>
        <v>436411.99999999983</v>
      </c>
      <c r="L17" s="1">
        <f>'4.1'!B15-K17</f>
        <v>0</v>
      </c>
    </row>
    <row r="18" spans="1:12" x14ac:dyDescent="0.3">
      <c r="A18" s="47" t="s">
        <v>725</v>
      </c>
      <c r="B18" s="46">
        <f t="array" ref="B18:J18">MMULT('3.0'!B18:Q18,Table_FinalAlloc)</f>
        <v>1269441.2812546198</v>
      </c>
      <c r="C18" s="46">
        <v>29757.824774133383</v>
      </c>
      <c r="D18" s="46">
        <v>54570.140892255142</v>
      </c>
      <c r="E18" s="46">
        <v>473618.2319862413</v>
      </c>
      <c r="F18" s="46">
        <v>4974.4157922379063</v>
      </c>
      <c r="G18" s="46">
        <v>136911.84560369852</v>
      </c>
      <c r="H18" s="46">
        <v>156317.76811510857</v>
      </c>
      <c r="I18" s="46">
        <v>6133.484374205791</v>
      </c>
      <c r="J18" s="46">
        <v>2728.0072074994296</v>
      </c>
      <c r="K18" s="1">
        <f>SUM(B18:J18)</f>
        <v>2134452.9999999991</v>
      </c>
      <c r="L18" s="1">
        <f>'4.1'!B16-K18</f>
        <v>0</v>
      </c>
    </row>
    <row r="19" spans="1:12" x14ac:dyDescent="0.3">
      <c r="A19" s="3" t="s">
        <v>480</v>
      </c>
      <c r="B19" s="46">
        <f t="array" ref="B19:J19">MMULT('3.0'!B19:Q19,Table_FinalAlloc)</f>
        <v>17546792.293974675</v>
      </c>
      <c r="C19" s="46">
        <v>1203766.9949232703</v>
      </c>
      <c r="D19" s="46">
        <v>499014.75780211325</v>
      </c>
      <c r="E19" s="46">
        <v>4489505.3506249562</v>
      </c>
      <c r="F19" s="46">
        <v>360945.54346047697</v>
      </c>
      <c r="G19" s="46">
        <v>1176880.6254217187</v>
      </c>
      <c r="H19" s="46">
        <v>639318.36254456895</v>
      </c>
      <c r="I19" s="46">
        <v>1037858.6538657241</v>
      </c>
      <c r="J19" s="46">
        <v>47275.417382500156</v>
      </c>
      <c r="K19" s="1">
        <f>SUM(B19:J19)</f>
        <v>27001358.000000007</v>
      </c>
      <c r="L19" s="1">
        <f>'4.1'!B17-K19</f>
        <v>0</v>
      </c>
    </row>
    <row r="20" spans="1:12" x14ac:dyDescent="0.3">
      <c r="A20" s="3" t="s">
        <v>254</v>
      </c>
      <c r="B20" s="1">
        <f t="shared" ref="B20:K20" si="2">SUBTOTAL(9,B16:B19)</f>
        <v>19091693.959741019</v>
      </c>
      <c r="C20" s="1">
        <f t="shared" si="2"/>
        <v>1245359.2066285613</v>
      </c>
      <c r="D20" s="1">
        <f t="shared" si="2"/>
        <v>563501.20383265545</v>
      </c>
      <c r="E20" s="1">
        <f t="shared" si="2"/>
        <v>5049099.0973156802</v>
      </c>
      <c r="F20" s="1">
        <f t="shared" si="2"/>
        <v>368878.71796282468</v>
      </c>
      <c r="G20" s="1">
        <f t="shared" si="2"/>
        <v>1337443.2261370509</v>
      </c>
      <c r="H20" s="1">
        <f t="shared" si="2"/>
        <v>816610.10767866974</v>
      </c>
      <c r="I20" s="1">
        <f t="shared" si="2"/>
        <v>1048740.5886657916</v>
      </c>
      <c r="J20" s="1">
        <f t="shared" si="2"/>
        <v>50896.892037751415</v>
      </c>
      <c r="K20" s="1">
        <f t="shared" si="2"/>
        <v>29572223.000000007</v>
      </c>
      <c r="L20" s="1">
        <f>'4.1'!B18-K20</f>
        <v>0</v>
      </c>
    </row>
    <row r="21" spans="1:12" x14ac:dyDescent="0.3">
      <c r="A21" s="1" t="s">
        <v>263</v>
      </c>
      <c r="B21" s="1">
        <f t="shared" ref="B21:K21" si="3">SUBTOTAL(9,B6:B20)</f>
        <v>118150403.8276453</v>
      </c>
      <c r="C21" s="1">
        <f t="shared" si="3"/>
        <v>4905614.7578559266</v>
      </c>
      <c r="D21" s="1">
        <f t="shared" si="3"/>
        <v>5645924.6566887619</v>
      </c>
      <c r="E21" s="1">
        <f t="shared" si="3"/>
        <v>48202862.878804825</v>
      </c>
      <c r="F21" s="1">
        <f t="shared" si="3"/>
        <v>1467129.4040585773</v>
      </c>
      <c r="G21" s="1">
        <f t="shared" si="3"/>
        <v>12024407.109164245</v>
      </c>
      <c r="H21" s="1">
        <f t="shared" si="3"/>
        <v>15237281.146228753</v>
      </c>
      <c r="I21" s="1">
        <f t="shared" si="3"/>
        <v>2072099.3665763454</v>
      </c>
      <c r="J21" s="1">
        <f t="shared" si="3"/>
        <v>379123.85297725</v>
      </c>
      <c r="K21" s="1">
        <f t="shared" si="3"/>
        <v>208084846.99999997</v>
      </c>
      <c r="L21" s="1">
        <f>'4.1'!B19-K21</f>
        <v>0</v>
      </c>
    </row>
    <row r="22" spans="1:12" x14ac:dyDescent="0.3">
      <c r="A22" s="1" t="s">
        <v>246</v>
      </c>
      <c r="L22" s="1">
        <f>'4.1'!B20-K22</f>
        <v>0</v>
      </c>
    </row>
    <row r="23" spans="1:12" x14ac:dyDescent="0.3">
      <c r="A23" s="3" t="s">
        <v>255</v>
      </c>
      <c r="B23" s="46">
        <f t="array" ref="B23:J23">MMULT('3.0'!B23:Q23,Table_FinalAlloc)</f>
        <v>9573853.7552070692</v>
      </c>
      <c r="C23" s="46">
        <v>604726.77074095409</v>
      </c>
      <c r="D23" s="46">
        <v>289565.44219772797</v>
      </c>
      <c r="E23" s="46">
        <v>2492286.9486593748</v>
      </c>
      <c r="F23" s="46">
        <v>166030.39005263906</v>
      </c>
      <c r="G23" s="46">
        <v>689330.80643752578</v>
      </c>
      <c r="H23" s="46">
        <v>397595.23642165074</v>
      </c>
      <c r="I23" s="46">
        <v>503453.27748994221</v>
      </c>
      <c r="J23" s="46">
        <v>25405.372793118484</v>
      </c>
      <c r="K23" s="1">
        <f>SUM(B23:J23)</f>
        <v>14742248.000000002</v>
      </c>
      <c r="L23" s="1">
        <f>'4.1'!B21-K23</f>
        <v>0</v>
      </c>
    </row>
    <row r="24" spans="1:12" x14ac:dyDescent="0.3">
      <c r="A24" s="3" t="s">
        <v>256</v>
      </c>
      <c r="B24" s="46">
        <f t="array" ref="B24:J24">MMULT('3.0'!B24:Q24,Table_FinalAlloc)</f>
        <v>868082.99349489377</v>
      </c>
      <c r="C24" s="46">
        <v>54831.945297450759</v>
      </c>
      <c r="D24" s="46">
        <v>26255.554168974202</v>
      </c>
      <c r="E24" s="46">
        <v>225981.29973144663</v>
      </c>
      <c r="F24" s="46">
        <v>15054.351329487423</v>
      </c>
      <c r="G24" s="46">
        <v>62503.184742620295</v>
      </c>
      <c r="H24" s="46">
        <v>36050.860171589433</v>
      </c>
      <c r="I24" s="46">
        <v>45649.248399118864</v>
      </c>
      <c r="J24" s="46">
        <v>2303.5626644191429</v>
      </c>
      <c r="K24" s="1">
        <f>SUM(B24:J24)</f>
        <v>1336713.0000000007</v>
      </c>
      <c r="L24" s="1">
        <f>'4.1'!B22-K24</f>
        <v>0</v>
      </c>
    </row>
    <row r="25" spans="1:12" x14ac:dyDescent="0.3">
      <c r="A25" s="3" t="s">
        <v>257</v>
      </c>
      <c r="B25" s="46">
        <f t="array" ref="B25:J25">MMULT('3.0'!B25:Q25,Table_FinalAlloc)</f>
        <v>-505868.54510264273</v>
      </c>
      <c r="C25" s="46">
        <v>-31952.885381496955</v>
      </c>
      <c r="D25" s="46">
        <v>-15300.217937515363</v>
      </c>
      <c r="E25" s="46">
        <v>-131688.8271884151</v>
      </c>
      <c r="F25" s="46">
        <v>-8772.8049755378997</v>
      </c>
      <c r="G25" s="46">
        <v>-36423.239905594368</v>
      </c>
      <c r="H25" s="46">
        <v>-21008.355562039967</v>
      </c>
      <c r="I25" s="46">
        <v>-26601.740900050521</v>
      </c>
      <c r="J25" s="46">
        <v>-1342.3830467073119</v>
      </c>
      <c r="K25" s="1">
        <f>SUM(B25:J25)</f>
        <v>-778959.00000000023</v>
      </c>
      <c r="L25" s="1">
        <f>'4.1'!B23-K25</f>
        <v>0</v>
      </c>
    </row>
    <row r="26" spans="1:12" x14ac:dyDescent="0.3">
      <c r="A26" s="3" t="s">
        <v>728</v>
      </c>
      <c r="B26" s="46">
        <f t="array" ref="B26:J26">MMULT('3.0'!B26:Q26,Table_FinalAlloc)</f>
        <v>-31699.300506894706</v>
      </c>
      <c r="C26" s="46">
        <v>-2002.2674380058893</v>
      </c>
      <c r="D26" s="46">
        <v>-958.75936726579948</v>
      </c>
      <c r="E26" s="46">
        <v>-8252.0325623311583</v>
      </c>
      <c r="F26" s="46">
        <v>-549.73131636704363</v>
      </c>
      <c r="G26" s="46">
        <v>-2282.3937925768519</v>
      </c>
      <c r="H26" s="46">
        <v>-1316.4490707396603</v>
      </c>
      <c r="I26" s="46">
        <v>-1666.9480381037588</v>
      </c>
      <c r="J26" s="46">
        <v>-84.117907715139452</v>
      </c>
      <c r="K26" s="1">
        <f>SUM(B26:J26)</f>
        <v>-48812.000000000007</v>
      </c>
      <c r="L26" s="1">
        <f>'4.1'!B24-K26</f>
        <v>0</v>
      </c>
    </row>
    <row r="27" spans="1:12" x14ac:dyDescent="0.3">
      <c r="A27" s="3" t="s">
        <v>258</v>
      </c>
      <c r="B27" s="46">
        <f t="array" ref="B27:J27">MMULT('3.0'!B27:Q27,Table_FinalAlloc)</f>
        <v>16162.668831754394</v>
      </c>
      <c r="C27" s="46">
        <v>1020.9053510835568</v>
      </c>
      <c r="D27" s="46">
        <v>488.8470690098996</v>
      </c>
      <c r="E27" s="46">
        <v>4207.5019751556583</v>
      </c>
      <c r="F27" s="46">
        <v>280.29404658163941</v>
      </c>
      <c r="G27" s="46">
        <v>1163.734669951092</v>
      </c>
      <c r="H27" s="46">
        <v>671.22397100239004</v>
      </c>
      <c r="I27" s="46">
        <v>849.93449914624171</v>
      </c>
      <c r="J27" s="46">
        <v>42.889586315135425</v>
      </c>
      <c r="K27" s="1">
        <f>SUM(B27:J27)</f>
        <v>24888.000000000004</v>
      </c>
      <c r="L27" s="1">
        <f>'4.1'!B25-K27</f>
        <v>0</v>
      </c>
    </row>
    <row r="28" spans="1:12" x14ac:dyDescent="0.3">
      <c r="A28" s="3" t="s">
        <v>259</v>
      </c>
      <c r="B28" s="1">
        <f t="shared" ref="B28:K28" si="4">SUBTOTAL(9,B22:B27)</f>
        <v>9920531.5719241798</v>
      </c>
      <c r="C28" s="1">
        <f t="shared" si="4"/>
        <v>626624.46856998559</v>
      </c>
      <c r="D28" s="1">
        <f t="shared" si="4"/>
        <v>300050.86613093095</v>
      </c>
      <c r="E28" s="1">
        <f t="shared" si="4"/>
        <v>2582534.8906152304</v>
      </c>
      <c r="F28" s="1">
        <f t="shared" si="4"/>
        <v>172042.49913680318</v>
      </c>
      <c r="G28" s="1">
        <f t="shared" si="4"/>
        <v>714292.09215192602</v>
      </c>
      <c r="H28" s="1">
        <f t="shared" si="4"/>
        <v>411992.51593146293</v>
      </c>
      <c r="I28" s="1">
        <f t="shared" si="4"/>
        <v>521683.77145005303</v>
      </c>
      <c r="J28" s="1">
        <f t="shared" si="4"/>
        <v>26325.324089430309</v>
      </c>
      <c r="K28" s="1">
        <f t="shared" si="4"/>
        <v>15276078.000000002</v>
      </c>
      <c r="L28" s="1">
        <f>'4.1'!B26-K28</f>
        <v>0</v>
      </c>
    </row>
    <row r="29" spans="1:12" x14ac:dyDescent="0.3">
      <c r="A29" s="1" t="s">
        <v>260</v>
      </c>
      <c r="B29" s="1">
        <f t="shared" ref="B29:K29" si="5">SUBTOTAL(9,B30:B31)</f>
        <v>16731978.189919768</v>
      </c>
      <c r="C29" s="1">
        <f t="shared" si="5"/>
        <v>1056865.4376399976</v>
      </c>
      <c r="D29" s="1">
        <f t="shared" si="5"/>
        <v>506066.08240404096</v>
      </c>
      <c r="E29" s="1">
        <f t="shared" si="5"/>
        <v>4355705.8562033996</v>
      </c>
      <c r="F29" s="1">
        <f t="shared" si="5"/>
        <v>290167.04623399</v>
      </c>
      <c r="G29" s="1">
        <f t="shared" si="5"/>
        <v>1204725.736768164</v>
      </c>
      <c r="H29" s="1">
        <f t="shared" si="5"/>
        <v>694866.97774183494</v>
      </c>
      <c r="I29" s="1">
        <f t="shared" si="5"/>
        <v>879872.3558967862</v>
      </c>
      <c r="J29" s="1">
        <f t="shared" si="5"/>
        <v>44400.317192023525</v>
      </c>
      <c r="K29" s="1">
        <f t="shared" si="5"/>
        <v>25764648.000000004</v>
      </c>
      <c r="L29" s="1">
        <f>'4.1'!B27-K29</f>
        <v>0</v>
      </c>
    </row>
    <row r="30" spans="1:12" x14ac:dyDescent="0.3">
      <c r="A30" s="1" t="s">
        <v>261</v>
      </c>
      <c r="B30" s="46">
        <f t="array" ref="B30:J30">MMULT('3.0'!B30:Q30,Table_FinalAlloc)</f>
        <v>5212130.7948429082</v>
      </c>
      <c r="C30" s="46">
        <v>329221.13757279364</v>
      </c>
      <c r="D30" s="46">
        <v>157643.20168147786</v>
      </c>
      <c r="E30" s="46">
        <v>1356833.5057998421</v>
      </c>
      <c r="F30" s="46">
        <v>90389.108816549153</v>
      </c>
      <c r="G30" s="46">
        <v>375280.67755503498</v>
      </c>
      <c r="H30" s="46">
        <v>216456.02999826803</v>
      </c>
      <c r="I30" s="46">
        <v>274086.52758485393</v>
      </c>
      <c r="J30" s="46">
        <v>13831.016148273409</v>
      </c>
      <c r="K30" s="1">
        <f>SUM(B30:J30)</f>
        <v>8025872.0000000009</v>
      </c>
      <c r="L30" s="1">
        <f>'4.1'!B28-K30</f>
        <v>0</v>
      </c>
    </row>
    <row r="31" spans="1:12" x14ac:dyDescent="0.3">
      <c r="A31" s="1" t="s">
        <v>606</v>
      </c>
      <c r="B31" s="46">
        <f t="array" ref="B31:J31">MMULT('3.0'!B31:Q31,Table_FinalAlloc)</f>
        <v>11519847.39507686</v>
      </c>
      <c r="C31" s="46">
        <v>727644.30006720393</v>
      </c>
      <c r="D31" s="46">
        <v>348422.88072256313</v>
      </c>
      <c r="E31" s="46">
        <v>2998872.350403558</v>
      </c>
      <c r="F31" s="46">
        <v>199777.93741744081</v>
      </c>
      <c r="G31" s="46">
        <v>829445.05921312899</v>
      </c>
      <c r="H31" s="46">
        <v>478410.94774356688</v>
      </c>
      <c r="I31" s="46">
        <v>605785.82831193227</v>
      </c>
      <c r="J31" s="46">
        <v>30569.301043750114</v>
      </c>
      <c r="K31" s="1">
        <f>SUM(B31:J31)</f>
        <v>17738776.000000004</v>
      </c>
      <c r="L31" s="1">
        <f>'4.1'!B29-K31</f>
        <v>0</v>
      </c>
    </row>
    <row r="32" spans="1:12" x14ac:dyDescent="0.3">
      <c r="A32" s="1" t="s">
        <v>629</v>
      </c>
      <c r="B32" s="1">
        <f t="shared" ref="B32:K32" si="6">SUBTOTAL(9,B6:B31)</f>
        <v>144802913.58948925</v>
      </c>
      <c r="C32" s="1">
        <f t="shared" si="6"/>
        <v>6589104.6640659105</v>
      </c>
      <c r="D32" s="1">
        <f t="shared" si="6"/>
        <v>6452041.6052237339</v>
      </c>
      <c r="E32" s="1">
        <f t="shared" si="6"/>
        <v>55141103.625623457</v>
      </c>
      <c r="F32" s="1">
        <f t="shared" si="6"/>
        <v>1929338.9494293709</v>
      </c>
      <c r="G32" s="1">
        <f t="shared" si="6"/>
        <v>13943424.938084338</v>
      </c>
      <c r="H32" s="1">
        <f t="shared" si="6"/>
        <v>16344140.63990205</v>
      </c>
      <c r="I32" s="1">
        <f t="shared" si="6"/>
        <v>3473655.4939231849</v>
      </c>
      <c r="J32" s="1">
        <f t="shared" si="6"/>
        <v>449849.49425870384</v>
      </c>
      <c r="K32" s="1">
        <f t="shared" si="6"/>
        <v>249125572.99999997</v>
      </c>
      <c r="L32" s="1">
        <f>'4.1'!B30-K32</f>
        <v>0</v>
      </c>
    </row>
    <row r="33" spans="1:12" x14ac:dyDescent="0.3">
      <c r="A33" s="1" t="s">
        <v>632</v>
      </c>
      <c r="B33" s="46">
        <f t="array" ref="B33:J33">MMULT('3.0'!B33:Q33,Table_FinalAlloc)</f>
        <v>-1758423.4068681456</v>
      </c>
      <c r="C33" s="46">
        <v>-32801.75162842073</v>
      </c>
      <c r="D33" s="46">
        <v>-60233.407844959678</v>
      </c>
      <c r="E33" s="46">
        <v>-535366.7414373568</v>
      </c>
      <c r="F33" s="46">
        <v>-224.7226074236242</v>
      </c>
      <c r="G33" s="46">
        <v>-178228.27485321919</v>
      </c>
      <c r="H33" s="46">
        <v>-149161.56794128765</v>
      </c>
      <c r="I33" s="46">
        <v>-8159.7553661060783</v>
      </c>
      <c r="J33" s="46">
        <v>-2859.4014530799082</v>
      </c>
      <c r="K33" s="1">
        <f>SUM(B33:J33)</f>
        <v>-2725459.0299999993</v>
      </c>
      <c r="L33" s="1">
        <f>'4.1'!B31-K33</f>
        <v>0</v>
      </c>
    </row>
    <row r="34" spans="1:12" x14ac:dyDescent="0.3">
      <c r="A34" s="1" t="s">
        <v>631</v>
      </c>
      <c r="B34" s="46">
        <f t="array" ref="B34:J34">MMULT('3.0'!B34:Q34,Table_FinalAlloc)</f>
        <v>-2169885.7468178025</v>
      </c>
      <c r="C34" s="46">
        <v>-134622.39523298995</v>
      </c>
      <c r="D34" s="46">
        <v>-48367.813703363732</v>
      </c>
      <c r="E34" s="46">
        <v>-432804.67180619622</v>
      </c>
      <c r="F34" s="46">
        <v>-34658.417954141623</v>
      </c>
      <c r="G34" s="46">
        <v>-115687.27794784842</v>
      </c>
      <c r="H34" s="46">
        <v>-46080.148345088317</v>
      </c>
      <c r="I34" s="46">
        <v>-65720.429653422936</v>
      </c>
      <c r="J34" s="46">
        <v>-3596.0985391462614</v>
      </c>
      <c r="K34" s="1">
        <f>SUM(B34:J34)</f>
        <v>-3051422.9999999995</v>
      </c>
      <c r="L34" s="1">
        <f>'4.1'!B32-K34</f>
        <v>0</v>
      </c>
    </row>
    <row r="35" spans="1:12" x14ac:dyDescent="0.3">
      <c r="A35" s="1" t="s">
        <v>630</v>
      </c>
      <c r="B35" s="1">
        <f t="shared" ref="B35:K35" si="7">SUBTOTAL(9,B6:B34)</f>
        <v>140874604.43580329</v>
      </c>
      <c r="C35" s="1">
        <f t="shared" si="7"/>
        <v>6421680.5172044998</v>
      </c>
      <c r="D35" s="1">
        <f t="shared" si="7"/>
        <v>6343440.3836754104</v>
      </c>
      <c r="E35" s="1">
        <f t="shared" si="7"/>
        <v>54172932.21237991</v>
      </c>
      <c r="F35" s="1">
        <f t="shared" si="7"/>
        <v>1894455.8088678056</v>
      </c>
      <c r="G35" s="1">
        <f t="shared" si="7"/>
        <v>13649509.385283271</v>
      </c>
      <c r="H35" s="1">
        <f t="shared" si="7"/>
        <v>16148898.923615674</v>
      </c>
      <c r="I35" s="1">
        <f t="shared" si="7"/>
        <v>3399775.308903656</v>
      </c>
      <c r="J35" s="1">
        <f t="shared" si="7"/>
        <v>443393.9942664777</v>
      </c>
      <c r="K35" s="1">
        <f t="shared" si="7"/>
        <v>243348690.96999997</v>
      </c>
      <c r="L35" s="1">
        <f>'4.1'!B33-K35</f>
        <v>0</v>
      </c>
    </row>
    <row r="37" spans="1:12" x14ac:dyDescent="0.3">
      <c r="A37" s="1" t="s">
        <v>537</v>
      </c>
    </row>
    <row r="38" spans="1:12" s="9" customFormat="1" ht="40.5" x14ac:dyDescent="0.25">
      <c r="B38" s="17" t="str">
        <f t="array" ref="B38:J38">TRANSPOSE(List_Classes)</f>
        <v>Residential</v>
      </c>
      <c r="C38" s="17" t="str">
        <v>Residential (S)</v>
      </c>
      <c r="D38" s="17" t="str">
        <v>Farm</v>
      </c>
      <c r="E38" s="17" t="str">
        <v>General Service 1</v>
      </c>
      <c r="F38" s="17" t="str">
        <v>General Service 1 (S)</v>
      </c>
      <c r="G38" s="17" t="str">
        <v>Small Industrial</v>
      </c>
      <c r="H38" s="17" t="str">
        <v>Large Industrial</v>
      </c>
      <c r="I38" s="17" t="str">
        <v>Lights</v>
      </c>
      <c r="J38" s="17" t="str">
        <v>Unmetered</v>
      </c>
      <c r="K38" s="17" t="s">
        <v>214</v>
      </c>
    </row>
    <row r="39" spans="1:12" x14ac:dyDescent="0.3">
      <c r="A39" s="1" t="s">
        <v>262</v>
      </c>
    </row>
    <row r="40" spans="1:12" x14ac:dyDescent="0.3">
      <c r="A40" s="3" t="s">
        <v>247</v>
      </c>
      <c r="B40" s="46">
        <f t="array" ref="B40:J40">MMULT('3.0'!B40:Q40,Table_FinalAlloc_D)</f>
        <v>22505171.715686906</v>
      </c>
      <c r="C40" s="46">
        <v>421105.45299103484</v>
      </c>
      <c r="D40" s="46">
        <v>772613.43120312621</v>
      </c>
      <c r="E40" s="46">
        <v>6810169.2439497197</v>
      </c>
      <c r="F40" s="46">
        <v>4367.7560315617293</v>
      </c>
      <c r="G40" s="46">
        <v>2283333.3086050688</v>
      </c>
      <c r="H40" s="46">
        <v>869545.28361597937</v>
      </c>
      <c r="I40" s="46">
        <v>104418.44915748516</v>
      </c>
      <c r="J40" s="46">
        <v>36592.287507141307</v>
      </c>
      <c r="K40" s="1">
        <f>SUM(B40:J40)</f>
        <v>33807316.928748019</v>
      </c>
    </row>
    <row r="41" spans="1:12" x14ac:dyDescent="0.3">
      <c r="A41" s="3" t="s">
        <v>248</v>
      </c>
      <c r="B41" s="46">
        <f t="array" ref="B41:J41">MMULT('3.0'!B41:Q41,Table_FinalAlloc_D)</f>
        <v>-917386.88384300587</v>
      </c>
      <c r="C41" s="46">
        <v>-17112.05233962334</v>
      </c>
      <c r="D41" s="46">
        <v>-31423.662177676419</v>
      </c>
      <c r="E41" s="46">
        <v>-276712.27890869818</v>
      </c>
      <c r="F41" s="46">
        <v>-115.0323407160586</v>
      </c>
      <c r="G41" s="46">
        <v>-92981.830990521717</v>
      </c>
      <c r="H41" s="46">
        <v>-18183.04309801423</v>
      </c>
      <c r="I41" s="46">
        <v>-4256.1966064941689</v>
      </c>
      <c r="J41" s="46">
        <v>-1491.4537968702771</v>
      </c>
      <c r="K41" s="1">
        <f>SUM(B41:J41)</f>
        <v>-1359662.4341016205</v>
      </c>
    </row>
    <row r="42" spans="1:12" x14ac:dyDescent="0.3">
      <c r="A42" s="3" t="s">
        <v>249</v>
      </c>
      <c r="B42" s="1">
        <f>SUBTOTAL(9,B40:B41)</f>
        <v>21587784.831843901</v>
      </c>
      <c r="C42" s="1">
        <f t="shared" ref="C42:J42" si="8">SUBTOTAL(9,C40:C41)</f>
        <v>403993.4006514115</v>
      </c>
      <c r="D42" s="1">
        <f t="shared" si="8"/>
        <v>741189.76902544976</v>
      </c>
      <c r="E42" s="1">
        <f t="shared" si="8"/>
        <v>6533456.9650410218</v>
      </c>
      <c r="F42" s="1">
        <f t="shared" si="8"/>
        <v>4252.7236908456707</v>
      </c>
      <c r="G42" s="1">
        <f t="shared" si="8"/>
        <v>2190351.4776145471</v>
      </c>
      <c r="H42" s="1">
        <f t="shared" si="8"/>
        <v>851362.24051796517</v>
      </c>
      <c r="I42" s="1">
        <f t="shared" si="8"/>
        <v>100162.25255099099</v>
      </c>
      <c r="J42" s="1">
        <f t="shared" si="8"/>
        <v>35100.833710271028</v>
      </c>
      <c r="K42" s="1">
        <f>SUBTOTAL(9,K40:K41)</f>
        <v>32447654.4946464</v>
      </c>
    </row>
    <row r="43" spans="1:12" x14ac:dyDescent="0.3">
      <c r="A43" s="3" t="s">
        <v>124</v>
      </c>
      <c r="B43" s="46">
        <f t="array" ref="B43:J43">MMULT('3.0'!B43:Q43,Table_FinalAlloc_D)</f>
        <v>3040866.5422680541</v>
      </c>
      <c r="C43" s="46">
        <v>89669.601595540022</v>
      </c>
      <c r="D43" s="46">
        <v>147664.49448047654</v>
      </c>
      <c r="E43" s="46">
        <v>996647.32646893535</v>
      </c>
      <c r="F43" s="46">
        <v>38924.918472098012</v>
      </c>
      <c r="G43" s="46">
        <v>366305.73912721581</v>
      </c>
      <c r="H43" s="46">
        <v>120900.23545162143</v>
      </c>
      <c r="I43" s="46">
        <v>14133.936783360676</v>
      </c>
      <c r="J43" s="46">
        <v>5000.5873393448992</v>
      </c>
      <c r="K43" s="1">
        <f>SUM(B43:J43)</f>
        <v>4820113.381986646</v>
      </c>
    </row>
    <row r="44" spans="1:12" x14ac:dyDescent="0.3">
      <c r="A44" s="3" t="s">
        <v>12</v>
      </c>
      <c r="B44" s="46">
        <f t="array" ref="B44:J44">MMULT('3.0'!B44:Q44,Table_FinalAlloc_D)</f>
        <v>1158128.4199849309</v>
      </c>
      <c r="C44" s="46">
        <v>21603.807500390943</v>
      </c>
      <c r="D44" s="46">
        <v>39670.776210852535</v>
      </c>
      <c r="E44" s="46">
        <v>352601.9023356979</v>
      </c>
      <c r="F44" s="46">
        <v>148.00624084841419</v>
      </c>
      <c r="G44" s="46">
        <v>117384.25998322506</v>
      </c>
      <c r="H44" s="46">
        <v>98240.418279004298</v>
      </c>
      <c r="I44" s="46">
        <v>5374.1576418406949</v>
      </c>
      <c r="J44" s="46">
        <v>1883.2518232091327</v>
      </c>
      <c r="K44" s="1">
        <f>SUM(B44:J44)</f>
        <v>1795034.9999999998</v>
      </c>
    </row>
    <row r="45" spans="1:12" x14ac:dyDescent="0.3">
      <c r="A45" s="3" t="s">
        <v>250</v>
      </c>
      <c r="B45" s="46">
        <f t="array" ref="B45:J45">MMULT('3.0'!B45:Q45,Table_FinalAlloc_D)</f>
        <v>1140731.1225353109</v>
      </c>
      <c r="C45" s="46">
        <v>31741.702816530844</v>
      </c>
      <c r="D45" s="46">
        <v>52889.856604813853</v>
      </c>
      <c r="E45" s="46">
        <v>369798.74757956614</v>
      </c>
      <c r="F45" s="46">
        <v>12383.864181934607</v>
      </c>
      <c r="G45" s="46">
        <v>134069.65092421387</v>
      </c>
      <c r="H45" s="46">
        <v>40248.967229807029</v>
      </c>
      <c r="I45" s="46">
        <v>5300.779004686493</v>
      </c>
      <c r="J45" s="46">
        <v>1872.7009546171505</v>
      </c>
      <c r="K45" s="1">
        <f>SUM(B45:J45)</f>
        <v>1789037.3918314811</v>
      </c>
    </row>
    <row r="46" spans="1:12" x14ac:dyDescent="0.3">
      <c r="A46" s="3" t="s">
        <v>251</v>
      </c>
      <c r="B46" s="46">
        <f t="array" ref="B46:J46">MMULT('3.0'!B46:Q46,Table_FinalAlloc_D)</f>
        <v>188792.54276331689</v>
      </c>
      <c r="C46" s="46">
        <v>3521.7491264233827</v>
      </c>
      <c r="D46" s="46">
        <v>6466.9397495130997</v>
      </c>
      <c r="E46" s="46">
        <v>57479.471685882032</v>
      </c>
      <c r="F46" s="46">
        <v>24.127267816271697</v>
      </c>
      <c r="G46" s="46">
        <v>19135.419302560313</v>
      </c>
      <c r="H46" s="46">
        <v>16014.682006738409</v>
      </c>
      <c r="I46" s="46">
        <v>876.06941415634822</v>
      </c>
      <c r="J46" s="46">
        <v>306.99868359325023</v>
      </c>
      <c r="K46" s="1">
        <f>SUM(B46:J46)</f>
        <v>292618</v>
      </c>
    </row>
    <row r="47" spans="1:12" x14ac:dyDescent="0.3">
      <c r="A47" s="3" t="s">
        <v>252</v>
      </c>
      <c r="B47" s="46">
        <f t="array" ref="B47:J47">MMULT('3.0'!B47:Q47,Table_FinalAlloc_D)</f>
        <v>4178771.239677968</v>
      </c>
      <c r="C47" s="46">
        <v>100507.7882731835</v>
      </c>
      <c r="D47" s="46">
        <v>172925.42698822901</v>
      </c>
      <c r="E47" s="46">
        <v>1320673.9610022528</v>
      </c>
      <c r="F47" s="46">
        <v>26917.720885750554</v>
      </c>
      <c r="G47" s="46">
        <v>463321.84238284541</v>
      </c>
      <c r="H47" s="46">
        <v>246896.45367517645</v>
      </c>
      <c r="I47" s="46">
        <v>19406.894897154656</v>
      </c>
      <c r="J47" s="46">
        <v>6832.6378277568574</v>
      </c>
      <c r="K47" s="1">
        <f>SUM(B47:J47)</f>
        <v>6536253.965610317</v>
      </c>
    </row>
    <row r="48" spans="1:12" x14ac:dyDescent="0.3">
      <c r="A48" s="3" t="s">
        <v>253</v>
      </c>
      <c r="B48" s="1">
        <f t="shared" ref="B48:J48" si="9">SUBTOTAL(9,B39:B47)</f>
        <v>31295074.699073479</v>
      </c>
      <c r="C48" s="1">
        <f t="shared" si="9"/>
        <v>651038.04996348021</v>
      </c>
      <c r="D48" s="1">
        <f t="shared" si="9"/>
        <v>1160807.2630593348</v>
      </c>
      <c r="E48" s="1">
        <f t="shared" si="9"/>
        <v>9630658.3741133548</v>
      </c>
      <c r="F48" s="1">
        <f t="shared" si="9"/>
        <v>82651.360739293537</v>
      </c>
      <c r="G48" s="1">
        <f t="shared" si="9"/>
        <v>3290568.3893346079</v>
      </c>
      <c r="H48" s="1">
        <f t="shared" si="9"/>
        <v>1373662.997160313</v>
      </c>
      <c r="I48" s="1">
        <f t="shared" si="9"/>
        <v>145254.09029218985</v>
      </c>
      <c r="J48" s="1">
        <f t="shared" si="9"/>
        <v>50997.010338792323</v>
      </c>
      <c r="K48" s="1">
        <f>SUBTOTAL(9,K39:K47)</f>
        <v>47680712.234074846</v>
      </c>
    </row>
    <row r="49" spans="1:11" x14ac:dyDescent="0.3">
      <c r="A49" s="2" t="s">
        <v>138</v>
      </c>
    </row>
    <row r="50" spans="1:11" x14ac:dyDescent="0.3">
      <c r="A50" s="3" t="s">
        <v>479</v>
      </c>
      <c r="B50" s="46">
        <f t="array" ref="B50:J50">MMULT('3.0'!B50:Q50,Table_FinalAlloc_D)</f>
        <v>160328.78283168422</v>
      </c>
      <c r="C50" s="46">
        <v>3538.1313071513964</v>
      </c>
      <c r="D50" s="46">
        <v>6214.684575663634</v>
      </c>
      <c r="E50" s="46">
        <v>49959.325681512848</v>
      </c>
      <c r="F50" s="46">
        <v>660.67392612834783</v>
      </c>
      <c r="G50" s="46">
        <v>17215.56798166284</v>
      </c>
      <c r="H50" s="46">
        <v>10148.216410894265</v>
      </c>
      <c r="I50" s="46">
        <v>744.36306571222769</v>
      </c>
      <c r="J50" s="46">
        <v>261.60937849054949</v>
      </c>
      <c r="K50" s="1">
        <f>SUM(B50:J50)</f>
        <v>249071.35515890035</v>
      </c>
    </row>
    <row r="51" spans="1:11" x14ac:dyDescent="0.3">
      <c r="A51" s="47" t="s">
        <v>725</v>
      </c>
      <c r="B51" s="46">
        <f t="array" ref="B51:J51">MMULT('3.0'!B51:Q51,Table_FinalAlloc_D)</f>
        <v>911520.1278944076</v>
      </c>
      <c r="C51" s="46">
        <v>17002.619518395659</v>
      </c>
      <c r="D51" s="46">
        <v>31222.705569014932</v>
      </c>
      <c r="E51" s="46">
        <v>277520.27138811123</v>
      </c>
      <c r="F51" s="46">
        <v>114.29670051772698</v>
      </c>
      <c r="G51" s="46">
        <v>92387.205408139242</v>
      </c>
      <c r="H51" s="46">
        <v>77319.747267474741</v>
      </c>
      <c r="I51" s="46">
        <v>4228.9779191558973</v>
      </c>
      <c r="J51" s="46">
        <v>1481.9158411953567</v>
      </c>
      <c r="K51" s="1">
        <f>SUM(B51:J51)</f>
        <v>1412797.8675064121</v>
      </c>
    </row>
    <row r="52" spans="1:11" x14ac:dyDescent="0.3">
      <c r="A52" s="3" t="s">
        <v>480</v>
      </c>
      <c r="B52" s="46">
        <f t="array" ref="B52:J52">MMULT('3.0'!B52:Q52,Table_FinalAlloc_D)</f>
        <v>9254242.123407105</v>
      </c>
      <c r="C52" s="46">
        <v>239843.00080821197</v>
      </c>
      <c r="D52" s="46">
        <v>405748.96769177541</v>
      </c>
      <c r="E52" s="46">
        <v>2962016.6661629071</v>
      </c>
      <c r="F52" s="46">
        <v>79801.671321045273</v>
      </c>
      <c r="G52" s="46">
        <v>1056500.7861439302</v>
      </c>
      <c r="H52" s="46">
        <v>529151.05420984479</v>
      </c>
      <c r="I52" s="46">
        <v>42989.902675210324</v>
      </c>
      <c r="J52" s="46">
        <v>15161.388015135039</v>
      </c>
      <c r="K52" s="1">
        <f>SUM(B52:J52)</f>
        <v>14585455.560435165</v>
      </c>
    </row>
    <row r="53" spans="1:11" x14ac:dyDescent="0.3">
      <c r="A53" s="3" t="s">
        <v>254</v>
      </c>
      <c r="B53" s="1">
        <f t="shared" ref="B53:J53" si="10">SUBTOTAL(9,B49:B52)</f>
        <v>10326091.034133196</v>
      </c>
      <c r="C53" s="1">
        <f t="shared" si="10"/>
        <v>260383.75163375904</v>
      </c>
      <c r="D53" s="1">
        <f t="shared" si="10"/>
        <v>443186.357836454</v>
      </c>
      <c r="E53" s="1">
        <f t="shared" si="10"/>
        <v>3289496.263232531</v>
      </c>
      <c r="F53" s="1">
        <f t="shared" si="10"/>
        <v>80576.641947691343</v>
      </c>
      <c r="G53" s="1">
        <f t="shared" si="10"/>
        <v>1166103.5595337322</v>
      </c>
      <c r="H53" s="1">
        <f t="shared" si="10"/>
        <v>616619.01788821374</v>
      </c>
      <c r="I53" s="1">
        <f t="shared" si="10"/>
        <v>47963.243660078449</v>
      </c>
      <c r="J53" s="1">
        <f t="shared" si="10"/>
        <v>16904.913234820946</v>
      </c>
      <c r="K53" s="1">
        <f>SUBTOTAL(9,K49:K52)</f>
        <v>16247324.783100476</v>
      </c>
    </row>
    <row r="54" spans="1:11" x14ac:dyDescent="0.3">
      <c r="A54" s="1" t="s">
        <v>263</v>
      </c>
      <c r="B54" s="1">
        <f t="shared" ref="B54:J54" si="11">SUBTOTAL(9,B39:B53)</f>
        <v>41621165.733206674</v>
      </c>
      <c r="C54" s="1">
        <f t="shared" si="11"/>
        <v>911421.80159723922</v>
      </c>
      <c r="D54" s="1">
        <f t="shared" si="11"/>
        <v>1603993.6208957888</v>
      </c>
      <c r="E54" s="1">
        <f t="shared" si="11"/>
        <v>12920154.637345888</v>
      </c>
      <c r="F54" s="1">
        <f t="shared" si="11"/>
        <v>163228.0026869849</v>
      </c>
      <c r="G54" s="1">
        <f t="shared" si="11"/>
        <v>4456671.9488683399</v>
      </c>
      <c r="H54" s="1">
        <f t="shared" si="11"/>
        <v>1990282.0150485267</v>
      </c>
      <c r="I54" s="1">
        <f t="shared" si="11"/>
        <v>193217.33395226832</v>
      </c>
      <c r="J54" s="1">
        <f t="shared" si="11"/>
        <v>67901.923573613254</v>
      </c>
      <c r="K54" s="1">
        <f>SUBTOTAL(9,K39:K53)</f>
        <v>63928037.017175332</v>
      </c>
    </row>
    <row r="55" spans="1:11" x14ac:dyDescent="0.3">
      <c r="A55" s="1" t="s">
        <v>246</v>
      </c>
    </row>
    <row r="56" spans="1:11" x14ac:dyDescent="0.3">
      <c r="A56" s="3" t="s">
        <v>255</v>
      </c>
      <c r="B56" s="46">
        <f t="array" ref="B56:J56">MMULT('3.0'!B56:Q56,Table_FinalAlloc_D)</f>
        <v>5417004.2764719389</v>
      </c>
      <c r="C56" s="46">
        <v>137088.76068630314</v>
      </c>
      <c r="D56" s="46">
        <v>233143.73035550871</v>
      </c>
      <c r="E56" s="46">
        <v>1726610.1788212489</v>
      </c>
      <c r="F56" s="46">
        <v>42847.767315925725</v>
      </c>
      <c r="G56" s="46">
        <v>612600.35301803006</v>
      </c>
      <c r="H56" s="46">
        <v>306123.07594753988</v>
      </c>
      <c r="I56" s="46">
        <v>25161.689721782939</v>
      </c>
      <c r="J56" s="46">
        <v>8869.6456248968334</v>
      </c>
      <c r="K56" s="1">
        <f>SUM(B56:J56)</f>
        <v>8509449.4779631756</v>
      </c>
    </row>
    <row r="57" spans="1:11" x14ac:dyDescent="0.3">
      <c r="A57" s="3" t="s">
        <v>256</v>
      </c>
      <c r="B57" s="46">
        <f t="array" ref="B57:J57">MMULT('3.0'!B57:Q57,Table_FinalAlloc_D)</f>
        <v>491172.04088654835</v>
      </c>
      <c r="C57" s="46">
        <v>12430.148276115715</v>
      </c>
      <c r="D57" s="46">
        <v>21139.669827471571</v>
      </c>
      <c r="E57" s="46">
        <v>156555.65365354647</v>
      </c>
      <c r="F57" s="46">
        <v>3885.1040622958608</v>
      </c>
      <c r="G57" s="46">
        <v>55545.860826909855</v>
      </c>
      <c r="H57" s="46">
        <v>27756.872304621647</v>
      </c>
      <c r="I57" s="46">
        <v>2281.4673686858096</v>
      </c>
      <c r="J57" s="46">
        <v>804.23084811710669</v>
      </c>
      <c r="K57" s="1">
        <f>SUM(B57:J57)</f>
        <v>771571.04805431236</v>
      </c>
    </row>
    <row r="58" spans="1:11" x14ac:dyDescent="0.3">
      <c r="A58" s="3" t="s">
        <v>257</v>
      </c>
      <c r="B58" s="46">
        <f t="array" ref="B58:J58">MMULT('3.0'!B58:Q58,Table_FinalAlloc_D)</f>
        <v>-286226.64835080144</v>
      </c>
      <c r="C58" s="46">
        <v>-7243.5712610072769</v>
      </c>
      <c r="D58" s="46">
        <v>-12318.976526103532</v>
      </c>
      <c r="E58" s="46">
        <v>-91231.577320122495</v>
      </c>
      <c r="F58" s="46">
        <v>-2264.0138722836705</v>
      </c>
      <c r="G58" s="46">
        <v>-32368.914048018443</v>
      </c>
      <c r="H58" s="46">
        <v>-16175.099287233517</v>
      </c>
      <c r="I58" s="46">
        <v>-1329.5071866916305</v>
      </c>
      <c r="J58" s="46">
        <v>-468.65920898386815</v>
      </c>
      <c r="K58" s="1">
        <f>SUM(B58:J58)</f>
        <v>-449626.96706124587</v>
      </c>
    </row>
    <row r="59" spans="1:11" x14ac:dyDescent="0.3">
      <c r="A59" s="3" t="s">
        <v>728</v>
      </c>
      <c r="B59" s="46">
        <f t="array" ref="B59:J59">MMULT('3.0'!B59:Q59,Table_FinalAlloc_D)</f>
        <v>-17935.854338032324</v>
      </c>
      <c r="C59" s="46">
        <v>-453.9047631419462</v>
      </c>
      <c r="D59" s="46">
        <v>-771.94548389859494</v>
      </c>
      <c r="E59" s="46">
        <v>-5716.8551260718714</v>
      </c>
      <c r="F59" s="46">
        <v>-141.87016920519631</v>
      </c>
      <c r="G59" s="46">
        <v>-2028.337091569487</v>
      </c>
      <c r="H59" s="46">
        <v>-1013.5821608177612</v>
      </c>
      <c r="I59" s="46">
        <v>-83.311066175231133</v>
      </c>
      <c r="J59" s="46">
        <v>-29.367647474283718</v>
      </c>
      <c r="K59" s="1">
        <f>SUM(B59:J59)</f>
        <v>-28175.027846386693</v>
      </c>
    </row>
    <row r="60" spans="1:11" x14ac:dyDescent="0.3">
      <c r="A60" s="3" t="s">
        <v>258</v>
      </c>
      <c r="B60" s="46">
        <f t="array" ref="B60:J60">MMULT('3.0'!B60:Q60,Table_FinalAlloc_D)</f>
        <v>9145.0369328228371</v>
      </c>
      <c r="C60" s="46">
        <v>231.43451907475119</v>
      </c>
      <c r="D60" s="46">
        <v>393.59541103147234</v>
      </c>
      <c r="E60" s="46">
        <v>2914.8793406882887</v>
      </c>
      <c r="F60" s="46">
        <v>72.335998753972902</v>
      </c>
      <c r="G60" s="46">
        <v>1034.1976058137629</v>
      </c>
      <c r="H60" s="46">
        <v>516.79982009408423</v>
      </c>
      <c r="I60" s="46">
        <v>42.478198290771779</v>
      </c>
      <c r="J60" s="46">
        <v>14.973818125460403</v>
      </c>
      <c r="K60" s="1">
        <f>SUM(B60:J60)</f>
        <v>14365.731644695401</v>
      </c>
    </row>
    <row r="61" spans="1:11" x14ac:dyDescent="0.3">
      <c r="A61" s="3" t="s">
        <v>259</v>
      </c>
      <c r="B61" s="1">
        <f t="shared" ref="B61:J61" si="12">SUBTOTAL(9,B55:B60)</f>
        <v>5613158.851602477</v>
      </c>
      <c r="C61" s="1">
        <f t="shared" si="12"/>
        <v>142052.86745734437</v>
      </c>
      <c r="D61" s="1">
        <f t="shared" si="12"/>
        <v>241586.07358400963</v>
      </c>
      <c r="E61" s="1">
        <f t="shared" si="12"/>
        <v>1789132.2793692893</v>
      </c>
      <c r="F61" s="1">
        <f t="shared" si="12"/>
        <v>44399.32333548669</v>
      </c>
      <c r="G61" s="1">
        <f t="shared" si="12"/>
        <v>634783.16031116585</v>
      </c>
      <c r="H61" s="1">
        <f t="shared" si="12"/>
        <v>317208.06662420434</v>
      </c>
      <c r="I61" s="1">
        <f t="shared" si="12"/>
        <v>26072.817035892658</v>
      </c>
      <c r="J61" s="1">
        <f t="shared" si="12"/>
        <v>9190.8234346812478</v>
      </c>
      <c r="K61" s="1">
        <f>SUBTOTAL(9,K55:K60)</f>
        <v>8817584.2627545502</v>
      </c>
    </row>
    <row r="62" spans="1:11" x14ac:dyDescent="0.3">
      <c r="A62" s="1" t="s">
        <v>260</v>
      </c>
      <c r="B62" s="1">
        <f t="shared" ref="B62:K62" si="13">SUBTOTAL(9,B63:B64)</f>
        <v>9467159.1739464831</v>
      </c>
      <c r="C62" s="1">
        <f t="shared" si="13"/>
        <v>239586.50429967255</v>
      </c>
      <c r="D62" s="1">
        <f t="shared" si="13"/>
        <v>407459.3064786726</v>
      </c>
      <c r="E62" s="1">
        <f t="shared" si="13"/>
        <v>3017552.2410521475</v>
      </c>
      <c r="F62" s="1">
        <f t="shared" si="13"/>
        <v>74883.94188462515</v>
      </c>
      <c r="G62" s="1">
        <f t="shared" si="13"/>
        <v>1070625.8950592396</v>
      </c>
      <c r="H62" s="1">
        <f t="shared" si="13"/>
        <v>535003.43342925946</v>
      </c>
      <c r="I62" s="1">
        <f t="shared" si="13"/>
        <v>43974.438550142106</v>
      </c>
      <c r="J62" s="1">
        <f t="shared" si="13"/>
        <v>15501.251736519895</v>
      </c>
      <c r="K62" s="1">
        <f t="shared" si="13"/>
        <v>14871746.186436761</v>
      </c>
    </row>
    <row r="63" spans="1:11" x14ac:dyDescent="0.3">
      <c r="A63" s="1" t="s">
        <v>261</v>
      </c>
      <c r="B63" s="46">
        <f t="array" ref="B63:J63">MMULT('3.0'!B63:Q63,Table_FinalAlloc_D)</f>
        <v>2949087.747432847</v>
      </c>
      <c r="C63" s="46">
        <v>74632.908489051406</v>
      </c>
      <c r="D63" s="46">
        <v>126926.48620724787</v>
      </c>
      <c r="E63" s="46">
        <v>939989.09047768393</v>
      </c>
      <c r="F63" s="46">
        <v>23326.883116021621</v>
      </c>
      <c r="G63" s="46">
        <v>333507.61840918183</v>
      </c>
      <c r="H63" s="46">
        <v>166657.39335013455</v>
      </c>
      <c r="I63" s="46">
        <v>13698.351907439455</v>
      </c>
      <c r="J63" s="46">
        <v>4828.7507082218381</v>
      </c>
      <c r="K63" s="1">
        <f>SUM(B63:J63)</f>
        <v>4632655.2300978294</v>
      </c>
    </row>
    <row r="64" spans="1:11" x14ac:dyDescent="0.3">
      <c r="A64" s="1" t="s">
        <v>606</v>
      </c>
      <c r="B64" s="46">
        <f t="array" ref="B64:J64">MMULT('3.0'!B64:Q64,Table_FinalAlloc_D)</f>
        <v>6518071.4265136365</v>
      </c>
      <c r="C64" s="46">
        <v>164953.59581062113</v>
      </c>
      <c r="D64" s="46">
        <v>280532.82027142472</v>
      </c>
      <c r="E64" s="46">
        <v>2077563.1505744634</v>
      </c>
      <c r="F64" s="46">
        <v>51557.058768603529</v>
      </c>
      <c r="G64" s="46">
        <v>737118.27665005787</v>
      </c>
      <c r="H64" s="46">
        <v>368346.04007912491</v>
      </c>
      <c r="I64" s="46">
        <v>30276.086642702652</v>
      </c>
      <c r="J64" s="46">
        <v>10672.501028298057</v>
      </c>
      <c r="K64" s="1">
        <f>SUM(B64:J64)</f>
        <v>10239090.956338933</v>
      </c>
    </row>
    <row r="65" spans="1:11" x14ac:dyDescent="0.3">
      <c r="A65" s="1" t="s">
        <v>629</v>
      </c>
      <c r="B65" s="1">
        <f>SUBTOTAL(9,B39:B64)</f>
        <v>56701483.758755639</v>
      </c>
      <c r="C65" s="1">
        <f t="shared" ref="C65:J65" si="14">SUBTOTAL(9,C39:C64)</f>
        <v>1293061.1733542562</v>
      </c>
      <c r="D65" s="1">
        <f t="shared" si="14"/>
        <v>2253039.0009584711</v>
      </c>
      <c r="E65" s="1">
        <f t="shared" si="14"/>
        <v>17726839.157767326</v>
      </c>
      <c r="F65" s="1">
        <f t="shared" si="14"/>
        <v>282511.26790709677</v>
      </c>
      <c r="G65" s="1">
        <f t="shared" si="14"/>
        <v>6162081.0042387452</v>
      </c>
      <c r="H65" s="1">
        <f t="shared" si="14"/>
        <v>2842493.5151019902</v>
      </c>
      <c r="I65" s="1">
        <f t="shared" si="14"/>
        <v>263264.58953830309</v>
      </c>
      <c r="J65" s="1">
        <f t="shared" si="14"/>
        <v>92593.998744814395</v>
      </c>
      <c r="K65" s="1">
        <f>SUBTOTAL(9,K39:K64)</f>
        <v>87617367.466366634</v>
      </c>
    </row>
    <row r="66" spans="1:11" x14ac:dyDescent="0.3">
      <c r="A66" s="1" t="s">
        <v>632</v>
      </c>
      <c r="B66" s="46">
        <f t="array" ref="B66:J66">MMULT('3.0'!B66:Q66,Table_FinalAlloc_D)</f>
        <v>-1758423.4068681456</v>
      </c>
      <c r="C66" s="46">
        <v>-32801.75162842073</v>
      </c>
      <c r="D66" s="46">
        <v>-60233.407844959678</v>
      </c>
      <c r="E66" s="46">
        <v>-535366.7414373568</v>
      </c>
      <c r="F66" s="46">
        <v>-224.7226074236242</v>
      </c>
      <c r="G66" s="46">
        <v>-178228.27485321919</v>
      </c>
      <c r="H66" s="46">
        <v>-149161.56794128765</v>
      </c>
      <c r="I66" s="46">
        <v>-8159.7553661060783</v>
      </c>
      <c r="J66" s="46">
        <v>-2859.4014530799082</v>
      </c>
      <c r="K66" s="1">
        <f>SUM(B66:J66)</f>
        <v>-2725459.0299999993</v>
      </c>
    </row>
    <row r="67" spans="1:11" x14ac:dyDescent="0.3">
      <c r="A67" s="1" t="s">
        <v>631</v>
      </c>
      <c r="B67" s="46">
        <f t="array" ref="B67:J67">MMULT('3.0'!B67:Q67,Table_FinalAlloc_D)</f>
        <v>-691242.85562724923</v>
      </c>
      <c r="C67" s="46">
        <v>-18698.094625076639</v>
      </c>
      <c r="D67" s="46">
        <v>-31341.372342878152</v>
      </c>
      <c r="E67" s="46">
        <v>-222919.75740985124</v>
      </c>
      <c r="F67" s="46">
        <v>-6877.0396905068992</v>
      </c>
      <c r="G67" s="46">
        <v>-80295.957106752379</v>
      </c>
      <c r="H67" s="46">
        <v>-37015.740063806013</v>
      </c>
      <c r="I67" s="46">
        <v>-3211.5441250952717</v>
      </c>
      <c r="J67" s="46">
        <v>-1134.0313626393183</v>
      </c>
      <c r="K67" s="1">
        <f>SUM(B67:J67)</f>
        <v>-1092736.3923538551</v>
      </c>
    </row>
    <row r="68" spans="1:11" x14ac:dyDescent="0.3">
      <c r="A68" s="1" t="s">
        <v>630</v>
      </c>
      <c r="B68" s="1">
        <f t="shared" ref="B68:J68" si="15">SUBTOTAL(9,B39:B67)</f>
        <v>54251817.496260248</v>
      </c>
      <c r="C68" s="1">
        <f t="shared" si="15"/>
        <v>1241561.3271007587</v>
      </c>
      <c r="D68" s="1">
        <f t="shared" si="15"/>
        <v>2161464.2207706333</v>
      </c>
      <c r="E68" s="1">
        <f t="shared" si="15"/>
        <v>16968552.658920117</v>
      </c>
      <c r="F68" s="1">
        <f t="shared" si="15"/>
        <v>275409.50560916628</v>
      </c>
      <c r="G68" s="1">
        <f t="shared" si="15"/>
        <v>5903556.7722787736</v>
      </c>
      <c r="H68" s="1">
        <f t="shared" si="15"/>
        <v>2656316.2070968966</v>
      </c>
      <c r="I68" s="1">
        <f t="shared" si="15"/>
        <v>251893.29004710173</v>
      </c>
      <c r="J68" s="1">
        <f t="shared" si="15"/>
        <v>88600.565929095173</v>
      </c>
      <c r="K68" s="1">
        <f>SUBTOTAL(9,K39:K67)</f>
        <v>83799172.044012785</v>
      </c>
    </row>
    <row r="70" spans="1:11" x14ac:dyDescent="0.3">
      <c r="A70" s="1" t="s">
        <v>539</v>
      </c>
    </row>
    <row r="71" spans="1:11" s="9" customFormat="1" ht="40.5" x14ac:dyDescent="0.25">
      <c r="B71" s="17" t="str">
        <f t="array" ref="B71:J71">TRANSPOSE(List_Classes)</f>
        <v>Residential</v>
      </c>
      <c r="C71" s="17" t="str">
        <v>Residential (S)</v>
      </c>
      <c r="D71" s="17" t="str">
        <v>Farm</v>
      </c>
      <c r="E71" s="17" t="str">
        <v>General Service 1</v>
      </c>
      <c r="F71" s="17" t="str">
        <v>General Service 1 (S)</v>
      </c>
      <c r="G71" s="17" t="str">
        <v>Small Industrial</v>
      </c>
      <c r="H71" s="17" t="str">
        <v>Large Industrial</v>
      </c>
      <c r="I71" s="17" t="str">
        <v>Lights</v>
      </c>
      <c r="J71" s="17" t="str">
        <v>Unmetered</v>
      </c>
      <c r="K71" s="17" t="s">
        <v>214</v>
      </c>
    </row>
    <row r="72" spans="1:11" x14ac:dyDescent="0.3">
      <c r="A72" s="1" t="s">
        <v>262</v>
      </c>
    </row>
    <row r="73" spans="1:11" x14ac:dyDescent="0.3">
      <c r="A73" s="3" t="s">
        <v>247</v>
      </c>
      <c r="B73" s="46">
        <f t="array" ref="B73:J73">MMULT('3.0'!B73:Q73,Table_FinalAlloc_E)</f>
        <v>62383965.620849416</v>
      </c>
      <c r="C73" s="46">
        <v>2223171.9994487339</v>
      </c>
      <c r="D73" s="46">
        <v>4069347.645050176</v>
      </c>
      <c r="E73" s="46">
        <v>34178947.84207055</v>
      </c>
      <c r="F73" s="46">
        <v>847095.79046860989</v>
      </c>
      <c r="G73" s="46">
        <v>7760434.3782527344</v>
      </c>
      <c r="H73" s="46">
        <v>13768981.716803359</v>
      </c>
      <c r="I73" s="46">
        <v>331946.47508566541</v>
      </c>
      <c r="J73" s="46">
        <v>217187.83655604965</v>
      </c>
      <c r="K73" s="1">
        <f>SUM(B73:J73)</f>
        <v>125781079.30458528</v>
      </c>
    </row>
    <row r="74" spans="1:11" x14ac:dyDescent="0.3">
      <c r="A74" s="3" t="s">
        <v>248</v>
      </c>
      <c r="B74" s="46">
        <f t="array" ref="B74:J74">MMULT('3.0'!B74:Q74,Table_FinalAlloc_E)</f>
        <v>-3611484.5884811901</v>
      </c>
      <c r="C74" s="46">
        <v>-128702.16462912146</v>
      </c>
      <c r="D74" s="46">
        <v>-235579.54610630331</v>
      </c>
      <c r="E74" s="46">
        <v>-1978661.3780270214</v>
      </c>
      <c r="F74" s="46">
        <v>-49039.418411423219</v>
      </c>
      <c r="G74" s="46">
        <v>-449261.10224087012</v>
      </c>
      <c r="H74" s="46">
        <v>-797103.30650566192</v>
      </c>
      <c r="I74" s="46">
        <v>-19216.790196676389</v>
      </c>
      <c r="J74" s="46">
        <v>-12573.271300111122</v>
      </c>
      <c r="K74" s="1">
        <f>SUM(B74:J74)</f>
        <v>-7281621.5658983784</v>
      </c>
    </row>
    <row r="75" spans="1:11" x14ac:dyDescent="0.3">
      <c r="A75" s="3" t="s">
        <v>249</v>
      </c>
      <c r="B75" s="1">
        <f>SUBTOTAL(9,B73:B74)</f>
        <v>58772481.032368228</v>
      </c>
      <c r="C75" s="1">
        <f t="shared" ref="C75:J75" si="16">SUBTOTAL(9,C73:C74)</f>
        <v>2094469.8348196123</v>
      </c>
      <c r="D75" s="1">
        <f t="shared" si="16"/>
        <v>3833768.0989438728</v>
      </c>
      <c r="E75" s="1">
        <f t="shared" si="16"/>
        <v>32200286.464043528</v>
      </c>
      <c r="F75" s="1">
        <f t="shared" si="16"/>
        <v>798056.37205718667</v>
      </c>
      <c r="G75" s="1">
        <f t="shared" si="16"/>
        <v>7311173.2760118647</v>
      </c>
      <c r="H75" s="1">
        <f t="shared" si="16"/>
        <v>12971878.410297697</v>
      </c>
      <c r="I75" s="1">
        <f t="shared" si="16"/>
        <v>312729.68488898902</v>
      </c>
      <c r="J75" s="1">
        <f t="shared" si="16"/>
        <v>204614.56525593853</v>
      </c>
      <c r="K75" s="1">
        <f>SUBTOTAL(9,K73:K74)</f>
        <v>118499457.7386869</v>
      </c>
    </row>
    <row r="76" spans="1:11" x14ac:dyDescent="0.3">
      <c r="A76" s="3" t="s">
        <v>124</v>
      </c>
      <c r="B76" s="46">
        <f t="array" ref="B76:J76">MMULT('3.0'!B76:Q76,Table_FinalAlloc_E)</f>
        <v>14251.34403109417</v>
      </c>
      <c r="C76" s="46">
        <v>507.87391742615551</v>
      </c>
      <c r="D76" s="46">
        <v>929.62466708513966</v>
      </c>
      <c r="E76" s="46">
        <v>7808.0311097660997</v>
      </c>
      <c r="F76" s="46">
        <v>193.51532749026043</v>
      </c>
      <c r="G76" s="46">
        <v>1772.8372836600736</v>
      </c>
      <c r="H76" s="46">
        <v>3145.4636371886754</v>
      </c>
      <c r="I76" s="46">
        <v>75.831720046565934</v>
      </c>
      <c r="J76" s="46">
        <v>49.615611116181711</v>
      </c>
      <c r="K76" s="1">
        <f>SUM(B76:J76)</f>
        <v>28734.137304873315</v>
      </c>
    </row>
    <row r="77" spans="1:11" x14ac:dyDescent="0.3">
      <c r="A77" s="3" t="s">
        <v>12</v>
      </c>
      <c r="B77" s="46">
        <f t="array" ref="B77:J77">MMULT('3.0'!B77:Q77,Table_FinalAlloc_E)</f>
        <v>0</v>
      </c>
      <c r="C77" s="46">
        <v>0</v>
      </c>
      <c r="D77" s="46">
        <v>0</v>
      </c>
      <c r="E77" s="46">
        <v>0</v>
      </c>
      <c r="F77" s="46">
        <v>0</v>
      </c>
      <c r="G77" s="46">
        <v>0</v>
      </c>
      <c r="H77" s="46">
        <v>0</v>
      </c>
      <c r="I77" s="46">
        <v>0</v>
      </c>
      <c r="J77" s="46">
        <v>0</v>
      </c>
      <c r="K77" s="1">
        <f>SUM(B77:J77)</f>
        <v>0</v>
      </c>
    </row>
    <row r="78" spans="1:11" x14ac:dyDescent="0.3">
      <c r="A78" s="3" t="s">
        <v>250</v>
      </c>
      <c r="B78" s="46">
        <f t="array" ref="B78:J78">MMULT('3.0'!B78:Q78,Table_FinalAlloc_E)</f>
        <v>0</v>
      </c>
      <c r="C78" s="46">
        <v>0</v>
      </c>
      <c r="D78" s="46">
        <v>0</v>
      </c>
      <c r="E78" s="46">
        <v>0</v>
      </c>
      <c r="F78" s="46">
        <v>0</v>
      </c>
      <c r="G78" s="46">
        <v>0</v>
      </c>
      <c r="H78" s="46">
        <v>0</v>
      </c>
      <c r="I78" s="46">
        <v>0</v>
      </c>
      <c r="J78" s="46">
        <v>0</v>
      </c>
      <c r="K78" s="1">
        <f>SUM(B78:J78)</f>
        <v>0</v>
      </c>
    </row>
    <row r="79" spans="1:11" x14ac:dyDescent="0.3">
      <c r="A79" s="3" t="s">
        <v>251</v>
      </c>
      <c r="B79" s="46">
        <f t="array" ref="B79:J79">MMULT('3.0'!B79:Q79,Table_FinalAlloc_E)</f>
        <v>0</v>
      </c>
      <c r="C79" s="46">
        <v>0</v>
      </c>
      <c r="D79" s="46">
        <v>0</v>
      </c>
      <c r="E79" s="46">
        <v>0</v>
      </c>
      <c r="F79" s="46">
        <v>0</v>
      </c>
      <c r="G79" s="46">
        <v>0</v>
      </c>
      <c r="H79" s="46">
        <v>0</v>
      </c>
      <c r="I79" s="46">
        <v>0</v>
      </c>
      <c r="J79" s="46">
        <v>0</v>
      </c>
      <c r="K79" s="1">
        <f>SUM(B79:J79)</f>
        <v>0</v>
      </c>
    </row>
    <row r="80" spans="1:11" x14ac:dyDescent="0.3">
      <c r="A80" s="3" t="s">
        <v>252</v>
      </c>
      <c r="B80" s="46">
        <f t="array" ref="B80:J80">MMULT('3.0'!B80:Q80,Table_FinalAlloc_E)</f>
        <v>295862.80333342159</v>
      </c>
      <c r="C80" s="46">
        <v>10543.637191115689</v>
      </c>
      <c r="D80" s="46">
        <v>19299.327800354244</v>
      </c>
      <c r="E80" s="46">
        <v>162097.41113607818</v>
      </c>
      <c r="F80" s="46">
        <v>4017.4447514798949</v>
      </c>
      <c r="G80" s="46">
        <v>36804.71171373492</v>
      </c>
      <c r="H80" s="46">
        <v>65300.906879484828</v>
      </c>
      <c r="I80" s="46">
        <v>1574.2925878163423</v>
      </c>
      <c r="J80" s="46">
        <v>1030.0371503141212</v>
      </c>
      <c r="K80" s="1">
        <f>SUM(B80:J80)</f>
        <v>596530.57254379976</v>
      </c>
    </row>
    <row r="81" spans="1:11" x14ac:dyDescent="0.3">
      <c r="A81" s="3" t="s">
        <v>253</v>
      </c>
      <c r="B81" s="1">
        <f t="shared" ref="B81:J81" si="17">SUBTOTAL(9,B72:B80)</f>
        <v>59082595.179732747</v>
      </c>
      <c r="C81" s="1">
        <f t="shared" si="17"/>
        <v>2105521.3459281544</v>
      </c>
      <c r="D81" s="1">
        <f t="shared" si="17"/>
        <v>3853997.0514113125</v>
      </c>
      <c r="E81" s="1">
        <f t="shared" si="17"/>
        <v>32370191.906289373</v>
      </c>
      <c r="F81" s="1">
        <f t="shared" si="17"/>
        <v>802267.33213615685</v>
      </c>
      <c r="G81" s="1">
        <f t="shared" si="17"/>
        <v>7349750.8250092594</v>
      </c>
      <c r="H81" s="1">
        <f t="shared" si="17"/>
        <v>13040324.78081437</v>
      </c>
      <c r="I81" s="1">
        <f t="shared" si="17"/>
        <v>314379.80919685197</v>
      </c>
      <c r="J81" s="1">
        <f t="shared" si="17"/>
        <v>205694.21801736881</v>
      </c>
      <c r="K81" s="1">
        <f>SUBTOTAL(9,K72:K80)</f>
        <v>119124722.44853558</v>
      </c>
    </row>
    <row r="82" spans="1:11" x14ac:dyDescent="0.3">
      <c r="A82" s="2" t="s">
        <v>138</v>
      </c>
    </row>
    <row r="83" spans="1:11" x14ac:dyDescent="0.3">
      <c r="A83" s="3" t="s">
        <v>479</v>
      </c>
      <c r="B83" s="46">
        <f t="array" ref="B83:J83">MMULT('3.0'!B83:Q83,Table_FinalAlloc_E)</f>
        <v>48777.448084547417</v>
      </c>
      <c r="C83" s="46">
        <v>1738.2777081726272</v>
      </c>
      <c r="D83" s="46">
        <v>3181.7854398802742</v>
      </c>
      <c r="E83" s="46">
        <v>26724.204486831568</v>
      </c>
      <c r="F83" s="46">
        <v>662.33639575506481</v>
      </c>
      <c r="G83" s="46">
        <v>6067.8121570432741</v>
      </c>
      <c r="H83" s="46">
        <v>10765.839974815532</v>
      </c>
      <c r="I83" s="46">
        <v>259.54589122702674</v>
      </c>
      <c r="J83" s="46">
        <v>169.81716883139748</v>
      </c>
      <c r="K83" s="1">
        <f>SUM(B83:J83)</f>
        <v>98347.067307104182</v>
      </c>
    </row>
    <row r="84" spans="1:11" x14ac:dyDescent="0.3">
      <c r="A84" s="47" t="s">
        <v>725</v>
      </c>
      <c r="B84" s="46">
        <f t="array" ref="B84:J84">MMULT('3.0'!B84:Q84,Table_FinalAlloc_E)</f>
        <v>357921.15336021222</v>
      </c>
      <c r="C84" s="46">
        <v>12755.205255737723</v>
      </c>
      <c r="D84" s="46">
        <v>23347.43532324021</v>
      </c>
      <c r="E84" s="46">
        <v>196097.96059813004</v>
      </c>
      <c r="F84" s="46">
        <v>4860.1190917201793</v>
      </c>
      <c r="G84" s="46">
        <v>44524.640195559274</v>
      </c>
      <c r="H84" s="46">
        <v>78998.020847633816</v>
      </c>
      <c r="I84" s="46">
        <v>1904.5064550498928</v>
      </c>
      <c r="J84" s="46">
        <v>1246.0913663040726</v>
      </c>
      <c r="K84" s="1">
        <f>SUM(B84:J84)</f>
        <v>721655.13249358744</v>
      </c>
    </row>
    <row r="85" spans="1:11" x14ac:dyDescent="0.3">
      <c r="A85" s="3" t="s">
        <v>480</v>
      </c>
      <c r="B85" s="46">
        <f t="array" ref="B85:J85">MMULT('3.0'!B85:Q85,Table_FinalAlloc_E)</f>
        <v>450934.18611594755</v>
      </c>
      <c r="C85" s="46">
        <v>16069.90267755807</v>
      </c>
      <c r="D85" s="46">
        <v>29414.737426218842</v>
      </c>
      <c r="E85" s="46">
        <v>247057.97193361641</v>
      </c>
      <c r="F85" s="46">
        <v>6123.1190905495178</v>
      </c>
      <c r="G85" s="46">
        <v>56095.266234470713</v>
      </c>
      <c r="H85" s="46">
        <v>99527.250349038412</v>
      </c>
      <c r="I85" s="46">
        <v>2399.4308807900707</v>
      </c>
      <c r="J85" s="46">
        <v>1569.9133477169316</v>
      </c>
      <c r="K85" s="1">
        <f>SUM(B85:J85)</f>
        <v>909191.77805590665</v>
      </c>
    </row>
    <row r="86" spans="1:11" x14ac:dyDescent="0.3">
      <c r="A86" s="3" t="s">
        <v>254</v>
      </c>
      <c r="B86" s="1">
        <f t="shared" ref="B86:J86" si="18">SUBTOTAL(9,B82:B85)</f>
        <v>857632.78756070719</v>
      </c>
      <c r="C86" s="1">
        <f t="shared" si="18"/>
        <v>30563.38564146842</v>
      </c>
      <c r="D86" s="1">
        <f t="shared" si="18"/>
        <v>55943.958189339326</v>
      </c>
      <c r="E86" s="1">
        <f t="shared" si="18"/>
        <v>469880.13701857801</v>
      </c>
      <c r="F86" s="1">
        <f t="shared" si="18"/>
        <v>11645.574578024762</v>
      </c>
      <c r="G86" s="1">
        <f t="shared" si="18"/>
        <v>106687.71858707326</v>
      </c>
      <c r="H86" s="1">
        <f t="shared" si="18"/>
        <v>189291.11117148778</v>
      </c>
      <c r="I86" s="1">
        <f t="shared" si="18"/>
        <v>4563.4832270669904</v>
      </c>
      <c r="J86" s="1">
        <f t="shared" si="18"/>
        <v>2985.8218828524018</v>
      </c>
      <c r="K86" s="1">
        <f>SUBTOTAL(9,K82:K85)</f>
        <v>1729193.9778565983</v>
      </c>
    </row>
    <row r="87" spans="1:11" x14ac:dyDescent="0.3">
      <c r="A87" s="1" t="s">
        <v>263</v>
      </c>
      <c r="B87" s="1">
        <f t="shared" ref="B87:J87" si="19">SUBTOTAL(9,B72:B86)</f>
        <v>59940227.967293456</v>
      </c>
      <c r="C87" s="1">
        <f t="shared" si="19"/>
        <v>2136084.7315696226</v>
      </c>
      <c r="D87" s="1">
        <f t="shared" si="19"/>
        <v>3909941.0096006519</v>
      </c>
      <c r="E87" s="1">
        <f t="shared" si="19"/>
        <v>32840072.043307953</v>
      </c>
      <c r="F87" s="1">
        <f t="shared" si="19"/>
        <v>813912.90671418165</v>
      </c>
      <c r="G87" s="1">
        <f t="shared" si="19"/>
        <v>7456438.5435963329</v>
      </c>
      <c r="H87" s="1">
        <f t="shared" si="19"/>
        <v>13229615.891985858</v>
      </c>
      <c r="I87" s="1">
        <f t="shared" si="19"/>
        <v>318943.29242391896</v>
      </c>
      <c r="J87" s="1">
        <f t="shared" si="19"/>
        <v>208680.03990022122</v>
      </c>
      <c r="K87" s="1">
        <f>SUBTOTAL(9,K72:K86)</f>
        <v>120853916.42639217</v>
      </c>
    </row>
    <row r="88" spans="1:11" x14ac:dyDescent="0.3">
      <c r="A88" s="1" t="s">
        <v>246</v>
      </c>
    </row>
    <row r="89" spans="1:11" x14ac:dyDescent="0.3">
      <c r="A89" s="3" t="s">
        <v>255</v>
      </c>
      <c r="B89" s="46">
        <f t="array" ref="B89:J89">MMULT('3.0'!B89:Q89,Table_FinalAlloc_E)</f>
        <v>399016.7707904065</v>
      </c>
      <c r="C89" s="46">
        <v>14219.726227779469</v>
      </c>
      <c r="D89" s="46">
        <v>26028.129830989699</v>
      </c>
      <c r="E89" s="46">
        <v>218613.44114999258</v>
      </c>
      <c r="F89" s="46">
        <v>5418.145888916788</v>
      </c>
      <c r="G89" s="46">
        <v>49636.848743491268</v>
      </c>
      <c r="H89" s="46">
        <v>88068.377299099579</v>
      </c>
      <c r="I89" s="46">
        <v>2123.177153708762</v>
      </c>
      <c r="J89" s="46">
        <v>1389.1644805694473</v>
      </c>
      <c r="K89" s="1">
        <f>SUM(B89:J89)</f>
        <v>804513.78156495409</v>
      </c>
    </row>
    <row r="90" spans="1:11" x14ac:dyDescent="0.3">
      <c r="A90" s="3" t="s">
        <v>256</v>
      </c>
      <c r="B90" s="46">
        <f t="array" ref="B90:J90">MMULT('3.0'!B90:Q90,Table_FinalAlloc_E)</f>
        <v>36179.753910906707</v>
      </c>
      <c r="C90" s="46">
        <v>1289.3347680159618</v>
      </c>
      <c r="D90" s="46">
        <v>2360.0294548546281</v>
      </c>
      <c r="E90" s="46">
        <v>19822.175611204613</v>
      </c>
      <c r="F90" s="46">
        <v>491.27555347133125</v>
      </c>
      <c r="G90" s="46">
        <v>4500.6854446118687</v>
      </c>
      <c r="H90" s="46">
        <v>7985.3591409268984</v>
      </c>
      <c r="I90" s="46">
        <v>192.51327902403352</v>
      </c>
      <c r="J90" s="46">
        <v>125.9586882757248</v>
      </c>
      <c r="K90" s="1">
        <f>SUM(B90:J90)</f>
        <v>72947.085851291762</v>
      </c>
    </row>
    <row r="91" spans="1:11" x14ac:dyDescent="0.3">
      <c r="A91" s="3" t="s">
        <v>257</v>
      </c>
      <c r="B91" s="46">
        <f t="array" ref="B91:J91">MMULT('3.0'!B91:Q91,Table_FinalAlloc_E)</f>
        <v>-21083.467376082961</v>
      </c>
      <c r="C91" s="46">
        <v>-751.34970749812828</v>
      </c>
      <c r="D91" s="46">
        <v>-1375.2886252502267</v>
      </c>
      <c r="E91" s="46">
        <v>-11551.217121347916</v>
      </c>
      <c r="F91" s="46">
        <v>-286.286969496425</v>
      </c>
      <c r="G91" s="46">
        <v>-2622.7390870361978</v>
      </c>
      <c r="H91" s="46">
        <v>-4653.4053091855003</v>
      </c>
      <c r="I91" s="46">
        <v>-112.18560103424007</v>
      </c>
      <c r="J91" s="46">
        <v>-73.401436105259933</v>
      </c>
      <c r="K91" s="1">
        <f>SUM(B91:J91)</f>
        <v>-42509.341233036859</v>
      </c>
    </row>
    <row r="92" spans="1:11" x14ac:dyDescent="0.3">
      <c r="A92" s="3" t="s">
        <v>728</v>
      </c>
      <c r="B92" s="46">
        <f t="array" ref="B92:J92">MMULT('3.0'!B92:Q92,Table_FinalAlloc_E)</f>
        <v>-1321.1558112318637</v>
      </c>
      <c r="C92" s="46">
        <v>-47.081915636636367</v>
      </c>
      <c r="D92" s="46">
        <v>-86.179873877462171</v>
      </c>
      <c r="E92" s="46">
        <v>-723.83528546076798</v>
      </c>
      <c r="F92" s="46">
        <v>-17.939634249119013</v>
      </c>
      <c r="G92" s="46">
        <v>-164.34900978923264</v>
      </c>
      <c r="H92" s="46">
        <v>-291.59688757940091</v>
      </c>
      <c r="I92" s="46">
        <v>-7.02989959379547</v>
      </c>
      <c r="J92" s="46">
        <v>-4.5995628770833221</v>
      </c>
      <c r="K92" s="1">
        <f>SUM(B92:J92)</f>
        <v>-2663.7678802953619</v>
      </c>
    </row>
    <row r="93" spans="1:11" x14ac:dyDescent="0.3">
      <c r="A93" s="3" t="s">
        <v>258</v>
      </c>
      <c r="B93" s="46">
        <f t="array" ref="B93:J93">MMULT('3.0'!B93:Q93,Table_FinalAlloc_E)</f>
        <v>673.62381852697331</v>
      </c>
      <c r="C93" s="46">
        <v>24.005873890940876</v>
      </c>
      <c r="D93" s="46">
        <v>43.940930530653908</v>
      </c>
      <c r="E93" s="46">
        <v>369.06524183699895</v>
      </c>
      <c r="F93" s="46">
        <v>9.1469642135555596</v>
      </c>
      <c r="G93" s="46">
        <v>83.79738907716181</v>
      </c>
      <c r="H93" s="46">
        <v>148.67785253782125</v>
      </c>
      <c r="I93" s="46">
        <v>3.5843673910182261</v>
      </c>
      <c r="J93" s="46">
        <v>2.3452003786947824</v>
      </c>
      <c r="K93" s="1">
        <f>SUM(B93:J93)</f>
        <v>1358.1876383838187</v>
      </c>
    </row>
    <row r="94" spans="1:11" x14ac:dyDescent="0.3">
      <c r="A94" s="3" t="s">
        <v>259</v>
      </c>
      <c r="B94" s="1">
        <f t="shared" ref="B94:J94" si="20">SUBTOTAL(9,B88:B93)</f>
        <v>413465.52533252537</v>
      </c>
      <c r="C94" s="1">
        <f t="shared" si="20"/>
        <v>14734.635246551608</v>
      </c>
      <c r="D94" s="1">
        <f t="shared" si="20"/>
        <v>26970.631717247288</v>
      </c>
      <c r="E94" s="1">
        <f t="shared" si="20"/>
        <v>226529.62959622548</v>
      </c>
      <c r="F94" s="1">
        <f t="shared" si="20"/>
        <v>5614.3418028561309</v>
      </c>
      <c r="G94" s="1">
        <f t="shared" si="20"/>
        <v>51434.24348035486</v>
      </c>
      <c r="H94" s="1">
        <f t="shared" si="20"/>
        <v>91257.412095799387</v>
      </c>
      <c r="I94" s="1">
        <f t="shared" si="20"/>
        <v>2200.0592994957783</v>
      </c>
      <c r="J94" s="1">
        <f t="shared" si="20"/>
        <v>1439.4673702415234</v>
      </c>
      <c r="K94" s="1">
        <f>SUBTOTAL(9,K88:K93)</f>
        <v>833645.94594129745</v>
      </c>
    </row>
    <row r="95" spans="1:11" x14ac:dyDescent="0.3">
      <c r="A95" s="1" t="s">
        <v>260</v>
      </c>
      <c r="B95" s="1">
        <f t="shared" ref="B95:K95" si="21">SUBTOTAL(9,B96:B97)</f>
        <v>697351.35682912846</v>
      </c>
      <c r="C95" s="1">
        <f t="shared" si="21"/>
        <v>24851.45012586315</v>
      </c>
      <c r="D95" s="1">
        <f t="shared" si="21"/>
        <v>45488.693664205697</v>
      </c>
      <c r="E95" s="1">
        <f t="shared" si="21"/>
        <v>382065.09341711481</v>
      </c>
      <c r="F95" s="1">
        <f t="shared" si="21"/>
        <v>9469.1543406804813</v>
      </c>
      <c r="G95" s="1">
        <f t="shared" si="21"/>
        <v>86749.045037452539</v>
      </c>
      <c r="H95" s="1">
        <f t="shared" si="21"/>
        <v>153914.83992417518</v>
      </c>
      <c r="I95" s="1">
        <f t="shared" si="21"/>
        <v>3710.6221525338706</v>
      </c>
      <c r="J95" s="1">
        <f t="shared" si="21"/>
        <v>2427.8070655150177</v>
      </c>
      <c r="K95" s="1">
        <f t="shared" si="21"/>
        <v>1406028.0625566691</v>
      </c>
    </row>
    <row r="96" spans="1:11" x14ac:dyDescent="0.3">
      <c r="A96" s="1" t="s">
        <v>261</v>
      </c>
      <c r="B96" s="46">
        <f t="array" ref="B96:J96">MMULT('3.0'!B96:Q96,Table_FinalAlloc_E)</f>
        <v>217229.93184059457</v>
      </c>
      <c r="C96" s="46">
        <v>7741.4043352954614</v>
      </c>
      <c r="D96" s="46">
        <v>14170.053198325313</v>
      </c>
      <c r="E96" s="46">
        <v>119016.00733818705</v>
      </c>
      <c r="F96" s="46">
        <v>2949.7092561305685</v>
      </c>
      <c r="G96" s="46">
        <v>27022.947551731711</v>
      </c>
      <c r="H96" s="46">
        <v>47945.572713895395</v>
      </c>
      <c r="I96" s="46">
        <v>1155.8853214917324</v>
      </c>
      <c r="J96" s="46">
        <v>756.27925320459053</v>
      </c>
      <c r="K96" s="1">
        <f>SUM(B96:J96)</f>
        <v>437987.79080885637</v>
      </c>
    </row>
    <row r="97" spans="1:11" x14ac:dyDescent="0.3">
      <c r="A97" s="1" t="s">
        <v>606</v>
      </c>
      <c r="B97" s="46">
        <f t="array" ref="B97:J97">MMULT('3.0'!B97:Q97,Table_FinalAlloc_E)</f>
        <v>480121.42498853384</v>
      </c>
      <c r="C97" s="46">
        <v>17110.045790567689</v>
      </c>
      <c r="D97" s="46">
        <v>31318.64046588038</v>
      </c>
      <c r="E97" s="46">
        <v>263049.08607892774</v>
      </c>
      <c r="F97" s="46">
        <v>6519.4450845499132</v>
      </c>
      <c r="G97" s="46">
        <v>59726.097485720835</v>
      </c>
      <c r="H97" s="46">
        <v>105969.26721027977</v>
      </c>
      <c r="I97" s="46">
        <v>2554.736831042138</v>
      </c>
      <c r="J97" s="46">
        <v>1671.5278123104274</v>
      </c>
      <c r="K97" s="1">
        <f>SUM(B97:J97)</f>
        <v>968040.27174781263</v>
      </c>
    </row>
    <row r="98" spans="1:11" x14ac:dyDescent="0.3">
      <c r="A98" s="1" t="s">
        <v>629</v>
      </c>
      <c r="B98" s="1">
        <f>SUBTOTAL(9,B72:B97)</f>
        <v>61051044.849455096</v>
      </c>
      <c r="C98" s="1">
        <f t="shared" ref="C98:J98" si="22">SUBTOTAL(9,C72:C97)</f>
        <v>2175670.8169420371</v>
      </c>
      <c r="D98" s="1">
        <f t="shared" si="22"/>
        <v>3982400.3349821046</v>
      </c>
      <c r="E98" s="1">
        <f t="shared" si="22"/>
        <v>33448666.76632129</v>
      </c>
      <c r="F98" s="1">
        <f t="shared" si="22"/>
        <v>828996.40285771841</v>
      </c>
      <c r="G98" s="1">
        <f t="shared" si="22"/>
        <v>7594621.8321141405</v>
      </c>
      <c r="H98" s="1">
        <f t="shared" si="22"/>
        <v>13474788.144005833</v>
      </c>
      <c r="I98" s="1">
        <f t="shared" si="22"/>
        <v>324853.97387594864</v>
      </c>
      <c r="J98" s="1">
        <f t="shared" si="22"/>
        <v>212547.31433597775</v>
      </c>
      <c r="K98" s="1">
        <f>SUBTOTAL(9,K72:K97)</f>
        <v>123093590.43489015</v>
      </c>
    </row>
    <row r="99" spans="1:11" x14ac:dyDescent="0.3">
      <c r="A99" s="1" t="s">
        <v>632</v>
      </c>
      <c r="B99" s="46">
        <f t="array" ref="B99:J99">MMULT('3.0'!B99:Q99,Table_FinalAlloc_E)</f>
        <v>0</v>
      </c>
      <c r="C99" s="46">
        <v>0</v>
      </c>
      <c r="D99" s="46">
        <v>0</v>
      </c>
      <c r="E99" s="46">
        <v>0</v>
      </c>
      <c r="F99" s="46">
        <v>0</v>
      </c>
      <c r="G99" s="46">
        <v>0</v>
      </c>
      <c r="H99" s="46">
        <v>0</v>
      </c>
      <c r="I99" s="46">
        <v>0</v>
      </c>
      <c r="J99" s="46">
        <v>0</v>
      </c>
      <c r="K99" s="1">
        <f>SUM(B99:J99)</f>
        <v>0</v>
      </c>
    </row>
    <row r="100" spans="1:11" x14ac:dyDescent="0.3">
      <c r="A100" s="1" t="s">
        <v>631</v>
      </c>
      <c r="B100" s="46">
        <f t="array" ref="B100:J100">MMULT('3.0'!B100:Q100,Table_FinalAlloc_E)</f>
        <v>-39458.202651935178</v>
      </c>
      <c r="C100" s="46">
        <v>-1406.1685628885102</v>
      </c>
      <c r="D100" s="46">
        <v>-2573.8848507235812</v>
      </c>
      <c r="E100" s="46">
        <v>-21618.373198314468</v>
      </c>
      <c r="F100" s="46">
        <v>-535.79276394607177</v>
      </c>
      <c r="G100" s="46">
        <v>-4908.517586477401</v>
      </c>
      <c r="H100" s="46">
        <v>-8708.9569488804773</v>
      </c>
      <c r="I100" s="46">
        <v>-209.95797803447488</v>
      </c>
      <c r="J100" s="46">
        <v>-137.37250562827069</v>
      </c>
      <c r="K100" s="1">
        <f>SUM(B100:J100)</f>
        <v>-79557.227046828455</v>
      </c>
    </row>
    <row r="101" spans="1:11" x14ac:dyDescent="0.3">
      <c r="A101" s="1" t="s">
        <v>630</v>
      </c>
      <c r="B101" s="1">
        <f t="shared" ref="B101:J101" si="23">SUBTOTAL(9,B72:B100)</f>
        <v>61011586.646803163</v>
      </c>
      <c r="C101" s="1">
        <f t="shared" si="23"/>
        <v>2174264.6483791484</v>
      </c>
      <c r="D101" s="1">
        <f t="shared" si="23"/>
        <v>3979826.4501313809</v>
      </c>
      <c r="E101" s="1">
        <f t="shared" si="23"/>
        <v>33427048.393122975</v>
      </c>
      <c r="F101" s="1">
        <f t="shared" si="23"/>
        <v>828460.61009377229</v>
      </c>
      <c r="G101" s="1">
        <f t="shared" si="23"/>
        <v>7589713.3145276634</v>
      </c>
      <c r="H101" s="1">
        <f t="shared" si="23"/>
        <v>13466079.187056953</v>
      </c>
      <c r="I101" s="1">
        <f t="shared" si="23"/>
        <v>324644.01589791419</v>
      </c>
      <c r="J101" s="1">
        <f t="shared" si="23"/>
        <v>212409.94183034947</v>
      </c>
      <c r="K101" s="1">
        <f>SUBTOTAL(9,K72:K100)</f>
        <v>123014033.20784332</v>
      </c>
    </row>
    <row r="103" spans="1:11" x14ac:dyDescent="0.3">
      <c r="A103" s="1" t="s">
        <v>538</v>
      </c>
    </row>
    <row r="104" spans="1:11" s="9" customFormat="1" ht="40.5" x14ac:dyDescent="0.25">
      <c r="B104" s="17" t="str">
        <f t="array" ref="B104:J104">TRANSPOSE(List_Classes)</f>
        <v>Residential</v>
      </c>
      <c r="C104" s="17" t="str">
        <v>Residential (S)</v>
      </c>
      <c r="D104" s="17" t="str">
        <v>Farm</v>
      </c>
      <c r="E104" s="17" t="str">
        <v>General Service 1</v>
      </c>
      <c r="F104" s="17" t="str">
        <v>General Service 1 (S)</v>
      </c>
      <c r="G104" s="17" t="str">
        <v>Small Industrial</v>
      </c>
      <c r="H104" s="17" t="str">
        <v>Large Industrial</v>
      </c>
      <c r="I104" s="17" t="str">
        <v>Lights</v>
      </c>
      <c r="J104" s="17" t="str">
        <v>Unmetered</v>
      </c>
      <c r="K104" s="17" t="s">
        <v>214</v>
      </c>
    </row>
    <row r="105" spans="1:11" x14ac:dyDescent="0.3">
      <c r="A105" s="1" t="s">
        <v>262</v>
      </c>
    </row>
    <row r="106" spans="1:11" x14ac:dyDescent="0.3">
      <c r="A106" s="3" t="s">
        <v>247</v>
      </c>
      <c r="B106" s="46">
        <f t="array" ref="B106:J106">MMULT('3.0'!B106:Q106,Table_FinalAlloc_S)</f>
        <v>94993.838546110841</v>
      </c>
      <c r="C106" s="46">
        <v>11058.126637446729</v>
      </c>
      <c r="D106" s="46">
        <v>738.92354550341986</v>
      </c>
      <c r="E106" s="46">
        <v>11299.670310928504</v>
      </c>
      <c r="F106" s="46">
        <v>2346.8326145389078</v>
      </c>
      <c r="G106" s="46">
        <v>407.33696415565703</v>
      </c>
      <c r="H106" s="46">
        <v>9.085958709908823</v>
      </c>
      <c r="I106" s="46">
        <v>7270.8933475531885</v>
      </c>
      <c r="J106" s="46">
        <v>423.05874171955958</v>
      </c>
      <c r="K106" s="1">
        <f>SUM(B106:J106)</f>
        <v>128547.76666666674</v>
      </c>
    </row>
    <row r="107" spans="1:11" x14ac:dyDescent="0.3">
      <c r="A107" s="3" t="s">
        <v>248</v>
      </c>
      <c r="B107" s="46">
        <f t="array" ref="B107:J107">MMULT('3.0'!B107:Q107,Table_FinalAlloc_S)</f>
        <v>0</v>
      </c>
      <c r="C107" s="46">
        <v>0</v>
      </c>
      <c r="D107" s="46">
        <v>0</v>
      </c>
      <c r="E107" s="46">
        <v>0</v>
      </c>
      <c r="F107" s="46">
        <v>0</v>
      </c>
      <c r="G107" s="46">
        <v>0</v>
      </c>
      <c r="H107" s="46">
        <v>0</v>
      </c>
      <c r="I107" s="46">
        <v>0</v>
      </c>
      <c r="J107" s="46">
        <v>0</v>
      </c>
      <c r="K107" s="1">
        <f>SUM(B107:J107)</f>
        <v>0</v>
      </c>
    </row>
    <row r="108" spans="1:11" x14ac:dyDescent="0.3">
      <c r="A108" s="3" t="s">
        <v>249</v>
      </c>
      <c r="B108" s="1">
        <f>SUBTOTAL(9,B106:B107)</f>
        <v>94993.838546110841</v>
      </c>
      <c r="C108" s="1">
        <f t="shared" ref="C108:J108" si="24">SUBTOTAL(9,C106:C107)</f>
        <v>11058.126637446729</v>
      </c>
      <c r="D108" s="1">
        <f t="shared" si="24"/>
        <v>738.92354550341986</v>
      </c>
      <c r="E108" s="1">
        <f t="shared" si="24"/>
        <v>11299.670310928504</v>
      </c>
      <c r="F108" s="1">
        <f t="shared" si="24"/>
        <v>2346.8326145389078</v>
      </c>
      <c r="G108" s="1">
        <f t="shared" si="24"/>
        <v>407.33696415565703</v>
      </c>
      <c r="H108" s="1">
        <f t="shared" si="24"/>
        <v>9.085958709908823</v>
      </c>
      <c r="I108" s="1">
        <f t="shared" si="24"/>
        <v>7270.8933475531885</v>
      </c>
      <c r="J108" s="1">
        <f t="shared" si="24"/>
        <v>423.05874171955958</v>
      </c>
      <c r="K108" s="1">
        <f>SUBTOTAL(9,K106:K107)</f>
        <v>128547.76666666674</v>
      </c>
    </row>
    <row r="109" spans="1:11" x14ac:dyDescent="0.3">
      <c r="A109" s="3" t="s">
        <v>124</v>
      </c>
      <c r="B109" s="46">
        <f t="array" ref="B109:J109">MMULT('3.0'!B109:Q109,Table_FinalAlloc_S)</f>
        <v>2974524.0478666201</v>
      </c>
      <c r="C109" s="46">
        <v>355655.10129554529</v>
      </c>
      <c r="D109" s="46">
        <v>23748.281929333029</v>
      </c>
      <c r="E109" s="46">
        <v>418532.80199922458</v>
      </c>
      <c r="F109" s="46">
        <v>89340.701356701917</v>
      </c>
      <c r="G109" s="46">
        <v>18895.034965217688</v>
      </c>
      <c r="H109" s="46">
        <v>2142.2807106982405</v>
      </c>
      <c r="I109" s="46">
        <v>281481.07627985661</v>
      </c>
      <c r="J109" s="46">
        <v>12065.154305283151</v>
      </c>
      <c r="K109" s="1">
        <f>SUM(B109:J109)</f>
        <v>4176384.4807084803</v>
      </c>
    </row>
    <row r="110" spans="1:11" x14ac:dyDescent="0.3">
      <c r="A110" s="3" t="s">
        <v>12</v>
      </c>
      <c r="B110" s="46">
        <f t="array" ref="B110:J110">MMULT('3.0'!B110:Q110,Table_FinalAlloc_S)</f>
        <v>0</v>
      </c>
      <c r="C110" s="46">
        <v>0</v>
      </c>
      <c r="D110" s="46">
        <v>0</v>
      </c>
      <c r="E110" s="46">
        <v>0</v>
      </c>
      <c r="F110" s="46">
        <v>0</v>
      </c>
      <c r="G110" s="46">
        <v>0</v>
      </c>
      <c r="H110" s="46">
        <v>0</v>
      </c>
      <c r="I110" s="46">
        <v>0</v>
      </c>
      <c r="J110" s="46">
        <v>0</v>
      </c>
      <c r="K110" s="1">
        <f>SUM(B110:J110)</f>
        <v>0</v>
      </c>
    </row>
    <row r="111" spans="1:11" x14ac:dyDescent="0.3">
      <c r="A111" s="3" t="s">
        <v>250</v>
      </c>
      <c r="B111" s="46">
        <f t="array" ref="B111:J111">MMULT('3.0'!B111:Q111,Table_FinalAlloc_S)</f>
        <v>763627.34108102298</v>
      </c>
      <c r="C111" s="46">
        <v>88893.005806810805</v>
      </c>
      <c r="D111" s="46">
        <v>5939.9875923641193</v>
      </c>
      <c r="E111" s="46">
        <v>90834.703878589411</v>
      </c>
      <c r="F111" s="46">
        <v>18865.492508050065</v>
      </c>
      <c r="G111" s="46">
        <v>3274.4612453071068</v>
      </c>
      <c r="H111" s="46">
        <v>75.213334489813604</v>
      </c>
      <c r="I111" s="46">
        <v>58448.558761846718</v>
      </c>
      <c r="J111" s="46">
        <v>3400.843960038258</v>
      </c>
      <c r="K111" s="1">
        <f>SUM(B111:J111)</f>
        <v>1033359.6081685193</v>
      </c>
    </row>
    <row r="112" spans="1:11" x14ac:dyDescent="0.3">
      <c r="A112" s="3" t="s">
        <v>251</v>
      </c>
      <c r="B112" s="46">
        <f t="array" ref="B112:J112">MMULT('3.0'!B112:Q112,Table_FinalAlloc_S)</f>
        <v>0</v>
      </c>
      <c r="C112" s="46">
        <v>0</v>
      </c>
      <c r="D112" s="46">
        <v>0</v>
      </c>
      <c r="E112" s="46">
        <v>0</v>
      </c>
      <c r="F112" s="46">
        <v>0</v>
      </c>
      <c r="G112" s="46">
        <v>0</v>
      </c>
      <c r="H112" s="46">
        <v>0</v>
      </c>
      <c r="I112" s="46">
        <v>0</v>
      </c>
      <c r="J112" s="46">
        <v>0</v>
      </c>
      <c r="K112" s="1">
        <f>SUM(B112:J112)</f>
        <v>0</v>
      </c>
    </row>
    <row r="113" spans="1:11" x14ac:dyDescent="0.3">
      <c r="A113" s="3" t="s">
        <v>252</v>
      </c>
      <c r="B113" s="46">
        <f t="array" ref="B113:J113">MMULT('3.0'!B113:Q113,Table_FinalAlloc_S)</f>
        <v>4847894.7616043007</v>
      </c>
      <c r="C113" s="46">
        <v>448089.92159592907</v>
      </c>
      <c r="D113" s="46">
        <v>37191.945318260143</v>
      </c>
      <c r="E113" s="46">
        <v>632246.32489768346</v>
      </c>
      <c r="F113" s="46">
        <v>102778.96674101149</v>
      </c>
      <c r="G113" s="46">
        <v>24067.835508646949</v>
      </c>
      <c r="H113" s="46">
        <v>4456.6805714997463</v>
      </c>
      <c r="I113" s="46">
        <v>216524.35003225564</v>
      </c>
      <c r="J113" s="46">
        <v>55646.675576296511</v>
      </c>
      <c r="K113" s="1">
        <f>SUM(B113:J113)</f>
        <v>6368897.4618458841</v>
      </c>
    </row>
    <row r="114" spans="1:11" x14ac:dyDescent="0.3">
      <c r="A114" s="3" t="s">
        <v>253</v>
      </c>
      <c r="B114" s="1">
        <f t="shared" ref="B114:J114" si="25">SUBTOTAL(9,B105:B113)</f>
        <v>8681039.9890980534</v>
      </c>
      <c r="C114" s="1">
        <f t="shared" si="25"/>
        <v>903696.15533573192</v>
      </c>
      <c r="D114" s="1">
        <f t="shared" si="25"/>
        <v>67619.138385460712</v>
      </c>
      <c r="E114" s="1">
        <f t="shared" si="25"/>
        <v>1152913.501086426</v>
      </c>
      <c r="F114" s="1">
        <f t="shared" si="25"/>
        <v>213331.99322030239</v>
      </c>
      <c r="G114" s="1">
        <f t="shared" si="25"/>
        <v>46644.6686833274</v>
      </c>
      <c r="H114" s="1">
        <f t="shared" si="25"/>
        <v>6683.2605753977095</v>
      </c>
      <c r="I114" s="1">
        <f t="shared" si="25"/>
        <v>563724.8784215122</v>
      </c>
      <c r="J114" s="1">
        <f t="shared" si="25"/>
        <v>71535.732583337478</v>
      </c>
      <c r="K114" s="1">
        <f>SUBTOTAL(9,K105:K113)</f>
        <v>11707189.317389552</v>
      </c>
    </row>
    <row r="115" spans="1:11" x14ac:dyDescent="0.3">
      <c r="A115" s="2" t="s">
        <v>138</v>
      </c>
    </row>
    <row r="116" spans="1:11" x14ac:dyDescent="0.3">
      <c r="A116" s="3" t="s">
        <v>479</v>
      </c>
      <c r="B116" s="46">
        <f t="array" ref="B116:J116">MMULT('3.0'!B116:Q116,Table_FinalAlloc_S)</f>
        <v>66354.153595492287</v>
      </c>
      <c r="C116" s="46">
        <v>6557.9779158335177</v>
      </c>
      <c r="D116" s="46">
        <v>519.83512274315092</v>
      </c>
      <c r="E116" s="46">
        <v>9291.9845361380267</v>
      </c>
      <c r="F116" s="46">
        <v>1635.7483882264198</v>
      </c>
      <c r="G116" s="46">
        <v>367.37497292745746</v>
      </c>
      <c r="H116" s="46">
        <v>59.92063328239179</v>
      </c>
      <c r="I116" s="46">
        <v>3744.5414689222916</v>
      </c>
      <c r="J116" s="46">
        <v>462.04090042988412</v>
      </c>
      <c r="K116" s="1">
        <f>SUM(B116:J116)</f>
        <v>88993.577533995442</v>
      </c>
    </row>
    <row r="117" spans="1:11" x14ac:dyDescent="0.3">
      <c r="A117" s="47" t="s">
        <v>725</v>
      </c>
      <c r="B117" s="46">
        <f t="array" ref="B117:J117">MMULT('3.0'!B117:Q117,Table_FinalAlloc_S)</f>
        <v>0</v>
      </c>
      <c r="C117" s="46">
        <v>0</v>
      </c>
      <c r="D117" s="46">
        <v>0</v>
      </c>
      <c r="E117" s="46">
        <v>0</v>
      </c>
      <c r="F117" s="46">
        <v>0</v>
      </c>
      <c r="G117" s="46">
        <v>0</v>
      </c>
      <c r="H117" s="46">
        <v>0</v>
      </c>
      <c r="I117" s="46">
        <v>0</v>
      </c>
      <c r="J117" s="46">
        <v>0</v>
      </c>
      <c r="K117" s="1">
        <f>SUM(B117:J117)</f>
        <v>0</v>
      </c>
    </row>
    <row r="118" spans="1:11" x14ac:dyDescent="0.3">
      <c r="A118" s="3" t="s">
        <v>480</v>
      </c>
      <c r="B118" s="46">
        <f t="array" ref="B118:J118">MMULT('3.0'!B118:Q118,Table_FinalAlloc_S)</f>
        <v>7841615.9844516218</v>
      </c>
      <c r="C118" s="46">
        <v>947854.09143749985</v>
      </c>
      <c r="D118" s="46">
        <v>63851.052684119109</v>
      </c>
      <c r="E118" s="46">
        <v>1280430.7125284323</v>
      </c>
      <c r="F118" s="46">
        <v>275020.75304888224</v>
      </c>
      <c r="G118" s="46">
        <v>64284.573043317847</v>
      </c>
      <c r="H118" s="46">
        <v>10640.057985685715</v>
      </c>
      <c r="I118" s="46">
        <v>992469.32030972373</v>
      </c>
      <c r="J118" s="46">
        <v>30544.116019648183</v>
      </c>
      <c r="K118" s="1">
        <f>SUM(B118:J118)</f>
        <v>11506710.661508929</v>
      </c>
    </row>
    <row r="119" spans="1:11" x14ac:dyDescent="0.3">
      <c r="A119" s="3" t="s">
        <v>254</v>
      </c>
      <c r="B119" s="1">
        <f t="shared" ref="B119:J119" si="26">SUBTOTAL(9,B115:B118)</f>
        <v>7907970.138047114</v>
      </c>
      <c r="C119" s="1">
        <f t="shared" si="26"/>
        <v>954412.06935333333</v>
      </c>
      <c r="D119" s="1">
        <f t="shared" si="26"/>
        <v>64370.887806862258</v>
      </c>
      <c r="E119" s="1">
        <f t="shared" si="26"/>
        <v>1289722.6970645704</v>
      </c>
      <c r="F119" s="1">
        <f t="shared" si="26"/>
        <v>276656.50143710867</v>
      </c>
      <c r="G119" s="1">
        <f t="shared" si="26"/>
        <v>64651.948016245304</v>
      </c>
      <c r="H119" s="1">
        <f t="shared" si="26"/>
        <v>10699.978618968107</v>
      </c>
      <c r="I119" s="1">
        <f t="shared" si="26"/>
        <v>996213.86177864601</v>
      </c>
      <c r="J119" s="1">
        <f t="shared" si="26"/>
        <v>31006.156920078069</v>
      </c>
      <c r="K119" s="1">
        <f>SUBTOTAL(9,K115:K118)</f>
        <v>11595704.239042925</v>
      </c>
    </row>
    <row r="120" spans="1:11" x14ac:dyDescent="0.3">
      <c r="A120" s="1" t="s">
        <v>263</v>
      </c>
      <c r="B120" s="1">
        <f t="shared" ref="B120:J120" si="27">SUBTOTAL(9,B105:B119)</f>
        <v>16589010.127145167</v>
      </c>
      <c r="C120" s="1">
        <f t="shared" si="27"/>
        <v>1858108.2246890652</v>
      </c>
      <c r="D120" s="1">
        <f t="shared" si="27"/>
        <v>131990.02619232298</v>
      </c>
      <c r="E120" s="1">
        <f t="shared" si="27"/>
        <v>2442636.1981509961</v>
      </c>
      <c r="F120" s="1">
        <f t="shared" si="27"/>
        <v>489988.49465741101</v>
      </c>
      <c r="G120" s="1">
        <f t="shared" si="27"/>
        <v>111296.61669957271</v>
      </c>
      <c r="H120" s="1">
        <f t="shared" si="27"/>
        <v>17383.239194365815</v>
      </c>
      <c r="I120" s="1">
        <f t="shared" si="27"/>
        <v>1559938.7402001582</v>
      </c>
      <c r="J120" s="1">
        <f t="shared" si="27"/>
        <v>102541.88950341554</v>
      </c>
      <c r="K120" s="1">
        <f>SUBTOTAL(9,K105:K119)</f>
        <v>23302893.556432478</v>
      </c>
    </row>
    <row r="121" spans="1:11" x14ac:dyDescent="0.3">
      <c r="A121" s="1" t="s">
        <v>246</v>
      </c>
    </row>
    <row r="122" spans="1:11" x14ac:dyDescent="0.3">
      <c r="A122" s="3" t="s">
        <v>255</v>
      </c>
      <c r="B122" s="46">
        <f t="array" ref="B122:J122">MMULT('3.0'!B122:Q122,Table_FinalAlloc_S)</f>
        <v>3757832.7079447247</v>
      </c>
      <c r="C122" s="46">
        <v>453418.28382687137</v>
      </c>
      <c r="D122" s="46">
        <v>30393.582011229548</v>
      </c>
      <c r="E122" s="46">
        <v>547063.32868813339</v>
      </c>
      <c r="F122" s="46">
        <v>117764.4768477965</v>
      </c>
      <c r="G122" s="46">
        <v>27093.604676004601</v>
      </c>
      <c r="H122" s="46">
        <v>3403.783175011255</v>
      </c>
      <c r="I122" s="46">
        <v>476168.41061445058</v>
      </c>
      <c r="J122" s="46">
        <v>15146.562687652198</v>
      </c>
      <c r="K122" s="1">
        <f>SUM(B122:J122)</f>
        <v>5428284.7404718744</v>
      </c>
    </row>
    <row r="123" spans="1:11" x14ac:dyDescent="0.3">
      <c r="A123" s="3" t="s">
        <v>256</v>
      </c>
      <c r="B123" s="46">
        <f t="array" ref="B123:J123">MMULT('3.0'!B123:Q123,Table_FinalAlloc_S)</f>
        <v>340731.19869743852</v>
      </c>
      <c r="C123" s="46">
        <v>41112.462253319092</v>
      </c>
      <c r="D123" s="46">
        <v>2755.8548866479991</v>
      </c>
      <c r="E123" s="46">
        <v>49603.470466695515</v>
      </c>
      <c r="F123" s="46">
        <v>10677.971713720228</v>
      </c>
      <c r="G123" s="46">
        <v>2456.6384710985831</v>
      </c>
      <c r="H123" s="46">
        <v>308.62872604088739</v>
      </c>
      <c r="I123" s="46">
        <v>43175.267751409017</v>
      </c>
      <c r="J123" s="46">
        <v>1373.3731280263112</v>
      </c>
      <c r="K123" s="1">
        <f>SUM(B123:J123)</f>
        <v>492194.86609439616</v>
      </c>
    </row>
    <row r="124" spans="1:11" x14ac:dyDescent="0.3">
      <c r="A124" s="3" t="s">
        <v>257</v>
      </c>
      <c r="B124" s="46">
        <f t="array" ref="B124:J124">MMULT('3.0'!B124:Q124,Table_FinalAlloc_S)</f>
        <v>-198558.42937575831</v>
      </c>
      <c r="C124" s="46">
        <v>-23957.96441299155</v>
      </c>
      <c r="D124" s="46">
        <v>-1605.9527861616059</v>
      </c>
      <c r="E124" s="46">
        <v>-28906.032746944697</v>
      </c>
      <c r="F124" s="46">
        <v>-6222.504133757805</v>
      </c>
      <c r="G124" s="46">
        <v>-1431.5867705397352</v>
      </c>
      <c r="H124" s="46">
        <v>-179.85096562095498</v>
      </c>
      <c r="I124" s="46">
        <v>-25160.04811232465</v>
      </c>
      <c r="J124" s="46">
        <v>-800.3224016181839</v>
      </c>
      <c r="K124" s="1">
        <f>SUM(B124:J124)</f>
        <v>-286822.69170571747</v>
      </c>
    </row>
    <row r="125" spans="1:11" x14ac:dyDescent="0.3">
      <c r="A125" s="3" t="s">
        <v>728</v>
      </c>
      <c r="B125" s="46">
        <f t="array" ref="B125:J125">MMULT('3.0'!B125:Q125,Table_FinalAlloc_S)</f>
        <v>-12442.290357630525</v>
      </c>
      <c r="C125" s="46">
        <v>-1501.280759227307</v>
      </c>
      <c r="D125" s="46">
        <v>-100.63400948974248</v>
      </c>
      <c r="E125" s="46">
        <v>-1811.3421507985202</v>
      </c>
      <c r="F125" s="46">
        <v>-389.92151291272836</v>
      </c>
      <c r="G125" s="46">
        <v>-89.707691218132851</v>
      </c>
      <c r="H125" s="46">
        <v>-11.270022342498198</v>
      </c>
      <c r="I125" s="46">
        <v>-1576.607072334732</v>
      </c>
      <c r="J125" s="46">
        <v>-50.150697363772409</v>
      </c>
      <c r="K125" s="1">
        <f>SUM(B125:J125)</f>
        <v>-17973.204273317959</v>
      </c>
    </row>
    <row r="126" spans="1:11" x14ac:dyDescent="0.3">
      <c r="A126" s="3" t="s">
        <v>258</v>
      </c>
      <c r="B126" s="46">
        <f t="array" ref="B126:J126">MMULT('3.0'!B126:Q126,Table_FinalAlloc_S)</f>
        <v>6344.008080404582</v>
      </c>
      <c r="C126" s="46">
        <v>765.46495811786463</v>
      </c>
      <c r="D126" s="46">
        <v>51.310727447773303</v>
      </c>
      <c r="E126" s="46">
        <v>923.55739263036878</v>
      </c>
      <c r="F126" s="46">
        <v>198.81108361411091</v>
      </c>
      <c r="G126" s="46">
        <v>45.739675060167379</v>
      </c>
      <c r="H126" s="46">
        <v>5.7462983704846176</v>
      </c>
      <c r="I126" s="46">
        <v>803.87193346445167</v>
      </c>
      <c r="J126" s="46">
        <v>25.570567810980247</v>
      </c>
      <c r="K126" s="1">
        <f>SUM(B126:J126)</f>
        <v>9164.0807169207837</v>
      </c>
    </row>
    <row r="127" spans="1:11" x14ac:dyDescent="0.3">
      <c r="A127" s="3" t="s">
        <v>259</v>
      </c>
      <c r="B127" s="1">
        <f t="shared" ref="B127:J127" si="28">SUBTOTAL(9,B121:B126)</f>
        <v>3893907.1949891788</v>
      </c>
      <c r="C127" s="1">
        <f t="shared" si="28"/>
        <v>469836.96586608951</v>
      </c>
      <c r="D127" s="1">
        <f t="shared" si="28"/>
        <v>31494.160829673972</v>
      </c>
      <c r="E127" s="1">
        <f t="shared" si="28"/>
        <v>566872.98164971604</v>
      </c>
      <c r="F127" s="1">
        <f t="shared" si="28"/>
        <v>122028.83399846031</v>
      </c>
      <c r="G127" s="1">
        <f t="shared" si="28"/>
        <v>28074.688360405482</v>
      </c>
      <c r="H127" s="1">
        <f t="shared" si="28"/>
        <v>3527.0372114591742</v>
      </c>
      <c r="I127" s="1">
        <f t="shared" si="28"/>
        <v>493410.89511466463</v>
      </c>
      <c r="J127" s="1">
        <f t="shared" si="28"/>
        <v>15695.033284507534</v>
      </c>
      <c r="K127" s="1">
        <f>SUBTOTAL(9,K121:K126)</f>
        <v>5624847.7913041562</v>
      </c>
    </row>
    <row r="128" spans="1:11" x14ac:dyDescent="0.3">
      <c r="A128" s="1" t="s">
        <v>260</v>
      </c>
      <c r="B128" s="1">
        <f t="shared" ref="B128:K128" si="29">SUBTOTAL(9,B129:B130)</f>
        <v>6567467.6591441575</v>
      </c>
      <c r="C128" s="1">
        <f t="shared" si="29"/>
        <v>792427.48321446194</v>
      </c>
      <c r="D128" s="1">
        <f t="shared" si="29"/>
        <v>53118.082261162708</v>
      </c>
      <c r="E128" s="1">
        <f t="shared" si="29"/>
        <v>956088.52173413872</v>
      </c>
      <c r="F128" s="1">
        <f t="shared" si="29"/>
        <v>205813.95000868433</v>
      </c>
      <c r="G128" s="1">
        <f t="shared" si="29"/>
        <v>47350.796671471857</v>
      </c>
      <c r="H128" s="1">
        <f t="shared" si="29"/>
        <v>5948.7043884004242</v>
      </c>
      <c r="I128" s="1">
        <f t="shared" si="29"/>
        <v>832187.29519411025</v>
      </c>
      <c r="J128" s="1">
        <f t="shared" si="29"/>
        <v>26471.258389988612</v>
      </c>
      <c r="K128" s="1">
        <f t="shared" si="29"/>
        <v>9486873.7510065772</v>
      </c>
    </row>
    <row r="129" spans="1:11" x14ac:dyDescent="0.3">
      <c r="A129" s="1" t="s">
        <v>261</v>
      </c>
      <c r="B129" s="46">
        <f t="array" ref="B129:J129">MMULT('3.0'!B129:Q129,Table_FinalAlloc_S)</f>
        <v>2045813.1155694667</v>
      </c>
      <c r="C129" s="46">
        <v>246846.82474844679</v>
      </c>
      <c r="D129" s="46">
        <v>16546.662275904659</v>
      </c>
      <c r="E129" s="46">
        <v>297828.40798397153</v>
      </c>
      <c r="F129" s="46">
        <v>64112.516444396962</v>
      </c>
      <c r="G129" s="46">
        <v>14750.111594121496</v>
      </c>
      <c r="H129" s="46">
        <v>1853.0639342381116</v>
      </c>
      <c r="I129" s="46">
        <v>259232.29035592274</v>
      </c>
      <c r="J129" s="46">
        <v>8245.9861868469816</v>
      </c>
      <c r="K129" s="1">
        <f>SUM(B129:J129)</f>
        <v>2955228.979093316</v>
      </c>
    </row>
    <row r="130" spans="1:11" x14ac:dyDescent="0.3">
      <c r="A130" s="1" t="s">
        <v>606</v>
      </c>
      <c r="B130" s="46">
        <f t="array" ref="B130:J130">MMULT('3.0'!B130:Q130,Table_FinalAlloc_S)</f>
        <v>4521654.5435746908</v>
      </c>
      <c r="C130" s="46">
        <v>545580.65846601513</v>
      </c>
      <c r="D130" s="46">
        <v>36571.41998525805</v>
      </c>
      <c r="E130" s="46">
        <v>658260.11375016719</v>
      </c>
      <c r="F130" s="46">
        <v>141701.43356428738</v>
      </c>
      <c r="G130" s="46">
        <v>32600.685077350361</v>
      </c>
      <c r="H130" s="46">
        <v>4095.6404541623128</v>
      </c>
      <c r="I130" s="46">
        <v>572955.00483818748</v>
      </c>
      <c r="J130" s="46">
        <v>18225.272203141631</v>
      </c>
      <c r="K130" s="1">
        <f>SUM(B130:J130)</f>
        <v>6531644.7719132602</v>
      </c>
    </row>
    <row r="131" spans="1:11" x14ac:dyDescent="0.3">
      <c r="A131" s="1" t="s">
        <v>629</v>
      </c>
      <c r="B131" s="1">
        <f>SUBTOTAL(9,B105:B130)</f>
        <v>27050384.981278509</v>
      </c>
      <c r="C131" s="1">
        <f t="shared" ref="C131:J131" si="30">SUBTOTAL(9,C105:C130)</f>
        <v>3120372.6737696165</v>
      </c>
      <c r="D131" s="1">
        <f t="shared" si="30"/>
        <v>216602.26928315972</v>
      </c>
      <c r="E131" s="1">
        <f t="shared" si="30"/>
        <v>3965597.7015348515</v>
      </c>
      <c r="F131" s="1">
        <f t="shared" si="30"/>
        <v>817831.27866455563</v>
      </c>
      <c r="G131" s="1">
        <f t="shared" si="30"/>
        <v>186722.10173145009</v>
      </c>
      <c r="H131" s="1">
        <f t="shared" si="30"/>
        <v>26858.980794225416</v>
      </c>
      <c r="I131" s="1">
        <f t="shared" si="30"/>
        <v>2885536.930508933</v>
      </c>
      <c r="J131" s="1">
        <f t="shared" si="30"/>
        <v>144708.1811779117</v>
      </c>
      <c r="K131" s="1">
        <f>SUBTOTAL(9,K105:K130)</f>
        <v>38414615.098743208</v>
      </c>
    </row>
    <row r="132" spans="1:11" x14ac:dyDescent="0.3">
      <c r="A132" s="1" t="s">
        <v>632</v>
      </c>
      <c r="B132" s="46">
        <f t="array" ref="B132:J132">MMULT('3.0'!B132:Q132,Table_FinalAlloc_S)</f>
        <v>0</v>
      </c>
      <c r="C132" s="46">
        <v>0</v>
      </c>
      <c r="D132" s="46">
        <v>0</v>
      </c>
      <c r="E132" s="46">
        <v>0</v>
      </c>
      <c r="F132" s="46">
        <v>0</v>
      </c>
      <c r="G132" s="46">
        <v>0</v>
      </c>
      <c r="H132" s="46">
        <v>0</v>
      </c>
      <c r="I132" s="46">
        <v>0</v>
      </c>
      <c r="J132" s="46">
        <v>0</v>
      </c>
      <c r="K132" s="1">
        <f>SUM(B132:J132)</f>
        <v>0</v>
      </c>
    </row>
    <row r="133" spans="1:11" x14ac:dyDescent="0.3">
      <c r="A133" s="1" t="s">
        <v>631</v>
      </c>
      <c r="B133" s="46">
        <f t="array" ref="B133:J133">MMULT('3.0'!B133:Q133,Table_FinalAlloc_S)</f>
        <v>-1439184.6885386184</v>
      </c>
      <c r="C133" s="46">
        <v>-114518.1320450248</v>
      </c>
      <c r="D133" s="46">
        <v>-14452.556509762015</v>
      </c>
      <c r="E133" s="46">
        <v>-188266.54119803052</v>
      </c>
      <c r="F133" s="46">
        <v>-27245.585499688659</v>
      </c>
      <c r="G133" s="46">
        <v>-30482.803254618651</v>
      </c>
      <c r="H133" s="46">
        <v>-355.45133240183799</v>
      </c>
      <c r="I133" s="46">
        <v>-62298.9275502932</v>
      </c>
      <c r="J133" s="46">
        <v>-2324.6946708786722</v>
      </c>
      <c r="K133" s="1">
        <f>SUM(B133:J133)</f>
        <v>-1879129.3805993169</v>
      </c>
    </row>
    <row r="134" spans="1:11" x14ac:dyDescent="0.3">
      <c r="A134" s="1" t="s">
        <v>630</v>
      </c>
      <c r="B134" s="1">
        <f t="shared" ref="B134:J134" si="31">SUBTOTAL(9,B105:B133)</f>
        <v>25611200.292739891</v>
      </c>
      <c r="C134" s="1">
        <f t="shared" si="31"/>
        <v>3005854.5417245915</v>
      </c>
      <c r="D134" s="1">
        <f t="shared" si="31"/>
        <v>202149.71277339771</v>
      </c>
      <c r="E134" s="1">
        <f t="shared" si="31"/>
        <v>3777331.1603368209</v>
      </c>
      <c r="F134" s="1">
        <f t="shared" si="31"/>
        <v>790585.693164867</v>
      </c>
      <c r="G134" s="1">
        <f t="shared" si="31"/>
        <v>156239.29847683143</v>
      </c>
      <c r="H134" s="1">
        <f t="shared" si="31"/>
        <v>26503.529461823578</v>
      </c>
      <c r="I134" s="1">
        <f t="shared" si="31"/>
        <v>2823238.00295864</v>
      </c>
      <c r="J134" s="1">
        <f t="shared" si="31"/>
        <v>142383.48650703303</v>
      </c>
      <c r="K134" s="1">
        <f>SUBTOTAL(9,K105:K133)</f>
        <v>36535485.718143888</v>
      </c>
    </row>
    <row r="136" spans="1:11" x14ac:dyDescent="0.3">
      <c r="A136" s="1" t="s">
        <v>662</v>
      </c>
    </row>
    <row r="137" spans="1:11" x14ac:dyDescent="0.3">
      <c r="A137" s="1" t="s">
        <v>661</v>
      </c>
      <c r="B137" s="30">
        <f t="shared" ref="B137:J137" si="32">B31/$K31</f>
        <v>0.64941613756647343</v>
      </c>
      <c r="C137" s="30">
        <f t="shared" si="32"/>
        <v>4.1019983569734672E-2</v>
      </c>
      <c r="D137" s="30">
        <f t="shared" si="32"/>
        <v>1.9641878375518302E-2</v>
      </c>
      <c r="E137" s="30">
        <f t="shared" si="32"/>
        <v>0.16905745641094727</v>
      </c>
      <c r="F137" s="30">
        <f t="shared" si="32"/>
        <v>1.1262216593604924E-2</v>
      </c>
      <c r="G137" s="30">
        <f t="shared" si="32"/>
        <v>4.6758866520053517E-2</v>
      </c>
      <c r="H137" s="30">
        <f t="shared" si="32"/>
        <v>2.6969783470041381E-2</v>
      </c>
      <c r="I137" s="30">
        <f t="shared" si="32"/>
        <v>3.415037363975576E-2</v>
      </c>
      <c r="J137" s="30">
        <f t="shared" si="32"/>
        <v>1.723303853870758E-3</v>
      </c>
      <c r="K137" s="30">
        <f>SUM(B137:J137)</f>
        <v>1</v>
      </c>
    </row>
    <row r="138" spans="1:11" x14ac:dyDescent="0.3">
      <c r="A138" s="46" t="s">
        <v>682</v>
      </c>
      <c r="B138" s="30">
        <f>B35/$K35</f>
        <v>0.57890019409707993</v>
      </c>
      <c r="C138" s="30">
        <f t="shared" ref="C138:J138" si="33">C35/$K35</f>
        <v>2.6388802387254939E-2</v>
      </c>
      <c r="D138" s="30">
        <f t="shared" si="33"/>
        <v>2.6067287883859747E-2</v>
      </c>
      <c r="E138" s="30">
        <f t="shared" si="33"/>
        <v>0.22261443855088725</v>
      </c>
      <c r="F138" s="30">
        <f t="shared" si="33"/>
        <v>7.7849434953457556E-3</v>
      </c>
      <c r="G138" s="30">
        <f t="shared" si="33"/>
        <v>5.6090334124566883E-2</v>
      </c>
      <c r="H138" s="30">
        <f t="shared" si="33"/>
        <v>6.6361149752831458E-2</v>
      </c>
      <c r="I138" s="30">
        <f t="shared" si="33"/>
        <v>1.3970797604671644E-2</v>
      </c>
      <c r="J138" s="30">
        <f t="shared" si="33"/>
        <v>1.8220521035025388E-3</v>
      </c>
      <c r="K138" s="30">
        <f>SUM(B138:J138)</f>
        <v>1.0000000000000002</v>
      </c>
    </row>
    <row r="140" spans="1:11" x14ac:dyDescent="0.3">
      <c r="A140" s="1" t="s">
        <v>540</v>
      </c>
    </row>
    <row r="141" spans="1:11" s="9" customFormat="1" ht="40.5" x14ac:dyDescent="0.25">
      <c r="B141" s="17" t="str">
        <f t="array" ref="B141:J141">TRANSPOSE(List_Classes)</f>
        <v>Residential</v>
      </c>
      <c r="C141" s="17" t="str">
        <v>Residential (S)</v>
      </c>
      <c r="D141" s="17" t="str">
        <v>Farm</v>
      </c>
      <c r="E141" s="17" t="str">
        <v>General Service 1</v>
      </c>
      <c r="F141" s="17" t="str">
        <v>General Service 1 (S)</v>
      </c>
      <c r="G141" s="17" t="str">
        <v>Small Industrial</v>
      </c>
      <c r="H141" s="17" t="str">
        <v>Large Industrial</v>
      </c>
      <c r="I141" s="17" t="str">
        <v>Lights</v>
      </c>
      <c r="J141" s="17" t="str">
        <v>Unmetered</v>
      </c>
      <c r="K141" s="17" t="s">
        <v>214</v>
      </c>
    </row>
    <row r="142" spans="1:11" x14ac:dyDescent="0.3">
      <c r="A142" s="1" t="s">
        <v>262</v>
      </c>
    </row>
    <row r="143" spans="1:11" x14ac:dyDescent="0.3">
      <c r="A143" s="3" t="s">
        <v>247</v>
      </c>
      <c r="B143" s="1" t="b">
        <f t="shared" ref="B143:K143" si="34">ROUND(B7,2)=ROUND(SUM(B40,B73,B106),2)</f>
        <v>1</v>
      </c>
      <c r="C143" s="1" t="b">
        <f t="shared" si="34"/>
        <v>1</v>
      </c>
      <c r="D143" s="1" t="b">
        <f t="shared" si="34"/>
        <v>1</v>
      </c>
      <c r="E143" s="1" t="b">
        <f t="shared" si="34"/>
        <v>1</v>
      </c>
      <c r="F143" s="1" t="b">
        <f t="shared" si="34"/>
        <v>1</v>
      </c>
      <c r="G143" s="1" t="b">
        <f t="shared" si="34"/>
        <v>1</v>
      </c>
      <c r="H143" s="1" t="b">
        <f t="shared" si="34"/>
        <v>1</v>
      </c>
      <c r="I143" s="1" t="b">
        <f t="shared" si="34"/>
        <v>1</v>
      </c>
      <c r="J143" s="1" t="b">
        <f t="shared" si="34"/>
        <v>1</v>
      </c>
      <c r="K143" s="1" t="b">
        <f t="shared" si="34"/>
        <v>1</v>
      </c>
    </row>
    <row r="144" spans="1:11" x14ac:dyDescent="0.3">
      <c r="A144" s="3" t="s">
        <v>248</v>
      </c>
      <c r="B144" s="1" t="b">
        <f t="shared" ref="B144:K144" si="35">ROUND(B8,2)=ROUND(SUM(B41,B74,B107),2)</f>
        <v>1</v>
      </c>
      <c r="C144" s="1" t="b">
        <f t="shared" si="35"/>
        <v>1</v>
      </c>
      <c r="D144" s="1" t="b">
        <f t="shared" si="35"/>
        <v>1</v>
      </c>
      <c r="E144" s="1" t="b">
        <f t="shared" si="35"/>
        <v>1</v>
      </c>
      <c r="F144" s="1" t="b">
        <f t="shared" si="35"/>
        <v>1</v>
      </c>
      <c r="G144" s="1" t="b">
        <f t="shared" si="35"/>
        <v>1</v>
      </c>
      <c r="H144" s="1" t="b">
        <f t="shared" si="35"/>
        <v>1</v>
      </c>
      <c r="I144" s="1" t="b">
        <f t="shared" si="35"/>
        <v>1</v>
      </c>
      <c r="J144" s="1" t="b">
        <f t="shared" si="35"/>
        <v>1</v>
      </c>
      <c r="K144" s="1" t="b">
        <f t="shared" si="35"/>
        <v>1</v>
      </c>
    </row>
    <row r="145" spans="1:11" x14ac:dyDescent="0.3">
      <c r="A145" s="3" t="s">
        <v>249</v>
      </c>
      <c r="B145" s="1" t="b">
        <f t="shared" ref="B145:K145" si="36">ROUND(B9,2)=ROUND(SUM(B42,B75,B108),2)</f>
        <v>1</v>
      </c>
      <c r="C145" s="1" t="b">
        <f t="shared" si="36"/>
        <v>1</v>
      </c>
      <c r="D145" s="1" t="b">
        <f t="shared" si="36"/>
        <v>1</v>
      </c>
      <c r="E145" s="1" t="b">
        <f t="shared" si="36"/>
        <v>1</v>
      </c>
      <c r="F145" s="1" t="b">
        <f t="shared" si="36"/>
        <v>1</v>
      </c>
      <c r="G145" s="1" t="b">
        <f t="shared" si="36"/>
        <v>1</v>
      </c>
      <c r="H145" s="1" t="b">
        <f t="shared" si="36"/>
        <v>1</v>
      </c>
      <c r="I145" s="1" t="b">
        <f t="shared" si="36"/>
        <v>1</v>
      </c>
      <c r="J145" s="1" t="b">
        <f t="shared" si="36"/>
        <v>1</v>
      </c>
      <c r="K145" s="1" t="b">
        <f t="shared" si="36"/>
        <v>1</v>
      </c>
    </row>
    <row r="146" spans="1:11" x14ac:dyDescent="0.3">
      <c r="A146" s="3" t="s">
        <v>124</v>
      </c>
      <c r="B146" s="1" t="b">
        <f t="shared" ref="B146:K146" si="37">ROUND(B10,2)=ROUND(SUM(B43,B76,B109),2)</f>
        <v>1</v>
      </c>
      <c r="C146" s="1" t="b">
        <f t="shared" si="37"/>
        <v>1</v>
      </c>
      <c r="D146" s="1" t="b">
        <f t="shared" si="37"/>
        <v>1</v>
      </c>
      <c r="E146" s="1" t="b">
        <f t="shared" si="37"/>
        <v>1</v>
      </c>
      <c r="F146" s="1" t="b">
        <f t="shared" si="37"/>
        <v>1</v>
      </c>
      <c r="G146" s="1" t="b">
        <f t="shared" si="37"/>
        <v>1</v>
      </c>
      <c r="H146" s="1" t="b">
        <f t="shared" si="37"/>
        <v>1</v>
      </c>
      <c r="I146" s="1" t="b">
        <f t="shared" si="37"/>
        <v>1</v>
      </c>
      <c r="J146" s="1" t="b">
        <f t="shared" si="37"/>
        <v>1</v>
      </c>
      <c r="K146" s="1" t="b">
        <f t="shared" si="37"/>
        <v>1</v>
      </c>
    </row>
    <row r="147" spans="1:11" x14ac:dyDescent="0.3">
      <c r="A147" s="3" t="s">
        <v>12</v>
      </c>
      <c r="B147" s="1" t="b">
        <f t="shared" ref="B147:K147" si="38">ROUND(B11,2)=ROUND(SUM(B44,B77,B110),2)</f>
        <v>1</v>
      </c>
      <c r="C147" s="1" t="b">
        <f t="shared" si="38"/>
        <v>1</v>
      </c>
      <c r="D147" s="1" t="b">
        <f t="shared" si="38"/>
        <v>1</v>
      </c>
      <c r="E147" s="1" t="b">
        <f t="shared" si="38"/>
        <v>1</v>
      </c>
      <c r="F147" s="1" t="b">
        <f t="shared" si="38"/>
        <v>1</v>
      </c>
      <c r="G147" s="1" t="b">
        <f t="shared" si="38"/>
        <v>1</v>
      </c>
      <c r="H147" s="1" t="b">
        <f t="shared" si="38"/>
        <v>1</v>
      </c>
      <c r="I147" s="1" t="b">
        <f t="shared" si="38"/>
        <v>1</v>
      </c>
      <c r="J147" s="1" t="b">
        <f t="shared" si="38"/>
        <v>1</v>
      </c>
      <c r="K147" s="1" t="b">
        <f t="shared" si="38"/>
        <v>1</v>
      </c>
    </row>
    <row r="148" spans="1:11" x14ac:dyDescent="0.3">
      <c r="A148" s="3" t="s">
        <v>250</v>
      </c>
      <c r="B148" s="1" t="b">
        <f t="shared" ref="B148:K148" si="39">ROUND(B12,2)=ROUND(SUM(B45,B78,B111),2)</f>
        <v>1</v>
      </c>
      <c r="C148" s="1" t="b">
        <f t="shared" si="39"/>
        <v>1</v>
      </c>
      <c r="D148" s="1" t="b">
        <f t="shared" si="39"/>
        <v>1</v>
      </c>
      <c r="E148" s="1" t="b">
        <f t="shared" si="39"/>
        <v>1</v>
      </c>
      <c r="F148" s="1" t="b">
        <f t="shared" si="39"/>
        <v>1</v>
      </c>
      <c r="G148" s="1" t="b">
        <f t="shared" si="39"/>
        <v>1</v>
      </c>
      <c r="H148" s="1" t="b">
        <f t="shared" si="39"/>
        <v>1</v>
      </c>
      <c r="I148" s="1" t="b">
        <f t="shared" si="39"/>
        <v>1</v>
      </c>
      <c r="J148" s="1" t="b">
        <f t="shared" si="39"/>
        <v>1</v>
      </c>
      <c r="K148" s="1" t="b">
        <f t="shared" si="39"/>
        <v>1</v>
      </c>
    </row>
    <row r="149" spans="1:11" x14ac:dyDescent="0.3">
      <c r="A149" s="3" t="s">
        <v>251</v>
      </c>
      <c r="B149" s="1" t="b">
        <f t="shared" ref="B149:K149" si="40">ROUND(B13,2)=ROUND(SUM(B46,B79,B112),2)</f>
        <v>1</v>
      </c>
      <c r="C149" s="1" t="b">
        <f t="shared" si="40"/>
        <v>1</v>
      </c>
      <c r="D149" s="1" t="b">
        <f t="shared" si="40"/>
        <v>1</v>
      </c>
      <c r="E149" s="1" t="b">
        <f t="shared" si="40"/>
        <v>1</v>
      </c>
      <c r="F149" s="1" t="b">
        <f t="shared" si="40"/>
        <v>1</v>
      </c>
      <c r="G149" s="1" t="b">
        <f t="shared" si="40"/>
        <v>1</v>
      </c>
      <c r="H149" s="1" t="b">
        <f t="shared" si="40"/>
        <v>1</v>
      </c>
      <c r="I149" s="1" t="b">
        <f t="shared" si="40"/>
        <v>1</v>
      </c>
      <c r="J149" s="1" t="b">
        <f t="shared" si="40"/>
        <v>1</v>
      </c>
      <c r="K149" s="1" t="b">
        <f t="shared" si="40"/>
        <v>1</v>
      </c>
    </row>
    <row r="150" spans="1:11" x14ac:dyDescent="0.3">
      <c r="A150" s="3" t="s">
        <v>252</v>
      </c>
      <c r="B150" s="1" t="b">
        <f t="shared" ref="B150:K150" si="41">ROUND(B14,2)=ROUND(SUM(B47,B80,B113),2)</f>
        <v>1</v>
      </c>
      <c r="C150" s="1" t="b">
        <f t="shared" si="41"/>
        <v>1</v>
      </c>
      <c r="D150" s="1" t="b">
        <f t="shared" si="41"/>
        <v>1</v>
      </c>
      <c r="E150" s="1" t="b">
        <f t="shared" si="41"/>
        <v>1</v>
      </c>
      <c r="F150" s="1" t="b">
        <f t="shared" si="41"/>
        <v>1</v>
      </c>
      <c r="G150" s="1" t="b">
        <f t="shared" si="41"/>
        <v>1</v>
      </c>
      <c r="H150" s="1" t="b">
        <f t="shared" si="41"/>
        <v>1</v>
      </c>
      <c r="I150" s="1" t="b">
        <f t="shared" si="41"/>
        <v>1</v>
      </c>
      <c r="J150" s="1" t="b">
        <f t="shared" si="41"/>
        <v>1</v>
      </c>
      <c r="K150" s="1" t="b">
        <f t="shared" si="41"/>
        <v>1</v>
      </c>
    </row>
    <row r="151" spans="1:11" x14ac:dyDescent="0.3">
      <c r="A151" s="3" t="s">
        <v>253</v>
      </c>
      <c r="B151" s="1" t="b">
        <f t="shared" ref="B151:K151" si="42">ROUND(B15,2)=ROUND(SUM(B48,B81,B114),2)</f>
        <v>1</v>
      </c>
      <c r="C151" s="1" t="b">
        <f t="shared" si="42"/>
        <v>1</v>
      </c>
      <c r="D151" s="1" t="b">
        <f t="shared" si="42"/>
        <v>1</v>
      </c>
      <c r="E151" s="1" t="b">
        <f t="shared" si="42"/>
        <v>1</v>
      </c>
      <c r="F151" s="1" t="b">
        <f t="shared" si="42"/>
        <v>1</v>
      </c>
      <c r="G151" s="1" t="b">
        <f t="shared" si="42"/>
        <v>1</v>
      </c>
      <c r="H151" s="1" t="b">
        <f t="shared" si="42"/>
        <v>1</v>
      </c>
      <c r="I151" s="1" t="b">
        <f t="shared" si="42"/>
        <v>1</v>
      </c>
      <c r="J151" s="1" t="b">
        <f t="shared" si="42"/>
        <v>1</v>
      </c>
      <c r="K151" s="1" t="b">
        <f t="shared" si="42"/>
        <v>1</v>
      </c>
    </row>
    <row r="152" spans="1:11" x14ac:dyDescent="0.3">
      <c r="A152" s="2" t="s">
        <v>138</v>
      </c>
    </row>
    <row r="153" spans="1:11" x14ac:dyDescent="0.3">
      <c r="A153" s="3" t="s">
        <v>479</v>
      </c>
      <c r="B153" s="1" t="b">
        <f t="shared" ref="B153:K153" si="43">ROUND(B17,2)=ROUND(SUM(B50,B83,B116),2)</f>
        <v>1</v>
      </c>
      <c r="C153" s="1" t="b">
        <f t="shared" si="43"/>
        <v>1</v>
      </c>
      <c r="D153" s="1" t="b">
        <f t="shared" si="43"/>
        <v>1</v>
      </c>
      <c r="E153" s="1" t="b">
        <f t="shared" si="43"/>
        <v>1</v>
      </c>
      <c r="F153" s="1" t="b">
        <f t="shared" si="43"/>
        <v>1</v>
      </c>
      <c r="G153" s="1" t="b">
        <f t="shared" si="43"/>
        <v>1</v>
      </c>
      <c r="H153" s="1" t="b">
        <f t="shared" si="43"/>
        <v>1</v>
      </c>
      <c r="I153" s="1" t="b">
        <f t="shared" si="43"/>
        <v>1</v>
      </c>
      <c r="J153" s="1" t="b">
        <f t="shared" si="43"/>
        <v>1</v>
      </c>
      <c r="K153" s="1" t="b">
        <f t="shared" si="43"/>
        <v>1</v>
      </c>
    </row>
    <row r="154" spans="1:11" x14ac:dyDescent="0.3">
      <c r="A154" s="3" t="s">
        <v>480</v>
      </c>
      <c r="B154" s="1" t="b">
        <f t="shared" ref="B154:K154" si="44">ROUND(B19,2)=ROUND(SUM(B52,B85,B118),2)</f>
        <v>1</v>
      </c>
      <c r="C154" s="1" t="b">
        <f t="shared" si="44"/>
        <v>1</v>
      </c>
      <c r="D154" s="1" t="b">
        <f t="shared" si="44"/>
        <v>1</v>
      </c>
      <c r="E154" s="1" t="b">
        <f t="shared" si="44"/>
        <v>1</v>
      </c>
      <c r="F154" s="1" t="b">
        <f t="shared" si="44"/>
        <v>1</v>
      </c>
      <c r="G154" s="1" t="b">
        <f t="shared" si="44"/>
        <v>1</v>
      </c>
      <c r="H154" s="1" t="b">
        <f t="shared" si="44"/>
        <v>1</v>
      </c>
      <c r="I154" s="1" t="b">
        <f t="shared" si="44"/>
        <v>1</v>
      </c>
      <c r="J154" s="1" t="b">
        <f t="shared" si="44"/>
        <v>1</v>
      </c>
      <c r="K154" s="1" t="b">
        <f t="shared" si="44"/>
        <v>1</v>
      </c>
    </row>
    <row r="155" spans="1:11" x14ac:dyDescent="0.3">
      <c r="A155" s="3" t="s">
        <v>254</v>
      </c>
      <c r="B155" s="1" t="b">
        <f t="shared" ref="B155:K155" si="45">ROUND(B20,2)=ROUND(SUM(B53,B86,B119),2)</f>
        <v>1</v>
      </c>
      <c r="C155" s="1" t="b">
        <f t="shared" si="45"/>
        <v>1</v>
      </c>
      <c r="D155" s="1" t="b">
        <f t="shared" si="45"/>
        <v>1</v>
      </c>
      <c r="E155" s="1" t="b">
        <f t="shared" si="45"/>
        <v>1</v>
      </c>
      <c r="F155" s="1" t="b">
        <f t="shared" si="45"/>
        <v>1</v>
      </c>
      <c r="G155" s="1" t="b">
        <f t="shared" si="45"/>
        <v>1</v>
      </c>
      <c r="H155" s="1" t="b">
        <f t="shared" si="45"/>
        <v>1</v>
      </c>
      <c r="I155" s="1" t="b">
        <f t="shared" si="45"/>
        <v>1</v>
      </c>
      <c r="J155" s="1" t="b">
        <f t="shared" si="45"/>
        <v>1</v>
      </c>
      <c r="K155" s="1" t="b">
        <f t="shared" si="45"/>
        <v>1</v>
      </c>
    </row>
    <row r="156" spans="1:11" x14ac:dyDescent="0.3">
      <c r="A156" s="1" t="s">
        <v>263</v>
      </c>
      <c r="B156" s="1" t="b">
        <f t="shared" ref="B156:K156" si="46">ROUND(B21,2)=ROUND(SUM(B54,B87,B120),2)</f>
        <v>1</v>
      </c>
      <c r="C156" s="1" t="b">
        <f t="shared" si="46"/>
        <v>1</v>
      </c>
      <c r="D156" s="1" t="b">
        <f t="shared" si="46"/>
        <v>1</v>
      </c>
      <c r="E156" s="1" t="b">
        <f t="shared" si="46"/>
        <v>1</v>
      </c>
      <c r="F156" s="1" t="b">
        <f t="shared" si="46"/>
        <v>1</v>
      </c>
      <c r="G156" s="1" t="b">
        <f t="shared" si="46"/>
        <v>1</v>
      </c>
      <c r="H156" s="1" t="b">
        <f t="shared" si="46"/>
        <v>1</v>
      </c>
      <c r="I156" s="1" t="b">
        <f t="shared" si="46"/>
        <v>1</v>
      </c>
      <c r="J156" s="1" t="b">
        <f t="shared" si="46"/>
        <v>1</v>
      </c>
      <c r="K156" s="1" t="b">
        <f t="shared" si="46"/>
        <v>1</v>
      </c>
    </row>
    <row r="157" spans="1:11" x14ac:dyDescent="0.3">
      <c r="A157" s="1" t="s">
        <v>246</v>
      </c>
    </row>
    <row r="158" spans="1:11" x14ac:dyDescent="0.3">
      <c r="A158" s="3" t="s">
        <v>255</v>
      </c>
      <c r="B158" s="1" t="b">
        <f t="shared" ref="B158:K158" si="47">ROUND(B23,2)=ROUND(SUM(B56,B89,B122),2)</f>
        <v>1</v>
      </c>
      <c r="C158" s="1" t="b">
        <f t="shared" si="47"/>
        <v>1</v>
      </c>
      <c r="D158" s="1" t="b">
        <f t="shared" si="47"/>
        <v>1</v>
      </c>
      <c r="E158" s="1" t="b">
        <f t="shared" si="47"/>
        <v>1</v>
      </c>
      <c r="F158" s="1" t="b">
        <f t="shared" si="47"/>
        <v>1</v>
      </c>
      <c r="G158" s="1" t="b">
        <f t="shared" si="47"/>
        <v>1</v>
      </c>
      <c r="H158" s="1" t="b">
        <f t="shared" si="47"/>
        <v>1</v>
      </c>
      <c r="I158" s="1" t="b">
        <f t="shared" si="47"/>
        <v>1</v>
      </c>
      <c r="J158" s="1" t="b">
        <f t="shared" si="47"/>
        <v>1</v>
      </c>
      <c r="K158" s="1" t="b">
        <f t="shared" si="47"/>
        <v>1</v>
      </c>
    </row>
    <row r="159" spans="1:11" x14ac:dyDescent="0.3">
      <c r="A159" s="3" t="s">
        <v>256</v>
      </c>
      <c r="B159" s="1" t="b">
        <f t="shared" ref="B159:K159" si="48">ROUND(B24,2)=ROUND(SUM(B57,B90,B123),2)</f>
        <v>1</v>
      </c>
      <c r="C159" s="1" t="b">
        <f t="shared" si="48"/>
        <v>1</v>
      </c>
      <c r="D159" s="1" t="b">
        <f t="shared" si="48"/>
        <v>1</v>
      </c>
      <c r="E159" s="1" t="b">
        <f t="shared" si="48"/>
        <v>1</v>
      </c>
      <c r="F159" s="1" t="b">
        <f t="shared" si="48"/>
        <v>1</v>
      </c>
      <c r="G159" s="1" t="b">
        <f t="shared" si="48"/>
        <v>1</v>
      </c>
      <c r="H159" s="1" t="b">
        <f t="shared" si="48"/>
        <v>1</v>
      </c>
      <c r="I159" s="1" t="b">
        <f t="shared" si="48"/>
        <v>1</v>
      </c>
      <c r="J159" s="1" t="b">
        <f t="shared" si="48"/>
        <v>1</v>
      </c>
      <c r="K159" s="1" t="b">
        <f t="shared" si="48"/>
        <v>1</v>
      </c>
    </row>
    <row r="160" spans="1:11" x14ac:dyDescent="0.3">
      <c r="A160" s="3" t="s">
        <v>257</v>
      </c>
      <c r="B160" s="1" t="b">
        <f t="shared" ref="B160:K160" si="49">ROUND(B25,2)=ROUND(SUM(B58,B91,B124),2)</f>
        <v>1</v>
      </c>
      <c r="C160" s="1" t="b">
        <f t="shared" si="49"/>
        <v>1</v>
      </c>
      <c r="D160" s="1" t="b">
        <f t="shared" si="49"/>
        <v>1</v>
      </c>
      <c r="E160" s="1" t="b">
        <f t="shared" si="49"/>
        <v>1</v>
      </c>
      <c r="F160" s="1" t="b">
        <f t="shared" si="49"/>
        <v>1</v>
      </c>
      <c r="G160" s="1" t="b">
        <f t="shared" si="49"/>
        <v>1</v>
      </c>
      <c r="H160" s="1" t="b">
        <f t="shared" si="49"/>
        <v>1</v>
      </c>
      <c r="I160" s="1" t="b">
        <f t="shared" si="49"/>
        <v>1</v>
      </c>
      <c r="J160" s="1" t="b">
        <f t="shared" si="49"/>
        <v>1</v>
      </c>
      <c r="K160" s="1" t="b">
        <f t="shared" si="49"/>
        <v>1</v>
      </c>
    </row>
    <row r="161" spans="1:11" x14ac:dyDescent="0.3">
      <c r="A161" s="3" t="s">
        <v>258</v>
      </c>
      <c r="B161" s="1" t="b">
        <f t="shared" ref="B161:K161" si="50">ROUND(B27,2)=ROUND(SUM(B60,B93,B126),2)</f>
        <v>1</v>
      </c>
      <c r="C161" s="1" t="b">
        <f t="shared" si="50"/>
        <v>1</v>
      </c>
      <c r="D161" s="1" t="b">
        <f t="shared" si="50"/>
        <v>1</v>
      </c>
      <c r="E161" s="1" t="b">
        <f t="shared" si="50"/>
        <v>1</v>
      </c>
      <c r="F161" s="1" t="b">
        <f t="shared" si="50"/>
        <v>1</v>
      </c>
      <c r="G161" s="1" t="b">
        <f t="shared" si="50"/>
        <v>1</v>
      </c>
      <c r="H161" s="1" t="b">
        <f t="shared" si="50"/>
        <v>1</v>
      </c>
      <c r="I161" s="1" t="b">
        <f t="shared" si="50"/>
        <v>1</v>
      </c>
      <c r="J161" s="1" t="b">
        <f t="shared" si="50"/>
        <v>1</v>
      </c>
      <c r="K161" s="1" t="b">
        <f t="shared" si="50"/>
        <v>1</v>
      </c>
    </row>
    <row r="162" spans="1:11" x14ac:dyDescent="0.3">
      <c r="A162" s="3" t="s">
        <v>259</v>
      </c>
      <c r="B162" s="1" t="b">
        <f t="shared" ref="B162:K162" si="51">ROUND(B28,2)=ROUND(SUM(B61,B94,B127),2)</f>
        <v>1</v>
      </c>
      <c r="C162" s="1" t="b">
        <f t="shared" si="51"/>
        <v>1</v>
      </c>
      <c r="D162" s="1" t="b">
        <f t="shared" si="51"/>
        <v>1</v>
      </c>
      <c r="E162" s="1" t="b">
        <f t="shared" si="51"/>
        <v>1</v>
      </c>
      <c r="F162" s="1" t="b">
        <f t="shared" si="51"/>
        <v>1</v>
      </c>
      <c r="G162" s="1" t="b">
        <f t="shared" si="51"/>
        <v>1</v>
      </c>
      <c r="H162" s="1" t="b">
        <f t="shared" si="51"/>
        <v>1</v>
      </c>
      <c r="I162" s="1" t="b">
        <f t="shared" si="51"/>
        <v>1</v>
      </c>
      <c r="J162" s="1" t="b">
        <f t="shared" si="51"/>
        <v>1</v>
      </c>
      <c r="K162" s="1" t="b">
        <f t="shared" si="51"/>
        <v>1</v>
      </c>
    </row>
    <row r="163" spans="1:11" x14ac:dyDescent="0.3">
      <c r="A163" s="1" t="s">
        <v>260</v>
      </c>
      <c r="B163" s="1" t="b">
        <f t="shared" ref="B163:K163" si="52">ROUND(B29,2)=ROUND(SUM(B62,B95,B128),2)</f>
        <v>1</v>
      </c>
      <c r="C163" s="1" t="b">
        <f t="shared" si="52"/>
        <v>1</v>
      </c>
      <c r="D163" s="1" t="b">
        <f t="shared" si="52"/>
        <v>1</v>
      </c>
      <c r="E163" s="1" t="b">
        <f t="shared" si="52"/>
        <v>1</v>
      </c>
      <c r="F163" s="1" t="b">
        <f t="shared" si="52"/>
        <v>1</v>
      </c>
      <c r="G163" s="1" t="b">
        <f t="shared" si="52"/>
        <v>1</v>
      </c>
      <c r="H163" s="1" t="b">
        <f t="shared" si="52"/>
        <v>1</v>
      </c>
      <c r="I163" s="1" t="b">
        <f t="shared" si="52"/>
        <v>1</v>
      </c>
      <c r="J163" s="1" t="b">
        <f t="shared" si="52"/>
        <v>1</v>
      </c>
      <c r="K163" s="1" t="b">
        <f t="shared" si="52"/>
        <v>1</v>
      </c>
    </row>
    <row r="164" spans="1:11" x14ac:dyDescent="0.3">
      <c r="A164" s="1" t="s">
        <v>261</v>
      </c>
      <c r="B164" s="1" t="b">
        <f t="shared" ref="B164:K164" si="53">ROUND(B30,2)=ROUND(SUM(B63,B96,B129),2)</f>
        <v>1</v>
      </c>
      <c r="C164" s="1" t="b">
        <f t="shared" si="53"/>
        <v>1</v>
      </c>
      <c r="D164" s="1" t="b">
        <f t="shared" si="53"/>
        <v>1</v>
      </c>
      <c r="E164" s="1" t="b">
        <f t="shared" si="53"/>
        <v>1</v>
      </c>
      <c r="F164" s="1" t="b">
        <f t="shared" si="53"/>
        <v>1</v>
      </c>
      <c r="G164" s="1" t="b">
        <f t="shared" si="53"/>
        <v>1</v>
      </c>
      <c r="H164" s="1" t="b">
        <f t="shared" si="53"/>
        <v>1</v>
      </c>
      <c r="I164" s="1" t="b">
        <f t="shared" si="53"/>
        <v>1</v>
      </c>
      <c r="J164" s="1" t="b">
        <f t="shared" si="53"/>
        <v>1</v>
      </c>
      <c r="K164" s="1" t="b">
        <f t="shared" si="53"/>
        <v>1</v>
      </c>
    </row>
    <row r="165" spans="1:11" x14ac:dyDescent="0.3">
      <c r="A165" s="1" t="s">
        <v>606</v>
      </c>
      <c r="B165" s="1" t="b">
        <f t="shared" ref="B165:K165" si="54">ROUND(B31,2)=ROUND(SUM(B64,B97,B130),2)</f>
        <v>1</v>
      </c>
      <c r="C165" s="1" t="b">
        <f t="shared" si="54"/>
        <v>1</v>
      </c>
      <c r="D165" s="1" t="b">
        <f t="shared" si="54"/>
        <v>1</v>
      </c>
      <c r="E165" s="1" t="b">
        <f t="shared" si="54"/>
        <v>1</v>
      </c>
      <c r="F165" s="1" t="b">
        <f t="shared" si="54"/>
        <v>1</v>
      </c>
      <c r="G165" s="1" t="b">
        <f t="shared" si="54"/>
        <v>1</v>
      </c>
      <c r="H165" s="1" t="b">
        <f t="shared" si="54"/>
        <v>1</v>
      </c>
      <c r="I165" s="1" t="b">
        <f t="shared" si="54"/>
        <v>1</v>
      </c>
      <c r="J165" s="1" t="b">
        <f t="shared" si="54"/>
        <v>1</v>
      </c>
      <c r="K165" s="1" t="b">
        <f t="shared" si="54"/>
        <v>1</v>
      </c>
    </row>
    <row r="166" spans="1:11" x14ac:dyDescent="0.3">
      <c r="A166" s="1" t="s">
        <v>629</v>
      </c>
      <c r="B166" s="1" t="b">
        <f t="shared" ref="B166:K166" si="55">ROUND(B32,2)=ROUND(SUM(B65,B98,B131),2)</f>
        <v>1</v>
      </c>
      <c r="C166" s="1" t="b">
        <f t="shared" si="55"/>
        <v>1</v>
      </c>
      <c r="D166" s="1" t="b">
        <f t="shared" si="55"/>
        <v>1</v>
      </c>
      <c r="E166" s="1" t="b">
        <f t="shared" si="55"/>
        <v>1</v>
      </c>
      <c r="F166" s="1" t="b">
        <f t="shared" si="55"/>
        <v>1</v>
      </c>
      <c r="G166" s="1" t="b">
        <f t="shared" si="55"/>
        <v>1</v>
      </c>
      <c r="H166" s="1" t="b">
        <f t="shared" si="55"/>
        <v>1</v>
      </c>
      <c r="I166" s="1" t="b">
        <f t="shared" si="55"/>
        <v>1</v>
      </c>
      <c r="J166" s="1" t="b">
        <f t="shared" si="55"/>
        <v>1</v>
      </c>
      <c r="K166" s="1" t="b">
        <f t="shared" si="55"/>
        <v>1</v>
      </c>
    </row>
    <row r="167" spans="1:11" x14ac:dyDescent="0.3">
      <c r="A167" s="1" t="s">
        <v>632</v>
      </c>
      <c r="B167" s="1" t="b">
        <f t="shared" ref="B167:K167" si="56">ROUND(B33,2)=ROUND(SUM(B66,B99,B132),2)</f>
        <v>1</v>
      </c>
      <c r="C167" s="1" t="b">
        <f t="shared" si="56"/>
        <v>1</v>
      </c>
      <c r="D167" s="1" t="b">
        <f t="shared" si="56"/>
        <v>1</v>
      </c>
      <c r="E167" s="1" t="b">
        <f t="shared" si="56"/>
        <v>1</v>
      </c>
      <c r="F167" s="1" t="b">
        <f t="shared" si="56"/>
        <v>1</v>
      </c>
      <c r="G167" s="1" t="b">
        <f t="shared" si="56"/>
        <v>1</v>
      </c>
      <c r="H167" s="1" t="b">
        <f t="shared" si="56"/>
        <v>1</v>
      </c>
      <c r="I167" s="1" t="b">
        <f t="shared" si="56"/>
        <v>1</v>
      </c>
      <c r="J167" s="1" t="b">
        <f t="shared" si="56"/>
        <v>1</v>
      </c>
      <c r="K167" s="1" t="b">
        <f t="shared" si="56"/>
        <v>1</v>
      </c>
    </row>
    <row r="168" spans="1:11" x14ac:dyDescent="0.3">
      <c r="A168" s="1" t="s">
        <v>631</v>
      </c>
      <c r="B168" s="1" t="b">
        <f t="shared" ref="B168:K168" si="57">ROUND(B34,2)=ROUND(SUM(B67,B100,B133),2)</f>
        <v>1</v>
      </c>
      <c r="C168" s="1" t="b">
        <f t="shared" si="57"/>
        <v>1</v>
      </c>
      <c r="D168" s="1" t="b">
        <f t="shared" si="57"/>
        <v>1</v>
      </c>
      <c r="E168" s="1" t="b">
        <f t="shared" si="57"/>
        <v>1</v>
      </c>
      <c r="F168" s="1" t="b">
        <f t="shared" si="57"/>
        <v>1</v>
      </c>
      <c r="G168" s="1" t="b">
        <f t="shared" si="57"/>
        <v>1</v>
      </c>
      <c r="H168" s="1" t="b">
        <f t="shared" si="57"/>
        <v>1</v>
      </c>
      <c r="I168" s="1" t="b">
        <f t="shared" si="57"/>
        <v>1</v>
      </c>
      <c r="J168" s="1" t="b">
        <f t="shared" si="57"/>
        <v>1</v>
      </c>
      <c r="K168" s="1" t="b">
        <f t="shared" si="57"/>
        <v>1</v>
      </c>
    </row>
    <row r="169" spans="1:11" x14ac:dyDescent="0.3">
      <c r="A169" s="1" t="s">
        <v>630</v>
      </c>
      <c r="B169" s="1" t="b">
        <f t="shared" ref="B169:K169" si="58">ROUND(B35,2)=ROUND(SUM(B68,B101,B134),2)</f>
        <v>1</v>
      </c>
      <c r="C169" s="1" t="b">
        <f t="shared" si="58"/>
        <v>1</v>
      </c>
      <c r="D169" s="1" t="b">
        <f t="shared" si="58"/>
        <v>1</v>
      </c>
      <c r="E169" s="1" t="b">
        <f t="shared" si="58"/>
        <v>1</v>
      </c>
      <c r="F169" s="1" t="b">
        <f t="shared" si="58"/>
        <v>1</v>
      </c>
      <c r="G169" s="1" t="b">
        <f t="shared" si="58"/>
        <v>1</v>
      </c>
      <c r="H169" s="1" t="b">
        <f t="shared" si="58"/>
        <v>1</v>
      </c>
      <c r="I169" s="1" t="b">
        <f t="shared" si="58"/>
        <v>1</v>
      </c>
      <c r="J169" s="1" t="b">
        <f t="shared" si="58"/>
        <v>1</v>
      </c>
      <c r="K169" s="1" t="b">
        <f t="shared" si="58"/>
        <v>1</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36" max="11" man="1"/>
    <brk id="69" max="11" man="1"/>
    <brk id="102"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dimension ref="A1:M102"/>
  <sheetViews>
    <sheetView topLeftCell="A85" zoomScaleNormal="100" zoomScaleSheetLayoutView="40" workbookViewId="0">
      <selection activeCell="E21" sqref="E21"/>
    </sheetView>
  </sheetViews>
  <sheetFormatPr defaultColWidth="8.7109375" defaultRowHeight="13.5" x14ac:dyDescent="0.3"/>
  <cols>
    <col min="1" max="1" width="25.7109375" style="1" customWidth="1"/>
    <col min="2" max="11" width="9.7109375" style="1" customWidth="1"/>
    <col min="12" max="16384" width="8.7109375" style="1"/>
  </cols>
  <sheetData>
    <row r="1" spans="1:11" x14ac:dyDescent="0.3">
      <c r="A1" s="1" t="s">
        <v>610</v>
      </c>
    </row>
    <row r="2" spans="1:11" x14ac:dyDescent="0.3">
      <c r="A2" s="1" t="s">
        <v>596</v>
      </c>
    </row>
    <row r="4" spans="1:11" x14ac:dyDescent="0.3">
      <c r="A4" s="1" t="s">
        <v>536</v>
      </c>
    </row>
    <row r="5" spans="1:11" s="9" customFormat="1" ht="40.5" x14ac:dyDescent="0.25">
      <c r="B5" s="17" t="str">
        <f t="array" ref="B5:J5">TRANSPOSE(List_Classes)</f>
        <v>Residential</v>
      </c>
      <c r="C5" s="17" t="str">
        <v>Residential (S)</v>
      </c>
      <c r="D5" s="17" t="str">
        <v>Farm</v>
      </c>
      <c r="E5" s="17" t="str">
        <v>General Service 1</v>
      </c>
      <c r="F5" s="17" t="str">
        <v>General Service 1 (S)</v>
      </c>
      <c r="G5" s="17" t="str">
        <v>Small Industrial</v>
      </c>
      <c r="H5" s="17" t="str">
        <v>Large Industrial</v>
      </c>
      <c r="I5" s="17" t="str">
        <v>Lights</v>
      </c>
      <c r="J5" s="17" t="str">
        <v>Unmetered</v>
      </c>
      <c r="K5" s="17" t="s">
        <v>214</v>
      </c>
    </row>
    <row r="6" spans="1:11" x14ac:dyDescent="0.3">
      <c r="A6" s="1" t="str">
        <f t="array" ref="A6:A21">List_Functions</f>
        <v>Generation</v>
      </c>
      <c r="B6" s="1">
        <f>'2.0'!B6*$K6</f>
        <v>6913211.5590925422</v>
      </c>
      <c r="C6" s="1">
        <f>'2.0'!C6*$K6</f>
        <v>162057.23040507166</v>
      </c>
      <c r="D6" s="1">
        <f>'2.0'!D6*$K6</f>
        <v>297181.86604487651</v>
      </c>
      <c r="E6" s="1">
        <f>'2.0'!E6*$K6</f>
        <v>2579263.085511338</v>
      </c>
      <c r="F6" s="1">
        <f>'2.0'!F6*$K6</f>
        <v>27090.019256852829</v>
      </c>
      <c r="G6" s="1">
        <f>'2.0'!G6*$K6</f>
        <v>745604.04453582317</v>
      </c>
      <c r="H6" s="1">
        <f>'2.0'!H6*$K6</f>
        <v>851286.16611307592</v>
      </c>
      <c r="I6" s="1">
        <f>'2.0'!I6*$K6</f>
        <v>33402.155498965614</v>
      </c>
      <c r="J6" s="1">
        <f>'2.0'!J6*$K6</f>
        <v>14856.371254552025</v>
      </c>
      <c r="K6" s="1">
        <f t="array" ref="K6:K21">TRANSPOSE('3.0'!B35:Q35)</f>
        <v>11623952.497713098</v>
      </c>
    </row>
    <row r="7" spans="1:11" x14ac:dyDescent="0.3">
      <c r="A7" s="1" t="str">
        <v>Purchased Power</v>
      </c>
      <c r="B7" s="1">
        <f>'2.0'!B7*$K7</f>
        <v>74065384.506604463</v>
      </c>
      <c r="C7" s="1">
        <f>'2.0'!C7*$K7</f>
        <v>2384652.8019875851</v>
      </c>
      <c r="D7" s="1">
        <f>'2.0'!D7*$K7</f>
        <v>4366583.4649754725</v>
      </c>
      <c r="E7" s="1">
        <f>'2.0'!E7*$K7</f>
        <v>36884490.568526536</v>
      </c>
      <c r="F7" s="1">
        <f>'2.0'!F7*$K7</f>
        <v>803874.28025193827</v>
      </c>
      <c r="G7" s="1">
        <f>'2.0'!G7*$K7</f>
        <v>8867867.3243869804</v>
      </c>
      <c r="H7" s="1">
        <f>'2.0'!H7*$K7</f>
        <v>13333232.646452911</v>
      </c>
      <c r="I7" s="1">
        <f>'2.0'!I7*$K7</f>
        <v>383878.36875464948</v>
      </c>
      <c r="J7" s="1">
        <f>'2.0'!J7*$K7</f>
        <v>230015.1988532845</v>
      </c>
      <c r="K7" s="1">
        <v>141319979.16079384</v>
      </c>
    </row>
    <row r="8" spans="1:11" x14ac:dyDescent="0.3">
      <c r="A8" s="1" t="str">
        <v>Transmission</v>
      </c>
      <c r="B8" s="1">
        <f>'2.0'!B8*$K8</f>
        <v>13488345.260029448</v>
      </c>
      <c r="C8" s="1">
        <f>'2.0'!C8*$K8</f>
        <v>251612.52367874573</v>
      </c>
      <c r="D8" s="1">
        <f>'2.0'!D8*$K8</f>
        <v>462032.63561419566</v>
      </c>
      <c r="E8" s="1">
        <f>'2.0'!E8*$K8</f>
        <v>4106639.7438972793</v>
      </c>
      <c r="F8" s="1">
        <f>'2.0'!F8*$K8</f>
        <v>1723.7805780022741</v>
      </c>
      <c r="G8" s="1">
        <f>'2.0'!G8*$K8</f>
        <v>1367136.3204845621</v>
      </c>
      <c r="H8" s="1">
        <f>'2.0'!H8*$K8</f>
        <v>1144174.2188264059</v>
      </c>
      <c r="I8" s="1">
        <f>'2.0'!I8*$K8</f>
        <v>62591.067194358431</v>
      </c>
      <c r="J8" s="1">
        <f>'2.0'!J8*$K8</f>
        <v>21933.62183733928</v>
      </c>
      <c r="K8" s="1">
        <v>20906189.172140338</v>
      </c>
    </row>
    <row r="9" spans="1:11" x14ac:dyDescent="0.3">
      <c r="A9" s="1" t="str">
        <v>Substations</v>
      </c>
      <c r="B9" s="1">
        <f>'2.0'!B9*$K9</f>
        <v>4851941.1038724715</v>
      </c>
      <c r="C9" s="1">
        <f>'2.0'!C9*$K9</f>
        <v>90508.444316269408</v>
      </c>
      <c r="D9" s="1">
        <f>'2.0'!D9*$K9</f>
        <v>166199.41830152663</v>
      </c>
      <c r="E9" s="1">
        <f>'2.0'!E9*$K9</f>
        <v>1477214.1273145336</v>
      </c>
      <c r="F9" s="1">
        <f>'2.0'!F9*$K9</f>
        <v>620.06730100916911</v>
      </c>
      <c r="G9" s="1">
        <f>'2.0'!G9*$K9</f>
        <v>491777.51459347893</v>
      </c>
      <c r="H9" s="1">
        <f>'2.0'!H9*$K9</f>
        <v>102503.53934613644</v>
      </c>
      <c r="I9" s="1">
        <f>'2.0'!I9*$K9</f>
        <v>22514.857515953623</v>
      </c>
      <c r="J9" s="1">
        <f>'2.0'!J9*$K9</f>
        <v>7889.8218645649458</v>
      </c>
      <c r="K9" s="1">
        <v>7211168.8944259444</v>
      </c>
    </row>
    <row r="10" spans="1:11" x14ac:dyDescent="0.3">
      <c r="A10" s="1" t="str">
        <v>Primary Lines</v>
      </c>
      <c r="B10" s="1">
        <f>'2.0'!B10*$K10</f>
        <v>16047137.645898126</v>
      </c>
      <c r="C10" s="1">
        <f>'2.0'!C10*$K10</f>
        <v>1258206.1704890241</v>
      </c>
      <c r="D10" s="1">
        <f>'2.0'!D10*$K10</f>
        <v>457592.89284482121</v>
      </c>
      <c r="E10" s="1">
        <f>'2.0'!E10*$K10</f>
        <v>3492399.1764428928</v>
      </c>
      <c r="F10" s="1">
        <f>'2.0'!F10*$K10</f>
        <v>339863.07482803095</v>
      </c>
      <c r="G10" s="1">
        <f>'2.0'!G10*$K10</f>
        <v>964670.2713354174</v>
      </c>
      <c r="H10" s="1">
        <f>'2.0'!H10*$K10</f>
        <v>318055.94651877217</v>
      </c>
      <c r="I10" s="1">
        <f>'2.0'!I10*$K10</f>
        <v>702319.70969210402</v>
      </c>
      <c r="J10" s="1">
        <f>'2.0'!J10*$K10</f>
        <v>50975.309019754175</v>
      </c>
      <c r="K10" s="1">
        <v>23631220.197068945</v>
      </c>
    </row>
    <row r="11" spans="1:11" x14ac:dyDescent="0.3">
      <c r="A11" s="1" t="str">
        <v>Transformers</v>
      </c>
      <c r="B11" s="1">
        <f>'2.0'!B11*$K11</f>
        <v>10923754.295375757</v>
      </c>
      <c r="C11" s="1">
        <f>'2.0'!C11*$K11</f>
        <v>764535.22986481199</v>
      </c>
      <c r="D11" s="1">
        <f>'2.0'!D11*$K11</f>
        <v>361685.9612993538</v>
      </c>
      <c r="E11" s="1">
        <f>'2.0'!E11*$K11</f>
        <v>2616209.1618671669</v>
      </c>
      <c r="F11" s="1">
        <f>'2.0'!F11*$K11</f>
        <v>222802.06159821071</v>
      </c>
      <c r="G11" s="1">
        <f>'2.0'!G11*$K11</f>
        <v>791789.46311724023</v>
      </c>
      <c r="H11" s="1">
        <f>'2.0'!H11*$K11</f>
        <v>264153.30707647116</v>
      </c>
      <c r="I11" s="1">
        <f>'2.0'!I11*$K11</f>
        <v>398786.04222254828</v>
      </c>
      <c r="J11" s="1">
        <f>'2.0'!J11*$K11</f>
        <v>31586.232475655517</v>
      </c>
      <c r="K11" s="1">
        <v>16375301.754897214</v>
      </c>
    </row>
    <row r="12" spans="1:11" x14ac:dyDescent="0.3">
      <c r="A12" s="1" t="str">
        <v>Secondary Lines</v>
      </c>
      <c r="B12" s="1">
        <f>'2.0'!B12*$K12</f>
        <v>5583476.8817513166</v>
      </c>
      <c r="C12" s="1">
        <f>'2.0'!C12*$K12</f>
        <v>437787.32363511476</v>
      </c>
      <c r="D12" s="1">
        <f>'2.0'!D12*$K12</f>
        <v>159216.57065847458</v>
      </c>
      <c r="E12" s="1">
        <f>'2.0'!E12*$K12</f>
        <v>1215153.2922415785</v>
      </c>
      <c r="F12" s="1">
        <f>'2.0'!F12*$K12</f>
        <v>118244.82409367715</v>
      </c>
      <c r="G12" s="1">
        <f>'2.0'!G12*$K12</f>
        <v>335648.76453951362</v>
      </c>
      <c r="H12" s="1">
        <f>'2.0'!H12*$K12</f>
        <v>110620.38475667503</v>
      </c>
      <c r="I12" s="1">
        <f>'2.0'!I12*$K12</f>
        <v>244374.15862561579</v>
      </c>
      <c r="J12" s="1">
        <f>'2.0'!J12*$K12</f>
        <v>17726.55031825028</v>
      </c>
      <c r="K12" s="1">
        <v>8222248.7506202161</v>
      </c>
    </row>
    <row r="13" spans="1:11" x14ac:dyDescent="0.3">
      <c r="A13" s="1" t="str">
        <v>Service Lines</v>
      </c>
      <c r="B13" s="1">
        <f>'2.0'!B13*$K13</f>
        <v>5247012.2221051324</v>
      </c>
      <c r="C13" s="1">
        <f>'2.0'!C13*$K13</f>
        <v>719732.8005484828</v>
      </c>
      <c r="D13" s="1">
        <f>'2.0'!D13*$K13</f>
        <v>48031.832007632838</v>
      </c>
      <c r="E13" s="1">
        <f>'2.0'!E13*$K13</f>
        <v>692365.82649762218</v>
      </c>
      <c r="F13" s="1">
        <f>'2.0'!F13*$K13</f>
        <v>171834.80985676401</v>
      </c>
      <c r="G13" s="1">
        <f>'2.0'!G13*$K13</f>
        <v>69069.029747410023</v>
      </c>
      <c r="H13" s="1">
        <f>'2.0'!H13*$K13</f>
        <v>6143.6064195809449</v>
      </c>
      <c r="I13" s="1">
        <f>'2.0'!I13*$K13</f>
        <v>274042.08029161062</v>
      </c>
      <c r="J13" s="1">
        <f>'2.0'!J13*$K13</f>
        <v>16010.610669210946</v>
      </c>
      <c r="K13" s="1">
        <v>7244242.818143446</v>
      </c>
    </row>
    <row r="14" spans="1:11" x14ac:dyDescent="0.3">
      <c r="A14" s="1" t="str">
        <v>Meter Assets</v>
      </c>
      <c r="B14" s="1">
        <f>'2.0'!B14*$K14</f>
        <v>1408636.5257082109</v>
      </c>
      <c r="C14" s="1">
        <f>'2.0'!C14*$K14</f>
        <v>163765.94603984512</v>
      </c>
      <c r="D14" s="1">
        <f>'2.0'!D14*$K14</f>
        <v>10806.889840192825</v>
      </c>
      <c r="E14" s="1">
        <f>'2.0'!E14*$K14</f>
        <v>842937.4075350404</v>
      </c>
      <c r="F14" s="1">
        <f>'2.0'!F14*$K14</f>
        <v>174988.48548927615</v>
      </c>
      <c r="G14" s="1">
        <f>'2.0'!G14*$K14</f>
        <v>30342.421474387549</v>
      </c>
      <c r="H14" s="1">
        <f>'2.0'!H14*$K14</f>
        <v>15794.685151051053</v>
      </c>
      <c r="I14" s="1">
        <f>'2.0'!I14*$K14</f>
        <v>0</v>
      </c>
      <c r="J14" s="1">
        <f>'2.0'!J14*$K14</f>
        <v>0</v>
      </c>
      <c r="K14" s="1">
        <v>2647272.3612380042</v>
      </c>
    </row>
    <row r="15" spans="1:11" x14ac:dyDescent="0.3">
      <c r="A15" s="1" t="str">
        <v>Meter Reading</v>
      </c>
      <c r="B15" s="1">
        <f>'2.0'!B15*$K15</f>
        <v>1176338.6761471634</v>
      </c>
      <c r="C15" s="1">
        <f>'2.0'!C15*$K15</f>
        <v>79879.49160630093</v>
      </c>
      <c r="D15" s="1">
        <f>'2.0'!D15*$K15</f>
        <v>9150.3234167080445</v>
      </c>
      <c r="E15" s="1">
        <f>'2.0'!E15*$K15</f>
        <v>139927.38284815048</v>
      </c>
      <c r="F15" s="1">
        <f>'2.0'!F15*$K15</f>
        <v>14530.784381271382</v>
      </c>
      <c r="G15" s="1">
        <f>'2.0'!G15*$K15</f>
        <v>5044.182154278129</v>
      </c>
      <c r="H15" s="1">
        <f>'2.0'!H15*$K15</f>
        <v>619.46096631485796</v>
      </c>
      <c r="I15" s="1">
        <f>'2.0'!I15*$K15</f>
        <v>0</v>
      </c>
      <c r="J15" s="1">
        <f>'2.0'!J15*$K15</f>
        <v>0</v>
      </c>
      <c r="K15" s="1">
        <v>1425490.3015201872</v>
      </c>
    </row>
    <row r="16" spans="1:11" x14ac:dyDescent="0.3">
      <c r="A16" s="1" t="str">
        <v>Billing</v>
      </c>
      <c r="B16" s="1">
        <f>'2.0'!B16*$K16</f>
        <v>851666.76118856226</v>
      </c>
      <c r="C16" s="1">
        <f>'2.0'!C16*$K16</f>
        <v>57832.586211095913</v>
      </c>
      <c r="D16" s="1">
        <f>'2.0'!D16*$K16</f>
        <v>6624.8151711375585</v>
      </c>
      <c r="E16" s="1">
        <f>'2.0'!E16*$K16</f>
        <v>101307.13489944591</v>
      </c>
      <c r="F16" s="1">
        <f>'2.0'!F16*$K16</f>
        <v>10520.257747589818</v>
      </c>
      <c r="G16" s="1">
        <f>'2.0'!G16*$K16</f>
        <v>3651.9774154239926</v>
      </c>
      <c r="H16" s="1">
        <f>'2.0'!H16*$K16</f>
        <v>2242.4422726287671</v>
      </c>
      <c r="I16" s="1">
        <f>'2.0'!I16*$K16</f>
        <v>3993.6829045864715</v>
      </c>
      <c r="J16" s="1">
        <f>'2.0'!J16*$K16</f>
        <v>49333.729997832888</v>
      </c>
      <c r="K16" s="1">
        <v>1087173.3878083036</v>
      </c>
    </row>
    <row r="17" spans="1:11" x14ac:dyDescent="0.3">
      <c r="A17" s="1" t="str">
        <v>Remittance &amp; Collection</v>
      </c>
      <c r="B17" s="1">
        <f>'2.0'!B17*$K17</f>
        <v>688564.34013199038</v>
      </c>
      <c r="C17" s="1">
        <f>'2.0'!C17*$K17</f>
        <v>46757.086664972107</v>
      </c>
      <c r="D17" s="1">
        <f>'2.0'!D17*$K17</f>
        <v>5356.0989986795712</v>
      </c>
      <c r="E17" s="1">
        <f>'2.0'!E17*$K17</f>
        <v>81905.838846345621</v>
      </c>
      <c r="F17" s="1">
        <f>'2.0'!F17*$K17</f>
        <v>8505.5266497406737</v>
      </c>
      <c r="G17" s="1">
        <f>'2.0'!G17*$K17</f>
        <v>2952.5884228697832</v>
      </c>
      <c r="H17" s="1">
        <f>'2.0'!H17*$K17</f>
        <v>72.519715649433266</v>
      </c>
      <c r="I17" s="1">
        <f>'2.0'!I17*$K17</f>
        <v>4391.9321125213928</v>
      </c>
      <c r="J17" s="1">
        <f>'2.0'!J17*$K17</f>
        <v>3066.5479760331787</v>
      </c>
      <c r="K17" s="1">
        <v>841572.47951880214</v>
      </c>
    </row>
    <row r="18" spans="1:11" x14ac:dyDescent="0.3">
      <c r="A18" s="1" t="str">
        <v>Uncollectibles &amp; Damage Claims</v>
      </c>
      <c r="B18" s="1">
        <f>'2.0'!B18*$K18</f>
        <v>337299.25683073915</v>
      </c>
      <c r="C18" s="1">
        <f>'2.0'!C18*$K18</f>
        <v>39264.629725858038</v>
      </c>
      <c r="D18" s="1">
        <f>'2.0'!D18*$K18</f>
        <v>2623.7318816425759</v>
      </c>
      <c r="E18" s="1">
        <f>'2.0'!E18*$K18</f>
        <v>40122.290631075826</v>
      </c>
      <c r="F18" s="1">
        <f>'2.0'!F18*$K18</f>
        <v>8333.0130554296102</v>
      </c>
      <c r="G18" s="1">
        <f>'2.0'!G18*$K18</f>
        <v>0</v>
      </c>
      <c r="H18" s="1">
        <f>'2.0'!H18*$K18</f>
        <v>0</v>
      </c>
      <c r="I18" s="1">
        <f>'2.0'!I18*$K18</f>
        <v>0</v>
      </c>
      <c r="J18" s="1">
        <f>'2.0'!J18*$K18</f>
        <v>0</v>
      </c>
      <c r="K18" s="1">
        <v>427642.92212474521</v>
      </c>
    </row>
    <row r="19" spans="1:11" x14ac:dyDescent="0.3">
      <c r="A19" s="1" t="str">
        <v>Service Connections</v>
      </c>
      <c r="B19" s="1">
        <f>'2.0'!B19*$K19</f>
        <v>-242257.12951231014</v>
      </c>
      <c r="C19" s="1">
        <f>'2.0'!C19*$K19</f>
        <v>-19477.960161793784</v>
      </c>
      <c r="D19" s="1">
        <f>'2.0'!D19*$K19</f>
        <v>0</v>
      </c>
      <c r="E19" s="1">
        <f>'2.0'!E19*$K19</f>
        <v>-18869.273906737726</v>
      </c>
      <c r="F19" s="1">
        <f>'2.0'!F19*$K19</f>
        <v>-3652.1175303363339</v>
      </c>
      <c r="G19" s="1">
        <f>'2.0'!G19*$K19</f>
        <v>0</v>
      </c>
      <c r="H19" s="1">
        <f>'2.0'!H19*$K19</f>
        <v>0</v>
      </c>
      <c r="I19" s="1">
        <f>'2.0'!I19*$K19</f>
        <v>0</v>
      </c>
      <c r="J19" s="1">
        <f>'2.0'!J19*$K19</f>
        <v>0</v>
      </c>
      <c r="K19" s="1">
        <v>-284256.481111178</v>
      </c>
    </row>
    <row r="20" spans="1:11" x14ac:dyDescent="0.3">
      <c r="A20" s="1" t="str">
        <v>Late Payments</v>
      </c>
      <c r="B20" s="1">
        <f>'2.0'!B20*$K20</f>
        <v>-465907.46942032152</v>
      </c>
      <c r="C20" s="1">
        <f>'2.0'!C20*$K20</f>
        <v>-15433.787806884357</v>
      </c>
      <c r="D20" s="1">
        <f>'2.0'!D20*$K20</f>
        <v>-9646.1173793027228</v>
      </c>
      <c r="E20" s="1">
        <f>'2.0'!E20*$K20</f>
        <v>-78133.550772352057</v>
      </c>
      <c r="F20" s="1">
        <f>'2.0'!F20*$K20</f>
        <v>-4823.0586896513614</v>
      </c>
      <c r="G20" s="1">
        <f>'2.0'!G20*$K20</f>
        <v>-26044.51692411735</v>
      </c>
      <c r="H20" s="1">
        <f>'2.0'!H20*$K20</f>
        <v>0</v>
      </c>
      <c r="I20" s="1">
        <f>'2.0'!I20*$K20</f>
        <v>-964.61173793027228</v>
      </c>
      <c r="J20" s="1">
        <f>'2.0'!J20*$K20</f>
        <v>0</v>
      </c>
      <c r="K20" s="1">
        <v>-600953.11273055966</v>
      </c>
    </row>
    <row r="21" spans="1:11" x14ac:dyDescent="0.3">
      <c r="A21" s="1" t="str">
        <v>Lighting</v>
      </c>
      <c r="B21" s="1">
        <f>'2.0'!B21*$K21</f>
        <v>0</v>
      </c>
      <c r="C21" s="1">
        <f>'2.0'!C21*$K21</f>
        <v>0</v>
      </c>
      <c r="D21" s="1">
        <f>'2.0'!D21*$K21</f>
        <v>0</v>
      </c>
      <c r="E21" s="1">
        <f>'2.0'!E21*$K21</f>
        <v>0</v>
      </c>
      <c r="F21" s="1">
        <f>'2.0'!F21*$K21</f>
        <v>0</v>
      </c>
      <c r="G21" s="1">
        <f>'2.0'!G21*$K21</f>
        <v>0</v>
      </c>
      <c r="H21" s="1">
        <f>'2.0'!H21*$K21</f>
        <v>0</v>
      </c>
      <c r="I21" s="1">
        <f>'2.0'!I21*$K21</f>
        <v>1270445.8658286724</v>
      </c>
      <c r="J21" s="1">
        <f>'2.0'!J21*$K21</f>
        <v>0</v>
      </c>
      <c r="K21" s="1">
        <v>1270445.8658286724</v>
      </c>
    </row>
    <row r="22" spans="1:11" x14ac:dyDescent="0.3">
      <c r="A22" s="2" t="s">
        <v>214</v>
      </c>
      <c r="B22" s="1">
        <f t="shared" ref="B22:J22" si="0">SUBTOTAL(9,B6:B21)</f>
        <v>140874604.43580332</v>
      </c>
      <c r="C22" s="1">
        <f t="shared" si="0"/>
        <v>6421680.5172044979</v>
      </c>
      <c r="D22" s="1">
        <f t="shared" si="0"/>
        <v>6343440.3836754113</v>
      </c>
      <c r="E22" s="1">
        <f t="shared" si="0"/>
        <v>54172932.212379918</v>
      </c>
      <c r="F22" s="1">
        <f t="shared" si="0"/>
        <v>1894455.8088678054</v>
      </c>
      <c r="G22" s="1">
        <f t="shared" si="0"/>
        <v>13649509.385283267</v>
      </c>
      <c r="H22" s="1">
        <f t="shared" si="0"/>
        <v>16148898.923615674</v>
      </c>
      <c r="I22" s="1">
        <f t="shared" si="0"/>
        <v>3399775.308903656</v>
      </c>
      <c r="J22" s="1">
        <f t="shared" si="0"/>
        <v>443393.99426647776</v>
      </c>
      <c r="K22" s="1">
        <f>SUM(K6:K21)</f>
        <v>243348690.97</v>
      </c>
    </row>
    <row r="24" spans="1:11" x14ac:dyDescent="0.3">
      <c r="A24" s="1" t="s">
        <v>537</v>
      </c>
    </row>
    <row r="25" spans="1:11" s="9" customFormat="1" ht="40.5" x14ac:dyDescent="0.25">
      <c r="B25" s="17" t="str">
        <f t="array" ref="B25:J25">TRANSPOSE(List_Classes)</f>
        <v>Residential</v>
      </c>
      <c r="C25" s="17" t="str">
        <v>Residential (S)</v>
      </c>
      <c r="D25" s="17" t="str">
        <v>Farm</v>
      </c>
      <c r="E25" s="17" t="str">
        <v>General Service 1</v>
      </c>
      <c r="F25" s="17" t="str">
        <v>General Service 1 (S)</v>
      </c>
      <c r="G25" s="17" t="str">
        <v>Small Industrial</v>
      </c>
      <c r="H25" s="17" t="str">
        <v>Large Industrial</v>
      </c>
      <c r="I25" s="17" t="str">
        <v>Lights</v>
      </c>
      <c r="J25" s="17" t="str">
        <v>Unmetered</v>
      </c>
      <c r="K25" s="17" t="s">
        <v>214</v>
      </c>
    </row>
    <row r="26" spans="1:11" x14ac:dyDescent="0.3">
      <c r="A26" s="1" t="str">
        <f t="array" ref="A26:A41">List_Functions</f>
        <v>Generation</v>
      </c>
      <c r="B26" s="1">
        <f>'2.0'!B25*$K26</f>
        <v>4964019.6656257901</v>
      </c>
      <c r="C26" s="1">
        <f>'2.0'!C25*$K26</f>
        <v>92594.047101773031</v>
      </c>
      <c r="D26" s="1">
        <f>'2.0'!D25*$K26</f>
        <v>170034.78005105376</v>
      </c>
      <c r="E26" s="1">
        <f>'2.0'!E25*$K26</f>
        <v>1511339.1823421987</v>
      </c>
      <c r="F26" s="1">
        <f>'2.0'!F25*$K26</f>
        <v>622.44491561228972</v>
      </c>
      <c r="G26" s="1">
        <f>'2.0'!G25*$K26</f>
        <v>503128.66437474778</v>
      </c>
      <c r="H26" s="1">
        <f>'2.0'!H25*$K26</f>
        <v>421073.25360282406</v>
      </c>
      <c r="I26" s="1">
        <f>'2.0'!I25*$K26</f>
        <v>23030.461877654718</v>
      </c>
      <c r="J26" s="1">
        <f>'2.0'!J25*$K26</f>
        <v>8070.3202851800334</v>
      </c>
      <c r="K26" s="1">
        <f t="array" ref="K26:K41">TRANSPOSE('3.0'!B68:Q68)</f>
        <v>7693912.8201768352</v>
      </c>
    </row>
    <row r="27" spans="1:11" x14ac:dyDescent="0.3">
      <c r="A27" s="1" t="str">
        <v>Purchased Power</v>
      </c>
      <c r="B27" s="1">
        <f>'2.0'!B26*$K27</f>
        <v>15002989.75326805</v>
      </c>
      <c r="C27" s="1">
        <f>'2.0'!C26*$K27</f>
        <v>279851.33691173478</v>
      </c>
      <c r="D27" s="1">
        <f>'2.0'!D26*$K27</f>
        <v>513904.10083791439</v>
      </c>
      <c r="E27" s="1">
        <f>'2.0'!E26*$K27</f>
        <v>4525366.078572697</v>
      </c>
      <c r="F27" s="1">
        <f>'2.0'!F26*$K27</f>
        <v>1881.2444994066545</v>
      </c>
      <c r="G27" s="1">
        <f>'2.0'!G26*$K27</f>
        <v>1520629.3900203928</v>
      </c>
      <c r="H27" s="1">
        <f>'2.0'!H26*$K27</f>
        <v>297366.37190621055</v>
      </c>
      <c r="I27" s="1">
        <f>'2.0'!I26*$K27</f>
        <v>69606.046478046235</v>
      </c>
      <c r="J27" s="1">
        <f>'2.0'!J26*$K27</f>
        <v>24391.307992306971</v>
      </c>
      <c r="K27" s="1">
        <v>22235985.63048676</v>
      </c>
    </row>
    <row r="28" spans="1:11" x14ac:dyDescent="0.3">
      <c r="A28" s="1" t="str">
        <v>Transmission</v>
      </c>
      <c r="B28" s="1">
        <f>'2.0'!B27*$K28</f>
        <v>13488345.260029448</v>
      </c>
      <c r="C28" s="1">
        <f>'2.0'!C27*$K28</f>
        <v>251612.52367874573</v>
      </c>
      <c r="D28" s="1">
        <f>'2.0'!D27*$K28</f>
        <v>462032.63561419566</v>
      </c>
      <c r="E28" s="1">
        <f>'2.0'!E27*$K28</f>
        <v>4106639.7438972793</v>
      </c>
      <c r="F28" s="1">
        <f>'2.0'!F27*$K28</f>
        <v>1723.7805780022741</v>
      </c>
      <c r="G28" s="1">
        <f>'2.0'!G27*$K28</f>
        <v>1367136.3204845621</v>
      </c>
      <c r="H28" s="1">
        <f>'2.0'!H27*$K28</f>
        <v>1144174.2188264059</v>
      </c>
      <c r="I28" s="1">
        <f>'2.0'!I27*$K28</f>
        <v>62591.067194358431</v>
      </c>
      <c r="J28" s="1">
        <f>'2.0'!J27*$K28</f>
        <v>21933.62183733928</v>
      </c>
      <c r="K28" s="1">
        <v>20906189.172140338</v>
      </c>
    </row>
    <row r="29" spans="1:11" x14ac:dyDescent="0.3">
      <c r="A29" s="1" t="str">
        <v>Substations</v>
      </c>
      <c r="B29" s="1">
        <f>'2.0'!B28*$K29</f>
        <v>4851941.1038724715</v>
      </c>
      <c r="C29" s="1">
        <f>'2.0'!C28*$K29</f>
        <v>90508.444316269408</v>
      </c>
      <c r="D29" s="1">
        <f>'2.0'!D28*$K29</f>
        <v>166199.41830152663</v>
      </c>
      <c r="E29" s="1">
        <f>'2.0'!E28*$K29</f>
        <v>1477214.1273145336</v>
      </c>
      <c r="F29" s="1">
        <f>'2.0'!F28*$K29</f>
        <v>620.06730100916911</v>
      </c>
      <c r="G29" s="1">
        <f>'2.0'!G28*$K29</f>
        <v>491777.51459347893</v>
      </c>
      <c r="H29" s="1">
        <f>'2.0'!H28*$K29</f>
        <v>102503.53934613644</v>
      </c>
      <c r="I29" s="1">
        <f>'2.0'!I28*$K29</f>
        <v>22514.857515953623</v>
      </c>
      <c r="J29" s="1">
        <f>'2.0'!J28*$K29</f>
        <v>7889.8218645649458</v>
      </c>
      <c r="K29" s="1">
        <v>7211168.8944259444</v>
      </c>
    </row>
    <row r="30" spans="1:11" x14ac:dyDescent="0.3">
      <c r="A30" s="1" t="str">
        <v>Primary Lines</v>
      </c>
      <c r="B30" s="1">
        <f>'2.0'!B29*$K30</f>
        <v>7315736.3571784394</v>
      </c>
      <c r="C30" s="1">
        <f>'2.0'!C29*$K30</f>
        <v>241793.4994065701</v>
      </c>
      <c r="D30" s="1">
        <f>'2.0'!D29*$K30</f>
        <v>389674.40364362835</v>
      </c>
      <c r="E30" s="1">
        <f>'2.0'!E29*$K30</f>
        <v>2453784.910244382</v>
      </c>
      <c r="F30" s="1">
        <f>'2.0'!F29*$K30</f>
        <v>124152.90216196021</v>
      </c>
      <c r="G30" s="1">
        <f>'2.0'!G29*$K30</f>
        <v>927229.71152431506</v>
      </c>
      <c r="H30" s="1">
        <f>'2.0'!H29*$K30</f>
        <v>317136.35382165737</v>
      </c>
      <c r="I30" s="1">
        <f>'2.0'!I29*$K30</f>
        <v>34012.28558319086</v>
      </c>
      <c r="J30" s="1">
        <f>'2.0'!J29*$K30</f>
        <v>12089.674970328508</v>
      </c>
      <c r="K30" s="1">
        <v>11815610.098534472</v>
      </c>
    </row>
    <row r="31" spans="1:11" x14ac:dyDescent="0.3">
      <c r="A31" s="1" t="str">
        <v>Transformers</v>
      </c>
      <c r="B31" s="1">
        <f>'2.0'!B30*$K31</f>
        <v>6083346.7541984469</v>
      </c>
      <c r="C31" s="1">
        <f>'2.0'!C30*$K31</f>
        <v>201068.7947106107</v>
      </c>
      <c r="D31" s="1">
        <f>'2.0'!D30*$K31</f>
        <v>324034.13927858055</v>
      </c>
      <c r="E31" s="1">
        <f>'2.0'!E30*$K31</f>
        <v>2040434.8777351882</v>
      </c>
      <c r="F31" s="1">
        <f>'2.0'!F30*$K31</f>
        <v>103219.29224016513</v>
      </c>
      <c r="G31" s="1">
        <f>'2.0'!G30*$K31</f>
        <v>771033.62312513113</v>
      </c>
      <c r="H31" s="1">
        <f>'2.0'!H30*$K31</f>
        <v>263716.34202400572</v>
      </c>
      <c r="I31" s="1">
        <f>'2.0'!I30*$K31</f>
        <v>28297.939738839657</v>
      </c>
      <c r="J31" s="1">
        <f>'2.0'!J30*$K31</f>
        <v>10029.289887359839</v>
      </c>
      <c r="K31" s="1">
        <v>9825181.0529383272</v>
      </c>
    </row>
    <row r="32" spans="1:11" x14ac:dyDescent="0.3">
      <c r="A32" s="1" t="str">
        <v>Secondary Lines</v>
      </c>
      <c r="B32" s="1">
        <f>'2.0'!B31*$K32</f>
        <v>2545438.602087595</v>
      </c>
      <c r="C32" s="1">
        <f>'2.0'!C31*$K32</f>
        <v>84132.680975055046</v>
      </c>
      <c r="D32" s="1">
        <f>'2.0'!D31*$K32</f>
        <v>135584.74304373362</v>
      </c>
      <c r="E32" s="1">
        <f>'2.0'!E31*$K32</f>
        <v>853773.73881383752</v>
      </c>
      <c r="F32" s="1">
        <f>'2.0'!F31*$K32</f>
        <v>43189.773913010453</v>
      </c>
      <c r="G32" s="1">
        <f>'2.0'!G31*$K32</f>
        <v>322621.54815614579</v>
      </c>
      <c r="H32" s="1">
        <f>'2.0'!H31*$K32</f>
        <v>110346.12756965676</v>
      </c>
      <c r="I32" s="1">
        <f>'2.0'!I31*$K32</f>
        <v>11840.631659058192</v>
      </c>
      <c r="J32" s="1">
        <f>'2.0'!J31*$K32</f>
        <v>4196.5290920156049</v>
      </c>
      <c r="K32" s="1">
        <v>4111124.3753101081</v>
      </c>
    </row>
    <row r="33" spans="1:13" x14ac:dyDescent="0.3">
      <c r="A33" s="1" t="str">
        <v>Service Lines</v>
      </c>
      <c r="B33" s="1">
        <f>'2.0'!B32*$K33</f>
        <v>0</v>
      </c>
      <c r="C33" s="1">
        <f>'2.0'!C32*$K33</f>
        <v>0</v>
      </c>
      <c r="D33" s="1">
        <f>'2.0'!D32*$K33</f>
        <v>0</v>
      </c>
      <c r="E33" s="1">
        <f>'2.0'!E32*$K33</f>
        <v>0</v>
      </c>
      <c r="F33" s="1">
        <f>'2.0'!F32*$K33</f>
        <v>0</v>
      </c>
      <c r="G33" s="1">
        <f>'2.0'!G32*$K33</f>
        <v>0</v>
      </c>
      <c r="H33" s="1">
        <f>'2.0'!H32*$K33</f>
        <v>0</v>
      </c>
      <c r="I33" s="1">
        <f>'2.0'!I32*$K33</f>
        <v>0</v>
      </c>
      <c r="J33" s="1">
        <f>'2.0'!J32*$K33</f>
        <v>0</v>
      </c>
      <c r="K33" s="1">
        <v>0</v>
      </c>
    </row>
    <row r="34" spans="1:13" x14ac:dyDescent="0.3">
      <c r="A34" s="1" t="str">
        <v>Meter Assets</v>
      </c>
      <c r="B34" s="1">
        <f>'2.0'!B33*$K34</f>
        <v>0</v>
      </c>
      <c r="C34" s="1">
        <f>'2.0'!C33*$K34</f>
        <v>0</v>
      </c>
      <c r="D34" s="1">
        <f>'2.0'!D33*$K34</f>
        <v>0</v>
      </c>
      <c r="E34" s="1">
        <f>'2.0'!E33*$K34</f>
        <v>0</v>
      </c>
      <c r="F34" s="1">
        <f>'2.0'!F33*$K34</f>
        <v>0</v>
      </c>
      <c r="G34" s="1">
        <f>'2.0'!G33*$K34</f>
        <v>0</v>
      </c>
      <c r="H34" s="1">
        <f>'2.0'!H33*$K34</f>
        <v>0</v>
      </c>
      <c r="I34" s="1">
        <f>'2.0'!I33*$K34</f>
        <v>0</v>
      </c>
      <c r="J34" s="1">
        <f>'2.0'!J33*$K34</f>
        <v>0</v>
      </c>
      <c r="K34" s="1">
        <v>0</v>
      </c>
    </row>
    <row r="35" spans="1:13" x14ac:dyDescent="0.3">
      <c r="A35" s="1" t="str">
        <v>Meter Reading</v>
      </c>
      <c r="B35" s="1">
        <f>'2.0'!B34*$K35</f>
        <v>0</v>
      </c>
      <c r="C35" s="1">
        <f>'2.0'!C34*$K35</f>
        <v>0</v>
      </c>
      <c r="D35" s="1">
        <f>'2.0'!D34*$K35</f>
        <v>0</v>
      </c>
      <c r="E35" s="1">
        <f>'2.0'!E34*$K35</f>
        <v>0</v>
      </c>
      <c r="F35" s="1">
        <f>'2.0'!F34*$K35</f>
        <v>0</v>
      </c>
      <c r="G35" s="1">
        <f>'2.0'!G34*$K35</f>
        <v>0</v>
      </c>
      <c r="H35" s="1">
        <f>'2.0'!H34*$K35</f>
        <v>0</v>
      </c>
      <c r="I35" s="1">
        <f>'2.0'!I34*$K35</f>
        <v>0</v>
      </c>
      <c r="J35" s="1">
        <f>'2.0'!J34*$K35</f>
        <v>0</v>
      </c>
      <c r="K35" s="1">
        <v>0</v>
      </c>
    </row>
    <row r="36" spans="1:13" x14ac:dyDescent="0.3">
      <c r="A36" s="1" t="str">
        <v>Billing</v>
      </c>
      <c r="B36" s="1">
        <f>'2.0'!B35*$K36</f>
        <v>0</v>
      </c>
      <c r="C36" s="1">
        <f>'2.0'!C35*$K36</f>
        <v>0</v>
      </c>
      <c r="D36" s="1">
        <f>'2.0'!D35*$K36</f>
        <v>0</v>
      </c>
      <c r="E36" s="1">
        <f>'2.0'!E35*$K36</f>
        <v>0</v>
      </c>
      <c r="F36" s="1">
        <f>'2.0'!F35*$K36</f>
        <v>0</v>
      </c>
      <c r="G36" s="1">
        <f>'2.0'!G35*$K36</f>
        <v>0</v>
      </c>
      <c r="H36" s="1">
        <f>'2.0'!H35*$K36</f>
        <v>0</v>
      </c>
      <c r="I36" s="1">
        <f>'2.0'!I35*$K36</f>
        <v>0</v>
      </c>
      <c r="J36" s="1">
        <f>'2.0'!J35*$K36</f>
        <v>0</v>
      </c>
      <c r="K36" s="1">
        <v>0</v>
      </c>
    </row>
    <row r="37" spans="1:13" x14ac:dyDescent="0.3">
      <c r="A37" s="1" t="str">
        <v>Remittance &amp; Collection</v>
      </c>
      <c r="B37" s="1">
        <f>'2.0'!B36*$K37</f>
        <v>0</v>
      </c>
      <c r="C37" s="1">
        <f>'2.0'!C36*$K37</f>
        <v>0</v>
      </c>
      <c r="D37" s="1">
        <f>'2.0'!D36*$K37</f>
        <v>0</v>
      </c>
      <c r="E37" s="1">
        <f>'2.0'!E36*$K37</f>
        <v>0</v>
      </c>
      <c r="F37" s="1">
        <f>'2.0'!F36*$K37</f>
        <v>0</v>
      </c>
      <c r="G37" s="1">
        <f>'2.0'!G36*$K37</f>
        <v>0</v>
      </c>
      <c r="H37" s="1">
        <f>'2.0'!H36*$K37</f>
        <v>0</v>
      </c>
      <c r="I37" s="1">
        <f>'2.0'!I36*$K37</f>
        <v>0</v>
      </c>
      <c r="J37" s="1">
        <f>'2.0'!J36*$K37</f>
        <v>0</v>
      </c>
      <c r="K37" s="1">
        <v>0</v>
      </c>
    </row>
    <row r="38" spans="1:13" x14ac:dyDescent="0.3">
      <c r="A38" s="1" t="str">
        <v>Uncollectibles &amp; Damage Claims</v>
      </c>
      <c r="B38" s="1">
        <f>'2.0'!B37*$K38</f>
        <v>0</v>
      </c>
      <c r="C38" s="1">
        <f>'2.0'!C37*$K38</f>
        <v>0</v>
      </c>
      <c r="D38" s="1">
        <f>'2.0'!D37*$K38</f>
        <v>0</v>
      </c>
      <c r="E38" s="1">
        <f>'2.0'!E37*$K38</f>
        <v>0</v>
      </c>
      <c r="F38" s="1">
        <f>'2.0'!F37*$K38</f>
        <v>0</v>
      </c>
      <c r="G38" s="1">
        <f>'2.0'!G37*$K38</f>
        <v>0</v>
      </c>
      <c r="H38" s="1">
        <f>'2.0'!H37*$K38</f>
        <v>0</v>
      </c>
      <c r="I38" s="1">
        <f>'2.0'!I37*$K38</f>
        <v>0</v>
      </c>
      <c r="J38" s="1">
        <f>'2.0'!J37*$K38</f>
        <v>0</v>
      </c>
      <c r="K38" s="1">
        <v>0</v>
      </c>
    </row>
    <row r="39" spans="1:13" x14ac:dyDescent="0.3">
      <c r="A39" s="1" t="str">
        <v>Service Connections</v>
      </c>
      <c r="B39" s="1">
        <f>'2.0'!B38*$K39</f>
        <v>0</v>
      </c>
      <c r="C39" s="1">
        <f>'2.0'!C38*$K39</f>
        <v>0</v>
      </c>
      <c r="D39" s="1">
        <f>'2.0'!D38*$K39</f>
        <v>0</v>
      </c>
      <c r="E39" s="1">
        <f>'2.0'!E38*$K39</f>
        <v>0</v>
      </c>
      <c r="F39" s="1">
        <f>'2.0'!F38*$K39</f>
        <v>0</v>
      </c>
      <c r="G39" s="1">
        <f>'2.0'!G38*$K39</f>
        <v>0</v>
      </c>
      <c r="H39" s="1">
        <f>'2.0'!H38*$K39</f>
        <v>0</v>
      </c>
      <c r="I39" s="1">
        <f>'2.0'!I38*$K39</f>
        <v>0</v>
      </c>
      <c r="J39" s="1">
        <f>'2.0'!J38*$K39</f>
        <v>0</v>
      </c>
      <c r="K39" s="1">
        <v>0</v>
      </c>
    </row>
    <row r="40" spans="1:13" x14ac:dyDescent="0.3">
      <c r="A40" s="1" t="str">
        <v>Late Payments</v>
      </c>
      <c r="B40" s="1">
        <f>'2.0'!B39*$K40</f>
        <v>0</v>
      </c>
      <c r="C40" s="1">
        <f>'2.0'!C39*$K40</f>
        <v>0</v>
      </c>
      <c r="D40" s="1">
        <f>'2.0'!D39*$K40</f>
        <v>0</v>
      </c>
      <c r="E40" s="1">
        <f>'2.0'!E39*$K40</f>
        <v>0</v>
      </c>
      <c r="F40" s="1">
        <f>'2.0'!F39*$K40</f>
        <v>0</v>
      </c>
      <c r="G40" s="1">
        <f>'2.0'!G39*$K40</f>
        <v>0</v>
      </c>
      <c r="H40" s="1">
        <f>'2.0'!H39*$K40</f>
        <v>0</v>
      </c>
      <c r="I40" s="1">
        <f>'2.0'!I39*$K40</f>
        <v>0</v>
      </c>
      <c r="J40" s="1">
        <f>'2.0'!J39*$K40</f>
        <v>0</v>
      </c>
      <c r="K40" s="1">
        <v>0</v>
      </c>
    </row>
    <row r="41" spans="1:13" x14ac:dyDescent="0.3">
      <c r="A41" s="1" t="str">
        <v>Lighting</v>
      </c>
      <c r="B41" s="1">
        <f>'2.0'!B40*$K41</f>
        <v>0</v>
      </c>
      <c r="C41" s="1">
        <f>'2.0'!C40*$K41</f>
        <v>0</v>
      </c>
      <c r="D41" s="1">
        <f>'2.0'!D40*$K41</f>
        <v>0</v>
      </c>
      <c r="E41" s="1">
        <f>'2.0'!E40*$K41</f>
        <v>0</v>
      </c>
      <c r="F41" s="1">
        <f>'2.0'!F40*$K41</f>
        <v>0</v>
      </c>
      <c r="G41" s="1">
        <f>'2.0'!G40*$K41</f>
        <v>0</v>
      </c>
      <c r="H41" s="1">
        <f>'2.0'!H40*$K41</f>
        <v>0</v>
      </c>
      <c r="I41" s="1">
        <f>'2.0'!I40*$K41</f>
        <v>0</v>
      </c>
      <c r="J41" s="1">
        <f>'2.0'!J40*$K41</f>
        <v>0</v>
      </c>
      <c r="K41" s="1">
        <v>0</v>
      </c>
    </row>
    <row r="42" spans="1:13" x14ac:dyDescent="0.3">
      <c r="A42" s="2" t="s">
        <v>214</v>
      </c>
      <c r="B42" s="1">
        <f t="shared" ref="B42:J42" si="1">SUBTOTAL(9,B26:B41)</f>
        <v>54251817.496260241</v>
      </c>
      <c r="C42" s="1">
        <f t="shared" si="1"/>
        <v>1241561.3271007589</v>
      </c>
      <c r="D42" s="1">
        <f t="shared" si="1"/>
        <v>2161464.2207706333</v>
      </c>
      <c r="E42" s="1">
        <f t="shared" si="1"/>
        <v>16968552.658920117</v>
      </c>
      <c r="F42" s="1">
        <f t="shared" si="1"/>
        <v>275409.50560916617</v>
      </c>
      <c r="G42" s="1">
        <f t="shared" si="1"/>
        <v>5903556.7722787736</v>
      </c>
      <c r="H42" s="1">
        <f t="shared" si="1"/>
        <v>2656316.2070968971</v>
      </c>
      <c r="I42" s="1">
        <f t="shared" si="1"/>
        <v>251893.29004710171</v>
      </c>
      <c r="J42" s="1">
        <f t="shared" si="1"/>
        <v>88600.565929095173</v>
      </c>
      <c r="K42" s="1">
        <f>SUM(K26:K41)</f>
        <v>83799172.044012785</v>
      </c>
      <c r="M42" s="73">
        <f>K42/$K$22</f>
        <v>0.34435842539355815</v>
      </c>
    </row>
    <row r="44" spans="1:13" x14ac:dyDescent="0.3">
      <c r="A44" s="1" t="s">
        <v>539</v>
      </c>
    </row>
    <row r="45" spans="1:13" s="9" customFormat="1" ht="40.5" x14ac:dyDescent="0.25">
      <c r="B45" s="17" t="str">
        <f t="array" ref="B45:J45">TRANSPOSE(List_Classes)</f>
        <v>Residential</v>
      </c>
      <c r="C45" s="17" t="str">
        <v>Residential (S)</v>
      </c>
      <c r="D45" s="17" t="str">
        <v>Farm</v>
      </c>
      <c r="E45" s="17" t="str">
        <v>General Service 1</v>
      </c>
      <c r="F45" s="17" t="str">
        <v>General Service 1 (S)</v>
      </c>
      <c r="G45" s="17" t="str">
        <v>Small Industrial</v>
      </c>
      <c r="H45" s="17" t="str">
        <v>Large Industrial</v>
      </c>
      <c r="I45" s="17" t="str">
        <v>Lights</v>
      </c>
      <c r="J45" s="17" t="str">
        <v>Unmetered</v>
      </c>
      <c r="K45" s="17" t="s">
        <v>214</v>
      </c>
    </row>
    <row r="46" spans="1:13" x14ac:dyDescent="0.3">
      <c r="A46" s="1" t="str">
        <f t="array" ref="A46:A61">List_Functions</f>
        <v>Generation</v>
      </c>
      <c r="B46" s="1">
        <f>'2.0'!B44*$K46</f>
        <v>1949191.8934667534</v>
      </c>
      <c r="C46" s="1">
        <f>'2.0'!C44*$K46</f>
        <v>69463.183303298661</v>
      </c>
      <c r="D46" s="1">
        <f>'2.0'!D44*$K46</f>
        <v>127147.08599382281</v>
      </c>
      <c r="E46" s="1">
        <f>'2.0'!E44*$K46</f>
        <v>1067923.9031691393</v>
      </c>
      <c r="F46" s="1">
        <f>'2.0'!F44*$K46</f>
        <v>26467.574341240543</v>
      </c>
      <c r="G46" s="1">
        <f>'2.0'!G44*$K46</f>
        <v>242475.38016107562</v>
      </c>
      <c r="H46" s="1">
        <f>'2.0'!H44*$K46</f>
        <v>430212.91251025186</v>
      </c>
      <c r="I46" s="1">
        <f>'2.0'!I44*$K46</f>
        <v>10371.693621310904</v>
      </c>
      <c r="J46" s="1">
        <f>'2.0'!J44*$K46</f>
        <v>6786.0509693719914</v>
      </c>
      <c r="K46" s="1">
        <f t="array" ref="K46:K61">TRANSPOSE('3.0'!B101:Q101)</f>
        <v>3930039.677536265</v>
      </c>
    </row>
    <row r="47" spans="1:13" x14ac:dyDescent="0.3">
      <c r="A47" s="1" t="str">
        <v>Purchased Power</v>
      </c>
      <c r="B47" s="1">
        <f>'2.0'!B45*$K47</f>
        <v>59062394.753336415</v>
      </c>
      <c r="C47" s="1">
        <f>'2.0'!C45*$K47</f>
        <v>2104801.46507585</v>
      </c>
      <c r="D47" s="1">
        <f>'2.0'!D45*$K47</f>
        <v>3852679.3641375583</v>
      </c>
      <c r="E47" s="1">
        <f>'2.0'!E45*$K47</f>
        <v>32359124.489953842</v>
      </c>
      <c r="F47" s="1">
        <f>'2.0'!F45*$K47</f>
        <v>801993.03575253161</v>
      </c>
      <c r="G47" s="1">
        <f>'2.0'!G45*$K47</f>
        <v>7347237.9343665866</v>
      </c>
      <c r="H47" s="1">
        <f>'2.0'!H45*$K47</f>
        <v>13035866.274546701</v>
      </c>
      <c r="I47" s="1">
        <f>'2.0'!I45*$K47</f>
        <v>314272.3222766032</v>
      </c>
      <c r="J47" s="1">
        <f>'2.0'!J45*$K47</f>
        <v>205623.8908609775</v>
      </c>
      <c r="K47" s="1">
        <v>119083993.53030707</v>
      </c>
    </row>
    <row r="48" spans="1:13" x14ac:dyDescent="0.3">
      <c r="A48" s="1" t="str">
        <v>Transmission</v>
      </c>
      <c r="B48" s="1">
        <f>'2.0'!B46*$K48</f>
        <v>0</v>
      </c>
      <c r="C48" s="1">
        <f>'2.0'!C46*$K48</f>
        <v>0</v>
      </c>
      <c r="D48" s="1">
        <f>'2.0'!D46*$K48</f>
        <v>0</v>
      </c>
      <c r="E48" s="1">
        <f>'2.0'!E46*$K48</f>
        <v>0</v>
      </c>
      <c r="F48" s="1">
        <f>'2.0'!F46*$K48</f>
        <v>0</v>
      </c>
      <c r="G48" s="1">
        <f>'2.0'!G46*$K48</f>
        <v>0</v>
      </c>
      <c r="H48" s="1">
        <f>'2.0'!H46*$K48</f>
        <v>0</v>
      </c>
      <c r="I48" s="1">
        <f>'2.0'!I46*$K48</f>
        <v>0</v>
      </c>
      <c r="J48" s="1">
        <f>'2.0'!J46*$K48</f>
        <v>0</v>
      </c>
      <c r="K48" s="1">
        <v>0</v>
      </c>
    </row>
    <row r="49" spans="1:13" x14ac:dyDescent="0.3">
      <c r="A49" s="1" t="str">
        <v>Substations</v>
      </c>
      <c r="B49" s="1">
        <f>'2.0'!B47*$K49</f>
        <v>0</v>
      </c>
      <c r="C49" s="1">
        <f>'2.0'!C47*$K49</f>
        <v>0</v>
      </c>
      <c r="D49" s="1">
        <f>'2.0'!D47*$K49</f>
        <v>0</v>
      </c>
      <c r="E49" s="1">
        <f>'2.0'!E47*$K49</f>
        <v>0</v>
      </c>
      <c r="F49" s="1">
        <f>'2.0'!F47*$K49</f>
        <v>0</v>
      </c>
      <c r="G49" s="1">
        <f>'2.0'!G47*$K49</f>
        <v>0</v>
      </c>
      <c r="H49" s="1">
        <f>'2.0'!H47*$K49</f>
        <v>0</v>
      </c>
      <c r="I49" s="1">
        <f>'2.0'!I47*$K49</f>
        <v>0</v>
      </c>
      <c r="J49" s="1">
        <f>'2.0'!J47*$K49</f>
        <v>0</v>
      </c>
      <c r="K49" s="1">
        <v>0</v>
      </c>
    </row>
    <row r="50" spans="1:13" x14ac:dyDescent="0.3">
      <c r="A50" s="1" t="str">
        <v>Primary Lines</v>
      </c>
      <c r="B50" s="1">
        <f>'2.0'!B48*$K50</f>
        <v>0</v>
      </c>
      <c r="C50" s="1">
        <f>'2.0'!C48*$K50</f>
        <v>0</v>
      </c>
      <c r="D50" s="1">
        <f>'2.0'!D48*$K50</f>
        <v>0</v>
      </c>
      <c r="E50" s="1">
        <f>'2.0'!E48*$K50</f>
        <v>0</v>
      </c>
      <c r="F50" s="1">
        <f>'2.0'!F48*$K50</f>
        <v>0</v>
      </c>
      <c r="G50" s="1">
        <f>'2.0'!G48*$K50</f>
        <v>0</v>
      </c>
      <c r="H50" s="1">
        <f>'2.0'!H48*$K50</f>
        <v>0</v>
      </c>
      <c r="I50" s="1">
        <f>'2.0'!I48*$K50</f>
        <v>0</v>
      </c>
      <c r="J50" s="1">
        <f>'2.0'!J48*$K50</f>
        <v>0</v>
      </c>
      <c r="K50" s="1">
        <v>0</v>
      </c>
    </row>
    <row r="51" spans="1:13" x14ac:dyDescent="0.3">
      <c r="A51" s="1" t="str">
        <v>Transformers</v>
      </c>
      <c r="B51" s="1">
        <f>'2.0'!B49*$K51</f>
        <v>0</v>
      </c>
      <c r="C51" s="1">
        <f>'2.0'!C49*$K51</f>
        <v>0</v>
      </c>
      <c r="D51" s="1">
        <f>'2.0'!D49*$K51</f>
        <v>0</v>
      </c>
      <c r="E51" s="1">
        <f>'2.0'!E49*$K51</f>
        <v>0</v>
      </c>
      <c r="F51" s="1">
        <f>'2.0'!F49*$K51</f>
        <v>0</v>
      </c>
      <c r="G51" s="1">
        <f>'2.0'!G49*$K51</f>
        <v>0</v>
      </c>
      <c r="H51" s="1">
        <f>'2.0'!H49*$K51</f>
        <v>0</v>
      </c>
      <c r="I51" s="1">
        <f>'2.0'!I49*$K51</f>
        <v>0</v>
      </c>
      <c r="J51" s="1">
        <f>'2.0'!J49*$K51</f>
        <v>0</v>
      </c>
      <c r="K51" s="1">
        <v>0</v>
      </c>
    </row>
    <row r="52" spans="1:13" x14ac:dyDescent="0.3">
      <c r="A52" s="1" t="str">
        <v>Secondary Lines</v>
      </c>
      <c r="B52" s="1">
        <f>'2.0'!B50*$K52</f>
        <v>0</v>
      </c>
      <c r="C52" s="1">
        <f>'2.0'!C50*$K52</f>
        <v>0</v>
      </c>
      <c r="D52" s="1">
        <f>'2.0'!D50*$K52</f>
        <v>0</v>
      </c>
      <c r="E52" s="1">
        <f>'2.0'!E50*$K52</f>
        <v>0</v>
      </c>
      <c r="F52" s="1">
        <f>'2.0'!F50*$K52</f>
        <v>0</v>
      </c>
      <c r="G52" s="1">
        <f>'2.0'!G50*$K52</f>
        <v>0</v>
      </c>
      <c r="H52" s="1">
        <f>'2.0'!H50*$K52</f>
        <v>0</v>
      </c>
      <c r="I52" s="1">
        <f>'2.0'!I50*$K52</f>
        <v>0</v>
      </c>
      <c r="J52" s="1">
        <f>'2.0'!J50*$K52</f>
        <v>0</v>
      </c>
      <c r="K52" s="1">
        <v>0</v>
      </c>
    </row>
    <row r="53" spans="1:13" x14ac:dyDescent="0.3">
      <c r="A53" s="1" t="str">
        <v>Service Lines</v>
      </c>
      <c r="B53" s="1">
        <f>'2.0'!B51*$K53</f>
        <v>0</v>
      </c>
      <c r="C53" s="1">
        <f>'2.0'!C51*$K53</f>
        <v>0</v>
      </c>
      <c r="D53" s="1">
        <f>'2.0'!D51*$K53</f>
        <v>0</v>
      </c>
      <c r="E53" s="1">
        <f>'2.0'!E51*$K53</f>
        <v>0</v>
      </c>
      <c r="F53" s="1">
        <f>'2.0'!F51*$K53</f>
        <v>0</v>
      </c>
      <c r="G53" s="1">
        <f>'2.0'!G51*$K53</f>
        <v>0</v>
      </c>
      <c r="H53" s="1">
        <f>'2.0'!H51*$K53</f>
        <v>0</v>
      </c>
      <c r="I53" s="1">
        <f>'2.0'!I51*$K53</f>
        <v>0</v>
      </c>
      <c r="J53" s="1">
        <f>'2.0'!J51*$K53</f>
        <v>0</v>
      </c>
      <c r="K53" s="1">
        <v>0</v>
      </c>
    </row>
    <row r="54" spans="1:13" x14ac:dyDescent="0.3">
      <c r="A54" s="1" t="str">
        <v>Meter Assets</v>
      </c>
      <c r="B54" s="1">
        <f>'2.0'!B52*$K54</f>
        <v>0</v>
      </c>
      <c r="C54" s="1">
        <f>'2.0'!C52*$K54</f>
        <v>0</v>
      </c>
      <c r="D54" s="1">
        <f>'2.0'!D52*$K54</f>
        <v>0</v>
      </c>
      <c r="E54" s="1">
        <f>'2.0'!E52*$K54</f>
        <v>0</v>
      </c>
      <c r="F54" s="1">
        <f>'2.0'!F52*$K54</f>
        <v>0</v>
      </c>
      <c r="G54" s="1">
        <f>'2.0'!G52*$K54</f>
        <v>0</v>
      </c>
      <c r="H54" s="1">
        <f>'2.0'!H52*$K54</f>
        <v>0</v>
      </c>
      <c r="I54" s="1">
        <f>'2.0'!I52*$K54</f>
        <v>0</v>
      </c>
      <c r="J54" s="1">
        <f>'2.0'!J52*$K54</f>
        <v>0</v>
      </c>
      <c r="K54" s="1">
        <v>0</v>
      </c>
    </row>
    <row r="55" spans="1:13" x14ac:dyDescent="0.3">
      <c r="A55" s="1" t="str">
        <v>Meter Reading</v>
      </c>
      <c r="B55" s="1">
        <f>'2.0'!B53*$K55</f>
        <v>0</v>
      </c>
      <c r="C55" s="1">
        <f>'2.0'!C53*$K55</f>
        <v>0</v>
      </c>
      <c r="D55" s="1">
        <f>'2.0'!D53*$K55</f>
        <v>0</v>
      </c>
      <c r="E55" s="1">
        <f>'2.0'!E53*$K55</f>
        <v>0</v>
      </c>
      <c r="F55" s="1">
        <f>'2.0'!F53*$K55</f>
        <v>0</v>
      </c>
      <c r="G55" s="1">
        <f>'2.0'!G53*$K55</f>
        <v>0</v>
      </c>
      <c r="H55" s="1">
        <f>'2.0'!H53*$K55</f>
        <v>0</v>
      </c>
      <c r="I55" s="1">
        <f>'2.0'!I53*$K55</f>
        <v>0</v>
      </c>
      <c r="J55" s="1">
        <f>'2.0'!J53*$K55</f>
        <v>0</v>
      </c>
      <c r="K55" s="1">
        <v>0</v>
      </c>
    </row>
    <row r="56" spans="1:13" x14ac:dyDescent="0.3">
      <c r="A56" s="1" t="str">
        <v>Billing</v>
      </c>
      <c r="B56" s="1">
        <f>'2.0'!B54*$K56</f>
        <v>0</v>
      </c>
      <c r="C56" s="1">
        <f>'2.0'!C54*$K56</f>
        <v>0</v>
      </c>
      <c r="D56" s="1">
        <f>'2.0'!D54*$K56</f>
        <v>0</v>
      </c>
      <c r="E56" s="1">
        <f>'2.0'!E54*$K56</f>
        <v>0</v>
      </c>
      <c r="F56" s="1">
        <f>'2.0'!F54*$K56</f>
        <v>0</v>
      </c>
      <c r="G56" s="1">
        <f>'2.0'!G54*$K56</f>
        <v>0</v>
      </c>
      <c r="H56" s="1">
        <f>'2.0'!H54*$K56</f>
        <v>0</v>
      </c>
      <c r="I56" s="1">
        <f>'2.0'!I54*$K56</f>
        <v>0</v>
      </c>
      <c r="J56" s="1">
        <f>'2.0'!J54*$K56</f>
        <v>0</v>
      </c>
      <c r="K56" s="1">
        <v>0</v>
      </c>
    </row>
    <row r="57" spans="1:13" x14ac:dyDescent="0.3">
      <c r="A57" s="1" t="str">
        <v>Remittance &amp; Collection</v>
      </c>
      <c r="B57" s="1">
        <f>'2.0'!B55*$K57</f>
        <v>0</v>
      </c>
      <c r="C57" s="1">
        <f>'2.0'!C55*$K57</f>
        <v>0</v>
      </c>
      <c r="D57" s="1">
        <f>'2.0'!D55*$K57</f>
        <v>0</v>
      </c>
      <c r="E57" s="1">
        <f>'2.0'!E55*$K57</f>
        <v>0</v>
      </c>
      <c r="F57" s="1">
        <f>'2.0'!F55*$K57</f>
        <v>0</v>
      </c>
      <c r="G57" s="1">
        <f>'2.0'!G55*$K57</f>
        <v>0</v>
      </c>
      <c r="H57" s="1">
        <f>'2.0'!H55*$K57</f>
        <v>0</v>
      </c>
      <c r="I57" s="1">
        <f>'2.0'!I55*$K57</f>
        <v>0</v>
      </c>
      <c r="J57" s="1">
        <f>'2.0'!J55*$K57</f>
        <v>0</v>
      </c>
      <c r="K57" s="1">
        <v>0</v>
      </c>
    </row>
    <row r="58" spans="1:13" x14ac:dyDescent="0.3">
      <c r="A58" s="1" t="str">
        <v>Uncollectibles &amp; Damage Claims</v>
      </c>
      <c r="B58" s="1">
        <f>'2.0'!B56*$K58</f>
        <v>0</v>
      </c>
      <c r="C58" s="1">
        <f>'2.0'!C56*$K58</f>
        <v>0</v>
      </c>
      <c r="D58" s="1">
        <f>'2.0'!D56*$K58</f>
        <v>0</v>
      </c>
      <c r="E58" s="1">
        <f>'2.0'!E56*$K58</f>
        <v>0</v>
      </c>
      <c r="F58" s="1">
        <f>'2.0'!F56*$K58</f>
        <v>0</v>
      </c>
      <c r="G58" s="1">
        <f>'2.0'!G56*$K58</f>
        <v>0</v>
      </c>
      <c r="H58" s="1">
        <f>'2.0'!H56*$K58</f>
        <v>0</v>
      </c>
      <c r="I58" s="1">
        <f>'2.0'!I56*$K58</f>
        <v>0</v>
      </c>
      <c r="J58" s="1">
        <f>'2.0'!J56*$K58</f>
        <v>0</v>
      </c>
      <c r="K58" s="1">
        <v>0</v>
      </c>
    </row>
    <row r="59" spans="1:13" x14ac:dyDescent="0.3">
      <c r="A59" s="1" t="str">
        <v>Service Connections</v>
      </c>
      <c r="B59" s="1">
        <f>'2.0'!B57*$K59</f>
        <v>0</v>
      </c>
      <c r="C59" s="1">
        <f>'2.0'!C57*$K59</f>
        <v>0</v>
      </c>
      <c r="D59" s="1">
        <f>'2.0'!D57*$K59</f>
        <v>0</v>
      </c>
      <c r="E59" s="1">
        <f>'2.0'!E57*$K59</f>
        <v>0</v>
      </c>
      <c r="F59" s="1">
        <f>'2.0'!F57*$K59</f>
        <v>0</v>
      </c>
      <c r="G59" s="1">
        <f>'2.0'!G57*$K59</f>
        <v>0</v>
      </c>
      <c r="H59" s="1">
        <f>'2.0'!H57*$K59</f>
        <v>0</v>
      </c>
      <c r="I59" s="1">
        <f>'2.0'!I57*$K59</f>
        <v>0</v>
      </c>
      <c r="J59" s="1">
        <f>'2.0'!J57*$K59</f>
        <v>0</v>
      </c>
      <c r="K59" s="1">
        <v>0</v>
      </c>
    </row>
    <row r="60" spans="1:13" x14ac:dyDescent="0.3">
      <c r="A60" s="1" t="str">
        <v>Late Payments</v>
      </c>
      <c r="B60" s="1">
        <f>'2.0'!B58*$K60</f>
        <v>0</v>
      </c>
      <c r="C60" s="1">
        <f>'2.0'!C58*$K60</f>
        <v>0</v>
      </c>
      <c r="D60" s="1">
        <f>'2.0'!D58*$K60</f>
        <v>0</v>
      </c>
      <c r="E60" s="1">
        <f>'2.0'!E58*$K60</f>
        <v>0</v>
      </c>
      <c r="F60" s="1">
        <f>'2.0'!F58*$K60</f>
        <v>0</v>
      </c>
      <c r="G60" s="1">
        <f>'2.0'!G58*$K60</f>
        <v>0</v>
      </c>
      <c r="H60" s="1">
        <f>'2.0'!H58*$K60</f>
        <v>0</v>
      </c>
      <c r="I60" s="1">
        <f>'2.0'!I58*$K60</f>
        <v>0</v>
      </c>
      <c r="J60" s="1">
        <f>'2.0'!J58*$K60</f>
        <v>0</v>
      </c>
      <c r="K60" s="1">
        <v>0</v>
      </c>
    </row>
    <row r="61" spans="1:13" x14ac:dyDescent="0.3">
      <c r="A61" s="1" t="str">
        <v>Lighting</v>
      </c>
      <c r="B61" s="1">
        <f>'2.0'!B59*$K61</f>
        <v>0</v>
      </c>
      <c r="C61" s="1">
        <f>'2.0'!C59*$K61</f>
        <v>0</v>
      </c>
      <c r="D61" s="1">
        <f>'2.0'!D59*$K61</f>
        <v>0</v>
      </c>
      <c r="E61" s="1">
        <f>'2.0'!E59*$K61</f>
        <v>0</v>
      </c>
      <c r="F61" s="1">
        <f>'2.0'!F59*$K61</f>
        <v>0</v>
      </c>
      <c r="G61" s="1">
        <f>'2.0'!G59*$K61</f>
        <v>0</v>
      </c>
      <c r="H61" s="1">
        <f>'2.0'!H59*$K61</f>
        <v>0</v>
      </c>
      <c r="I61" s="1">
        <f>'2.0'!I59*$K61</f>
        <v>0</v>
      </c>
      <c r="J61" s="1">
        <f>'2.0'!J59*$K61</f>
        <v>0</v>
      </c>
      <c r="K61" s="1">
        <v>0</v>
      </c>
    </row>
    <row r="62" spans="1:13" x14ac:dyDescent="0.3">
      <c r="A62" s="2" t="s">
        <v>214</v>
      </c>
      <c r="B62" s="1">
        <f t="shared" ref="B62:J62" si="2">SUBTOTAL(9,B46:B61)</f>
        <v>61011586.64680317</v>
      </c>
      <c r="C62" s="1">
        <f t="shared" si="2"/>
        <v>2174264.6483791489</v>
      </c>
      <c r="D62" s="1">
        <f t="shared" si="2"/>
        <v>3979826.4501313809</v>
      </c>
      <c r="E62" s="1">
        <f t="shared" si="2"/>
        <v>33427048.393122982</v>
      </c>
      <c r="F62" s="1">
        <f t="shared" si="2"/>
        <v>828460.61009377218</v>
      </c>
      <c r="G62" s="1">
        <f t="shared" si="2"/>
        <v>7589713.3145276625</v>
      </c>
      <c r="H62" s="1">
        <f t="shared" si="2"/>
        <v>13466079.187056953</v>
      </c>
      <c r="I62" s="1">
        <f t="shared" si="2"/>
        <v>324644.01589791413</v>
      </c>
      <c r="J62" s="1">
        <f t="shared" si="2"/>
        <v>212409.94183034947</v>
      </c>
      <c r="K62" s="1">
        <f>SUM(K46:K61)</f>
        <v>123014033.20784333</v>
      </c>
      <c r="M62" s="73">
        <f>K62/$K$22</f>
        <v>0.5055052185302632</v>
      </c>
    </row>
    <row r="64" spans="1:13" x14ac:dyDescent="0.3">
      <c r="A64" s="1" t="s">
        <v>538</v>
      </c>
    </row>
    <row r="65" spans="1:11" s="9" customFormat="1" ht="40.5" x14ac:dyDescent="0.25">
      <c r="B65" s="17" t="str">
        <f t="array" ref="B65:J65">TRANSPOSE(List_Classes)</f>
        <v>Residential</v>
      </c>
      <c r="C65" s="17" t="str">
        <v>Residential (S)</v>
      </c>
      <c r="D65" s="17" t="str">
        <v>Farm</v>
      </c>
      <c r="E65" s="17" t="str">
        <v>General Service 1</v>
      </c>
      <c r="F65" s="17" t="str">
        <v>General Service 1 (S)</v>
      </c>
      <c r="G65" s="17" t="str">
        <v>Small Industrial</v>
      </c>
      <c r="H65" s="17" t="str">
        <v>Large Industrial</v>
      </c>
      <c r="I65" s="17" t="str">
        <v>Lights</v>
      </c>
      <c r="J65" s="17" t="str">
        <v>Unmetered</v>
      </c>
      <c r="K65" s="17" t="s">
        <v>214</v>
      </c>
    </row>
    <row r="66" spans="1:11" x14ac:dyDescent="0.3">
      <c r="A66" s="1" t="str">
        <f t="array" ref="A66:A81">List_Functions</f>
        <v>Generation</v>
      </c>
      <c r="B66" s="1">
        <f>'2.0'!B63*$K66</f>
        <v>0</v>
      </c>
      <c r="C66" s="1">
        <f>'2.0'!C63*$K66</f>
        <v>0</v>
      </c>
      <c r="D66" s="1">
        <f>'2.0'!D63*$K66</f>
        <v>0</v>
      </c>
      <c r="E66" s="1">
        <f>'2.0'!E63*$K66</f>
        <v>0</v>
      </c>
      <c r="F66" s="1">
        <f>'2.0'!F63*$K66</f>
        <v>0</v>
      </c>
      <c r="G66" s="1">
        <f>'2.0'!G63*$K66</f>
        <v>0</v>
      </c>
      <c r="H66" s="1">
        <f>'2.0'!H63*$K66</f>
        <v>0</v>
      </c>
      <c r="I66" s="1">
        <f>'2.0'!I63*$K66</f>
        <v>0</v>
      </c>
      <c r="J66" s="1">
        <f>'2.0'!J63*$K66</f>
        <v>0</v>
      </c>
      <c r="K66" s="1">
        <f t="array" ref="K66:K81">TRANSPOSE('3.0'!B134:Q134)</f>
        <v>0</v>
      </c>
    </row>
    <row r="67" spans="1:11" x14ac:dyDescent="0.3">
      <c r="A67" s="1" t="str">
        <v>Purchased Power</v>
      </c>
      <c r="B67" s="1">
        <f>'2.0'!B64*$K67</f>
        <v>0</v>
      </c>
      <c r="C67" s="1">
        <f>'2.0'!C64*$K67</f>
        <v>0</v>
      </c>
      <c r="D67" s="1">
        <f>'2.0'!D64*$K67</f>
        <v>0</v>
      </c>
      <c r="E67" s="1">
        <f>'2.0'!E64*$K67</f>
        <v>0</v>
      </c>
      <c r="F67" s="1">
        <f>'2.0'!F64*$K67</f>
        <v>0</v>
      </c>
      <c r="G67" s="1">
        <f>'2.0'!G64*$K67</f>
        <v>0</v>
      </c>
      <c r="H67" s="1">
        <f>'2.0'!H64*$K67</f>
        <v>0</v>
      </c>
      <c r="I67" s="1">
        <f>'2.0'!I64*$K67</f>
        <v>0</v>
      </c>
      <c r="J67" s="1">
        <f>'2.0'!J64*$K67</f>
        <v>0</v>
      </c>
      <c r="K67" s="1">
        <v>0</v>
      </c>
    </row>
    <row r="68" spans="1:11" x14ac:dyDescent="0.3">
      <c r="A68" s="1" t="str">
        <v>Transmission</v>
      </c>
      <c r="B68" s="1">
        <f>'2.0'!B65*$K68</f>
        <v>0</v>
      </c>
      <c r="C68" s="1">
        <f>'2.0'!C65*$K68</f>
        <v>0</v>
      </c>
      <c r="D68" s="1">
        <f>'2.0'!D65*$K68</f>
        <v>0</v>
      </c>
      <c r="E68" s="1">
        <f>'2.0'!E65*$K68</f>
        <v>0</v>
      </c>
      <c r="F68" s="1">
        <f>'2.0'!F65*$K68</f>
        <v>0</v>
      </c>
      <c r="G68" s="1">
        <f>'2.0'!G65*$K68</f>
        <v>0</v>
      </c>
      <c r="H68" s="1">
        <f>'2.0'!H65*$K68</f>
        <v>0</v>
      </c>
      <c r="I68" s="1">
        <f>'2.0'!I65*$K68</f>
        <v>0</v>
      </c>
      <c r="J68" s="1">
        <f>'2.0'!J65*$K68</f>
        <v>0</v>
      </c>
      <c r="K68" s="1">
        <v>0</v>
      </c>
    </row>
    <row r="69" spans="1:11" x14ac:dyDescent="0.3">
      <c r="A69" s="1" t="str">
        <v>Substations</v>
      </c>
      <c r="B69" s="1">
        <f>'2.0'!B66*$K69</f>
        <v>0</v>
      </c>
      <c r="C69" s="1">
        <f>'2.0'!C66*$K69</f>
        <v>0</v>
      </c>
      <c r="D69" s="1">
        <f>'2.0'!D66*$K69</f>
        <v>0</v>
      </c>
      <c r="E69" s="1">
        <f>'2.0'!E66*$K69</f>
        <v>0</v>
      </c>
      <c r="F69" s="1">
        <f>'2.0'!F66*$K69</f>
        <v>0</v>
      </c>
      <c r="G69" s="1">
        <f>'2.0'!G66*$K69</f>
        <v>0</v>
      </c>
      <c r="H69" s="1">
        <f>'2.0'!H66*$K69</f>
        <v>0</v>
      </c>
      <c r="I69" s="1">
        <f>'2.0'!I66*$K69</f>
        <v>0</v>
      </c>
      <c r="J69" s="1">
        <f>'2.0'!J66*$K69</f>
        <v>0</v>
      </c>
      <c r="K69" s="1">
        <v>0</v>
      </c>
    </row>
    <row r="70" spans="1:11" x14ac:dyDescent="0.3">
      <c r="A70" s="1" t="str">
        <v>Primary Lines</v>
      </c>
      <c r="B70" s="1">
        <f>'2.0'!B67*$K70</f>
        <v>8731401.2887196876</v>
      </c>
      <c r="C70" s="1">
        <f>'2.0'!C67*$K70</f>
        <v>1016412.6710824539</v>
      </c>
      <c r="D70" s="1">
        <f>'2.0'!D67*$K70</f>
        <v>67918.489201192817</v>
      </c>
      <c r="E70" s="1">
        <f>'2.0'!E67*$K70</f>
        <v>1038614.2661985112</v>
      </c>
      <c r="F70" s="1">
        <f>'2.0'!F67*$K70</f>
        <v>215710.17266607075</v>
      </c>
      <c r="G70" s="1">
        <f>'2.0'!G67*$K70</f>
        <v>37440.559811102416</v>
      </c>
      <c r="H70" s="1">
        <f>'2.0'!H67*$K70</f>
        <v>919.59269711479624</v>
      </c>
      <c r="I70" s="1">
        <f>'2.0'!I67*$K70</f>
        <v>668307.42410891305</v>
      </c>
      <c r="J70" s="1">
        <f>'2.0'!J67*$K70</f>
        <v>38885.634049425673</v>
      </c>
      <c r="K70" s="1">
        <v>11815610.098534472</v>
      </c>
    </row>
    <row r="71" spans="1:11" x14ac:dyDescent="0.3">
      <c r="A71" s="1" t="str">
        <v>Transformers</v>
      </c>
      <c r="B71" s="1">
        <f>'2.0'!B68*$K71</f>
        <v>4840407.5411773091</v>
      </c>
      <c r="C71" s="1">
        <f>'2.0'!C68*$K71</f>
        <v>563466.43515420135</v>
      </c>
      <c r="D71" s="1">
        <f>'2.0'!D68*$K71</f>
        <v>37651.822020773187</v>
      </c>
      <c r="E71" s="1">
        <f>'2.0'!E68*$K71</f>
        <v>575774.28413197829</v>
      </c>
      <c r="F71" s="1">
        <f>'2.0'!F68*$K71</f>
        <v>119582.76935804558</v>
      </c>
      <c r="G71" s="1">
        <f>'2.0'!G68*$K71</f>
        <v>20755.839992109013</v>
      </c>
      <c r="H71" s="1">
        <f>'2.0'!H68*$K71</f>
        <v>436.9650524654528</v>
      </c>
      <c r="I71" s="1">
        <f>'2.0'!I68*$K71</f>
        <v>370488.10248370864</v>
      </c>
      <c r="J71" s="1">
        <f>'2.0'!J68*$K71</f>
        <v>21556.942588295675</v>
      </c>
      <c r="K71" s="1">
        <v>6550120.7019588863</v>
      </c>
    </row>
    <row r="72" spans="1:11" x14ac:dyDescent="0.3">
      <c r="A72" s="1" t="str">
        <v>Secondary Lines</v>
      </c>
      <c r="B72" s="1">
        <f>'2.0'!B69*$K72</f>
        <v>3038038.2796637216</v>
      </c>
      <c r="C72" s="1">
        <f>'2.0'!C69*$K72</f>
        <v>353654.64266005979</v>
      </c>
      <c r="D72" s="1">
        <f>'2.0'!D69*$K72</f>
        <v>23631.827614740971</v>
      </c>
      <c r="E72" s="1">
        <f>'2.0'!E69*$K72</f>
        <v>361379.55342774105</v>
      </c>
      <c r="F72" s="1">
        <f>'2.0'!F69*$K72</f>
        <v>75055.050180666687</v>
      </c>
      <c r="G72" s="1">
        <f>'2.0'!G69*$K72</f>
        <v>13027.216383367848</v>
      </c>
      <c r="H72" s="1">
        <f>'2.0'!H69*$K72</f>
        <v>274.25718701827049</v>
      </c>
      <c r="I72" s="1">
        <f>'2.0'!I69*$K72</f>
        <v>232533.52696655761</v>
      </c>
      <c r="J72" s="1">
        <f>'2.0'!J69*$K72</f>
        <v>13530.021226234676</v>
      </c>
      <c r="K72" s="1">
        <v>4111124.3753101081</v>
      </c>
    </row>
    <row r="73" spans="1:11" x14ac:dyDescent="0.3">
      <c r="A73" s="1" t="str">
        <v>Service Lines</v>
      </c>
      <c r="B73" s="1">
        <f>'2.0'!B70*$K73</f>
        <v>5247012.2221051324</v>
      </c>
      <c r="C73" s="1">
        <f>'2.0'!C70*$K73</f>
        <v>719732.8005484828</v>
      </c>
      <c r="D73" s="1">
        <f>'2.0'!D70*$K73</f>
        <v>48031.832007632838</v>
      </c>
      <c r="E73" s="1">
        <f>'2.0'!E70*$K73</f>
        <v>692365.82649762218</v>
      </c>
      <c r="F73" s="1">
        <f>'2.0'!F70*$K73</f>
        <v>171834.80985676401</v>
      </c>
      <c r="G73" s="1">
        <f>'2.0'!G70*$K73</f>
        <v>69069.029747410023</v>
      </c>
      <c r="H73" s="1">
        <f>'2.0'!H70*$K73</f>
        <v>6143.6064195809449</v>
      </c>
      <c r="I73" s="1">
        <f>'2.0'!I70*$K73</f>
        <v>274042.08029161062</v>
      </c>
      <c r="J73" s="1">
        <f>'2.0'!J70*$K73</f>
        <v>16010.610669210946</v>
      </c>
      <c r="K73" s="1">
        <v>7244242.818143446</v>
      </c>
    </row>
    <row r="74" spans="1:11" x14ac:dyDescent="0.3">
      <c r="A74" s="1" t="str">
        <v>Meter Assets</v>
      </c>
      <c r="B74" s="1">
        <f>'2.0'!B71*$K74</f>
        <v>1408636.5257082109</v>
      </c>
      <c r="C74" s="1">
        <f>'2.0'!C71*$K74</f>
        <v>163765.94603984512</v>
      </c>
      <c r="D74" s="1">
        <f>'2.0'!D71*$K74</f>
        <v>10806.889840192825</v>
      </c>
      <c r="E74" s="1">
        <f>'2.0'!E71*$K74</f>
        <v>842937.4075350404</v>
      </c>
      <c r="F74" s="1">
        <f>'2.0'!F71*$K74</f>
        <v>174988.48548927615</v>
      </c>
      <c r="G74" s="1">
        <f>'2.0'!G71*$K74</f>
        <v>30342.421474387549</v>
      </c>
      <c r="H74" s="1">
        <f>'2.0'!H71*$K74</f>
        <v>15794.685151051053</v>
      </c>
      <c r="I74" s="1">
        <f>'2.0'!I71*$K74</f>
        <v>0</v>
      </c>
      <c r="J74" s="1">
        <f>'2.0'!J71*$K74</f>
        <v>0</v>
      </c>
      <c r="K74" s="1">
        <v>2647272.3612380042</v>
      </c>
    </row>
    <row r="75" spans="1:11" x14ac:dyDescent="0.3">
      <c r="A75" s="1" t="str">
        <v>Meter Reading</v>
      </c>
      <c r="B75" s="1">
        <f>'2.0'!B72*$K75</f>
        <v>1176338.6761471634</v>
      </c>
      <c r="C75" s="1">
        <f>'2.0'!C72*$K75</f>
        <v>79879.49160630093</v>
      </c>
      <c r="D75" s="1">
        <f>'2.0'!D72*$K75</f>
        <v>9150.3234167080445</v>
      </c>
      <c r="E75" s="1">
        <f>'2.0'!E72*$K75</f>
        <v>139927.38284815048</v>
      </c>
      <c r="F75" s="1">
        <f>'2.0'!F72*$K75</f>
        <v>14530.784381271382</v>
      </c>
      <c r="G75" s="1">
        <f>'2.0'!G72*$K75</f>
        <v>5044.182154278129</v>
      </c>
      <c r="H75" s="1">
        <f>'2.0'!H72*$K75</f>
        <v>619.46096631485796</v>
      </c>
      <c r="I75" s="1">
        <f>'2.0'!I72*$K75</f>
        <v>0</v>
      </c>
      <c r="J75" s="1">
        <f>'2.0'!J72*$K75</f>
        <v>0</v>
      </c>
      <c r="K75" s="1">
        <v>1425490.3015201872</v>
      </c>
    </row>
    <row r="76" spans="1:11" x14ac:dyDescent="0.3">
      <c r="A76" s="1" t="str">
        <v>Billing</v>
      </c>
      <c r="B76" s="1">
        <f>'2.0'!B73*$K76</f>
        <v>851666.76118856226</v>
      </c>
      <c r="C76" s="1">
        <f>'2.0'!C73*$K76</f>
        <v>57832.586211095913</v>
      </c>
      <c r="D76" s="1">
        <f>'2.0'!D73*$K76</f>
        <v>6624.8151711375585</v>
      </c>
      <c r="E76" s="1">
        <f>'2.0'!E73*$K76</f>
        <v>101307.13489944591</v>
      </c>
      <c r="F76" s="1">
        <f>'2.0'!F73*$K76</f>
        <v>10520.257747589818</v>
      </c>
      <c r="G76" s="1">
        <f>'2.0'!G73*$K76</f>
        <v>3651.9774154239926</v>
      </c>
      <c r="H76" s="1">
        <f>'2.0'!H73*$K76</f>
        <v>2242.4422726287671</v>
      </c>
      <c r="I76" s="1">
        <f>'2.0'!I73*$K76</f>
        <v>3993.6829045864715</v>
      </c>
      <c r="J76" s="1">
        <f>'2.0'!J73*$K76</f>
        <v>49333.729997832888</v>
      </c>
      <c r="K76" s="1">
        <v>1087173.3878083036</v>
      </c>
    </row>
    <row r="77" spans="1:11" x14ac:dyDescent="0.3">
      <c r="A77" s="1" t="str">
        <v>Remittance &amp; Collection</v>
      </c>
      <c r="B77" s="1">
        <f>'2.0'!B74*$K77</f>
        <v>688564.34013199038</v>
      </c>
      <c r="C77" s="1">
        <f>'2.0'!C74*$K77</f>
        <v>46757.086664972107</v>
      </c>
      <c r="D77" s="1">
        <f>'2.0'!D74*$K77</f>
        <v>5356.0989986795712</v>
      </c>
      <c r="E77" s="1">
        <f>'2.0'!E74*$K77</f>
        <v>81905.838846345621</v>
      </c>
      <c r="F77" s="1">
        <f>'2.0'!F74*$K77</f>
        <v>8505.5266497406737</v>
      </c>
      <c r="G77" s="1">
        <f>'2.0'!G74*$K77</f>
        <v>2952.5884228697832</v>
      </c>
      <c r="H77" s="1">
        <f>'2.0'!H74*$K77</f>
        <v>72.519715649433266</v>
      </c>
      <c r="I77" s="1">
        <f>'2.0'!I74*$K77</f>
        <v>4391.9321125213928</v>
      </c>
      <c r="J77" s="1">
        <f>'2.0'!J74*$K77</f>
        <v>3066.5479760331787</v>
      </c>
      <c r="K77" s="1">
        <v>841572.47951880214</v>
      </c>
    </row>
    <row r="78" spans="1:11" x14ac:dyDescent="0.3">
      <c r="A78" s="1" t="str">
        <v>Uncollectibles &amp; Damage Claims</v>
      </c>
      <c r="B78" s="1">
        <f>'2.0'!B75*$K78</f>
        <v>337299.25683073915</v>
      </c>
      <c r="C78" s="1">
        <f>'2.0'!C75*$K78</f>
        <v>39264.629725858038</v>
      </c>
      <c r="D78" s="1">
        <f>'2.0'!D75*$K78</f>
        <v>2623.7318816425759</v>
      </c>
      <c r="E78" s="1">
        <f>'2.0'!E75*$K78</f>
        <v>40122.290631075826</v>
      </c>
      <c r="F78" s="1">
        <f>'2.0'!F75*$K78</f>
        <v>8333.0130554296102</v>
      </c>
      <c r="G78" s="1">
        <f>'2.0'!G75*$K78</f>
        <v>0</v>
      </c>
      <c r="H78" s="1">
        <f>'2.0'!H75*$K78</f>
        <v>0</v>
      </c>
      <c r="I78" s="1">
        <f>'2.0'!I75*$K78</f>
        <v>0</v>
      </c>
      <c r="J78" s="1">
        <f>'2.0'!J75*$K78</f>
        <v>0</v>
      </c>
      <c r="K78" s="1">
        <v>427642.92212474521</v>
      </c>
    </row>
    <row r="79" spans="1:11" x14ac:dyDescent="0.3">
      <c r="A79" s="1" t="str">
        <v>Service Connections</v>
      </c>
      <c r="B79" s="1">
        <f>'2.0'!B76*$K79</f>
        <v>-242257.12951231014</v>
      </c>
      <c r="C79" s="1">
        <f>'2.0'!C76*$K79</f>
        <v>-19477.960161793784</v>
      </c>
      <c r="D79" s="1">
        <f>'2.0'!D76*$K79</f>
        <v>0</v>
      </c>
      <c r="E79" s="1">
        <f>'2.0'!E76*$K79</f>
        <v>-18869.273906737726</v>
      </c>
      <c r="F79" s="1">
        <f>'2.0'!F76*$K79</f>
        <v>-3652.1175303363339</v>
      </c>
      <c r="G79" s="1">
        <f>'2.0'!G76*$K79</f>
        <v>0</v>
      </c>
      <c r="H79" s="1">
        <f>'2.0'!H76*$K79</f>
        <v>0</v>
      </c>
      <c r="I79" s="1">
        <f>'2.0'!I76*$K79</f>
        <v>0</v>
      </c>
      <c r="J79" s="1">
        <f>'2.0'!J76*$K79</f>
        <v>0</v>
      </c>
      <c r="K79" s="1">
        <v>-284256.481111178</v>
      </c>
    </row>
    <row r="80" spans="1:11" x14ac:dyDescent="0.3">
      <c r="A80" s="1" t="str">
        <v>Late Payments</v>
      </c>
      <c r="B80" s="1">
        <f>'2.0'!B77*$K80</f>
        <v>-465907.46942032152</v>
      </c>
      <c r="C80" s="1">
        <f>'2.0'!C77*$K80</f>
        <v>-15433.787806884357</v>
      </c>
      <c r="D80" s="1">
        <f>'2.0'!D77*$K80</f>
        <v>-9646.1173793027228</v>
      </c>
      <c r="E80" s="1">
        <f>'2.0'!E77*$K80</f>
        <v>-78133.550772352057</v>
      </c>
      <c r="F80" s="1">
        <f>'2.0'!F77*$K80</f>
        <v>-4823.0586896513614</v>
      </c>
      <c r="G80" s="1">
        <f>'2.0'!G77*$K80</f>
        <v>-26044.51692411735</v>
      </c>
      <c r="H80" s="1">
        <f>'2.0'!H77*$K80</f>
        <v>0</v>
      </c>
      <c r="I80" s="1">
        <f>'2.0'!I77*$K80</f>
        <v>-964.61173793027228</v>
      </c>
      <c r="J80" s="1">
        <f>'2.0'!J77*$K80</f>
        <v>0</v>
      </c>
      <c r="K80" s="1">
        <v>-600953.11273055966</v>
      </c>
    </row>
    <row r="81" spans="1:13" x14ac:dyDescent="0.3">
      <c r="A81" s="1" t="str">
        <v>Lighting</v>
      </c>
      <c r="B81" s="1">
        <f>'2.0'!B78*$K81</f>
        <v>0</v>
      </c>
      <c r="C81" s="1">
        <f>'2.0'!C78*$K81</f>
        <v>0</v>
      </c>
      <c r="D81" s="1">
        <f>'2.0'!D78*$K81</f>
        <v>0</v>
      </c>
      <c r="E81" s="1">
        <f>'2.0'!E78*$K81</f>
        <v>0</v>
      </c>
      <c r="F81" s="1">
        <f>'2.0'!F78*$K81</f>
        <v>0</v>
      </c>
      <c r="G81" s="1">
        <f>'2.0'!G78*$K81</f>
        <v>0</v>
      </c>
      <c r="H81" s="1">
        <f>'2.0'!H78*$K81</f>
        <v>0</v>
      </c>
      <c r="I81" s="1">
        <f>'2.0'!I78*$K81</f>
        <v>1270445.8658286724</v>
      </c>
      <c r="J81" s="1">
        <f>'2.0'!J78*$K81</f>
        <v>0</v>
      </c>
      <c r="K81" s="1">
        <v>1270445.8658286724</v>
      </c>
    </row>
    <row r="82" spans="1:13" x14ac:dyDescent="0.3">
      <c r="A82" s="2" t="s">
        <v>214</v>
      </c>
      <c r="B82" s="1">
        <f t="shared" ref="B82:J82" si="3">SUBTOTAL(9,B66:B81)</f>
        <v>25611200.292739887</v>
      </c>
      <c r="C82" s="1">
        <f t="shared" si="3"/>
        <v>3005854.5417245915</v>
      </c>
      <c r="D82" s="1">
        <f t="shared" si="3"/>
        <v>202149.71277339768</v>
      </c>
      <c r="E82" s="1">
        <f t="shared" si="3"/>
        <v>3777331.1603368209</v>
      </c>
      <c r="F82" s="1">
        <f t="shared" si="3"/>
        <v>790585.69316486688</v>
      </c>
      <c r="G82" s="1">
        <f t="shared" si="3"/>
        <v>156239.29847683141</v>
      </c>
      <c r="H82" s="1">
        <f t="shared" si="3"/>
        <v>26503.529461823575</v>
      </c>
      <c r="I82" s="1">
        <f t="shared" si="3"/>
        <v>2823238.0029586405</v>
      </c>
      <c r="J82" s="1">
        <f t="shared" si="3"/>
        <v>142383.48650703303</v>
      </c>
      <c r="K82" s="1">
        <f>SUM(K66:K81)</f>
        <v>36535485.71814388</v>
      </c>
      <c r="M82" s="73">
        <f>K82/$K$22</f>
        <v>0.15013635607617865</v>
      </c>
    </row>
    <row r="84" spans="1:13" x14ac:dyDescent="0.3">
      <c r="A84" s="1" t="s">
        <v>540</v>
      </c>
    </row>
    <row r="85" spans="1:13" s="9" customFormat="1" ht="40.5" x14ac:dyDescent="0.25">
      <c r="B85" s="17" t="str">
        <f t="array" ref="B85:J85">TRANSPOSE(List_Classes)</f>
        <v>Residential</v>
      </c>
      <c r="C85" s="17" t="str">
        <v>Residential (S)</v>
      </c>
      <c r="D85" s="17" t="str">
        <v>Farm</v>
      </c>
      <c r="E85" s="17" t="str">
        <v>General Service 1</v>
      </c>
      <c r="F85" s="17" t="str">
        <v>General Service 1 (S)</v>
      </c>
      <c r="G85" s="17" t="str">
        <v>Small Industrial</v>
      </c>
      <c r="H85" s="17" t="str">
        <v>Large Industrial</v>
      </c>
      <c r="I85" s="17" t="str">
        <v>Lights</v>
      </c>
      <c r="J85" s="17" t="str">
        <v>Unmetered</v>
      </c>
      <c r="K85" s="17" t="s">
        <v>214</v>
      </c>
    </row>
    <row r="86" spans="1:13" x14ac:dyDescent="0.3">
      <c r="A86" s="1" t="str">
        <f t="array" ref="A86:A101">List_Functions</f>
        <v>Generation</v>
      </c>
      <c r="B86" s="1" t="b">
        <f t="shared" ref="B86:K86" si="4">ROUND(B6,2)=ROUND(SUM(B26,B46,B66),2)</f>
        <v>1</v>
      </c>
      <c r="C86" s="1" t="b">
        <f t="shared" si="4"/>
        <v>1</v>
      </c>
      <c r="D86" s="1" t="b">
        <f t="shared" si="4"/>
        <v>1</v>
      </c>
      <c r="E86" s="1" t="b">
        <f t="shared" si="4"/>
        <v>1</v>
      </c>
      <c r="F86" s="1" t="b">
        <f t="shared" si="4"/>
        <v>1</v>
      </c>
      <c r="G86" s="1" t="b">
        <f t="shared" si="4"/>
        <v>1</v>
      </c>
      <c r="H86" s="1" t="b">
        <f t="shared" si="4"/>
        <v>1</v>
      </c>
      <c r="I86" s="1" t="b">
        <f t="shared" si="4"/>
        <v>1</v>
      </c>
      <c r="J86" s="1" t="b">
        <f t="shared" si="4"/>
        <v>1</v>
      </c>
      <c r="K86" s="1" t="b">
        <f t="shared" si="4"/>
        <v>1</v>
      </c>
    </row>
    <row r="87" spans="1:13" x14ac:dyDescent="0.3">
      <c r="A87" s="1" t="str">
        <v>Purchased Power</v>
      </c>
      <c r="B87" s="1" t="b">
        <f t="shared" ref="B87:K87" si="5">ROUND(B7,2)=ROUND(SUM(B27,B47,B67),2)</f>
        <v>1</v>
      </c>
      <c r="C87" s="1" t="b">
        <f t="shared" si="5"/>
        <v>1</v>
      </c>
      <c r="D87" s="1" t="b">
        <f t="shared" si="5"/>
        <v>1</v>
      </c>
      <c r="E87" s="1" t="b">
        <f t="shared" si="5"/>
        <v>1</v>
      </c>
      <c r="F87" s="1" t="b">
        <f t="shared" si="5"/>
        <v>1</v>
      </c>
      <c r="G87" s="1" t="b">
        <f t="shared" si="5"/>
        <v>1</v>
      </c>
      <c r="H87" s="1" t="b">
        <f t="shared" si="5"/>
        <v>1</v>
      </c>
      <c r="I87" s="1" t="b">
        <f t="shared" si="5"/>
        <v>1</v>
      </c>
      <c r="J87" s="1" t="b">
        <f t="shared" si="5"/>
        <v>1</v>
      </c>
      <c r="K87" s="1" t="b">
        <f t="shared" si="5"/>
        <v>1</v>
      </c>
    </row>
    <row r="88" spans="1:13" x14ac:dyDescent="0.3">
      <c r="A88" s="1" t="str">
        <v>Transmission</v>
      </c>
      <c r="B88" s="1" t="b">
        <f t="shared" ref="B88:K88" si="6">ROUND(B8,2)=ROUND(SUM(B28,B48,B68),2)</f>
        <v>1</v>
      </c>
      <c r="C88" s="1" t="b">
        <f t="shared" si="6"/>
        <v>1</v>
      </c>
      <c r="D88" s="1" t="b">
        <f t="shared" si="6"/>
        <v>1</v>
      </c>
      <c r="E88" s="1" t="b">
        <f t="shared" si="6"/>
        <v>1</v>
      </c>
      <c r="F88" s="1" t="b">
        <f t="shared" si="6"/>
        <v>1</v>
      </c>
      <c r="G88" s="1" t="b">
        <f t="shared" si="6"/>
        <v>1</v>
      </c>
      <c r="H88" s="1" t="b">
        <f t="shared" si="6"/>
        <v>1</v>
      </c>
      <c r="I88" s="1" t="b">
        <f t="shared" si="6"/>
        <v>1</v>
      </c>
      <c r="J88" s="1" t="b">
        <f t="shared" si="6"/>
        <v>1</v>
      </c>
      <c r="K88" s="1" t="b">
        <f t="shared" si="6"/>
        <v>1</v>
      </c>
    </row>
    <row r="89" spans="1:13" x14ac:dyDescent="0.3">
      <c r="A89" s="1" t="str">
        <v>Substations</v>
      </c>
      <c r="B89" s="1" t="b">
        <f t="shared" ref="B89:K89" si="7">ROUND(B9,2)=ROUND(SUM(B29,B49,B69),2)</f>
        <v>1</v>
      </c>
      <c r="C89" s="1" t="b">
        <f t="shared" si="7"/>
        <v>1</v>
      </c>
      <c r="D89" s="1" t="b">
        <f t="shared" si="7"/>
        <v>1</v>
      </c>
      <c r="E89" s="1" t="b">
        <f t="shared" si="7"/>
        <v>1</v>
      </c>
      <c r="F89" s="1" t="b">
        <f t="shared" si="7"/>
        <v>1</v>
      </c>
      <c r="G89" s="1" t="b">
        <f t="shared" si="7"/>
        <v>1</v>
      </c>
      <c r="H89" s="1" t="b">
        <f t="shared" si="7"/>
        <v>1</v>
      </c>
      <c r="I89" s="1" t="b">
        <f t="shared" si="7"/>
        <v>1</v>
      </c>
      <c r="J89" s="1" t="b">
        <f t="shared" si="7"/>
        <v>1</v>
      </c>
      <c r="K89" s="1" t="b">
        <f t="shared" si="7"/>
        <v>1</v>
      </c>
    </row>
    <row r="90" spans="1:13" x14ac:dyDescent="0.3">
      <c r="A90" s="1" t="str">
        <v>Primary Lines</v>
      </c>
      <c r="B90" s="1" t="b">
        <f t="shared" ref="B90:K90" si="8">ROUND(B10,2)=ROUND(SUM(B30,B50,B70),2)</f>
        <v>1</v>
      </c>
      <c r="C90" s="1" t="b">
        <f t="shared" si="8"/>
        <v>1</v>
      </c>
      <c r="D90" s="1" t="b">
        <f t="shared" si="8"/>
        <v>1</v>
      </c>
      <c r="E90" s="1" t="b">
        <f t="shared" si="8"/>
        <v>1</v>
      </c>
      <c r="F90" s="1" t="b">
        <f t="shared" si="8"/>
        <v>1</v>
      </c>
      <c r="G90" s="1" t="b">
        <f t="shared" si="8"/>
        <v>1</v>
      </c>
      <c r="H90" s="1" t="b">
        <f t="shared" si="8"/>
        <v>1</v>
      </c>
      <c r="I90" s="1" t="b">
        <f t="shared" si="8"/>
        <v>1</v>
      </c>
      <c r="J90" s="1" t="b">
        <f t="shared" si="8"/>
        <v>1</v>
      </c>
      <c r="K90" s="1" t="b">
        <f t="shared" si="8"/>
        <v>1</v>
      </c>
    </row>
    <row r="91" spans="1:13" x14ac:dyDescent="0.3">
      <c r="A91" s="1" t="str">
        <v>Transformers</v>
      </c>
      <c r="B91" s="1" t="b">
        <f t="shared" ref="B91:K91" si="9">ROUND(B11,2)=ROUND(SUM(B31,B51,B71),2)</f>
        <v>1</v>
      </c>
      <c r="C91" s="1" t="b">
        <f t="shared" si="9"/>
        <v>1</v>
      </c>
      <c r="D91" s="1" t="b">
        <f t="shared" si="9"/>
        <v>1</v>
      </c>
      <c r="E91" s="1" t="b">
        <f t="shared" si="9"/>
        <v>1</v>
      </c>
      <c r="F91" s="1" t="b">
        <f t="shared" si="9"/>
        <v>1</v>
      </c>
      <c r="G91" s="1" t="b">
        <f t="shared" si="9"/>
        <v>1</v>
      </c>
      <c r="H91" s="1" t="b">
        <f t="shared" si="9"/>
        <v>1</v>
      </c>
      <c r="I91" s="1" t="b">
        <f t="shared" si="9"/>
        <v>1</v>
      </c>
      <c r="J91" s="1" t="b">
        <f t="shared" si="9"/>
        <v>1</v>
      </c>
      <c r="K91" s="1" t="b">
        <f t="shared" si="9"/>
        <v>1</v>
      </c>
    </row>
    <row r="92" spans="1:13" x14ac:dyDescent="0.3">
      <c r="A92" s="1" t="str">
        <v>Secondary Lines</v>
      </c>
      <c r="B92" s="1" t="b">
        <f t="shared" ref="B92:K92" si="10">ROUND(B12,2)=ROUND(SUM(B32,B52,B72),2)</f>
        <v>1</v>
      </c>
      <c r="C92" s="1" t="b">
        <f t="shared" si="10"/>
        <v>1</v>
      </c>
      <c r="D92" s="1" t="b">
        <f t="shared" si="10"/>
        <v>1</v>
      </c>
      <c r="E92" s="1" t="b">
        <f t="shared" si="10"/>
        <v>1</v>
      </c>
      <c r="F92" s="1" t="b">
        <f t="shared" si="10"/>
        <v>1</v>
      </c>
      <c r="G92" s="1" t="b">
        <f t="shared" si="10"/>
        <v>1</v>
      </c>
      <c r="H92" s="1" t="b">
        <f t="shared" si="10"/>
        <v>1</v>
      </c>
      <c r="I92" s="1" t="b">
        <f t="shared" si="10"/>
        <v>1</v>
      </c>
      <c r="J92" s="1" t="b">
        <f t="shared" si="10"/>
        <v>1</v>
      </c>
      <c r="K92" s="1" t="b">
        <f t="shared" si="10"/>
        <v>1</v>
      </c>
    </row>
    <row r="93" spans="1:13" x14ac:dyDescent="0.3">
      <c r="A93" s="1" t="str">
        <v>Service Lines</v>
      </c>
      <c r="B93" s="1" t="b">
        <f t="shared" ref="B93:K93" si="11">ROUND(B13,2)=ROUND(SUM(B33,B53,B73),2)</f>
        <v>1</v>
      </c>
      <c r="C93" s="1" t="b">
        <f t="shared" si="11"/>
        <v>1</v>
      </c>
      <c r="D93" s="1" t="b">
        <f t="shared" si="11"/>
        <v>1</v>
      </c>
      <c r="E93" s="1" t="b">
        <f t="shared" si="11"/>
        <v>1</v>
      </c>
      <c r="F93" s="1" t="b">
        <f t="shared" si="11"/>
        <v>1</v>
      </c>
      <c r="G93" s="1" t="b">
        <f t="shared" si="11"/>
        <v>1</v>
      </c>
      <c r="H93" s="1" t="b">
        <f t="shared" si="11"/>
        <v>1</v>
      </c>
      <c r="I93" s="1" t="b">
        <f t="shared" si="11"/>
        <v>1</v>
      </c>
      <c r="J93" s="1" t="b">
        <f t="shared" si="11"/>
        <v>1</v>
      </c>
      <c r="K93" s="1" t="b">
        <f t="shared" si="11"/>
        <v>1</v>
      </c>
    </row>
    <row r="94" spans="1:13" x14ac:dyDescent="0.3">
      <c r="A94" s="1" t="str">
        <v>Meter Assets</v>
      </c>
      <c r="B94" s="1" t="b">
        <f t="shared" ref="B94:K94" si="12">ROUND(B14,2)=ROUND(SUM(B34,B54,B74),2)</f>
        <v>1</v>
      </c>
      <c r="C94" s="1" t="b">
        <f t="shared" si="12"/>
        <v>1</v>
      </c>
      <c r="D94" s="1" t="b">
        <f t="shared" si="12"/>
        <v>1</v>
      </c>
      <c r="E94" s="1" t="b">
        <f t="shared" si="12"/>
        <v>1</v>
      </c>
      <c r="F94" s="1" t="b">
        <f t="shared" si="12"/>
        <v>1</v>
      </c>
      <c r="G94" s="1" t="b">
        <f t="shared" si="12"/>
        <v>1</v>
      </c>
      <c r="H94" s="1" t="b">
        <f t="shared" si="12"/>
        <v>1</v>
      </c>
      <c r="I94" s="1" t="b">
        <f t="shared" si="12"/>
        <v>1</v>
      </c>
      <c r="J94" s="1" t="b">
        <f t="shared" si="12"/>
        <v>1</v>
      </c>
      <c r="K94" s="1" t="b">
        <f t="shared" si="12"/>
        <v>1</v>
      </c>
    </row>
    <row r="95" spans="1:13" x14ac:dyDescent="0.3">
      <c r="A95" s="1" t="str">
        <v>Meter Reading</v>
      </c>
      <c r="B95" s="1" t="b">
        <f t="shared" ref="B95:K95" si="13">ROUND(B15,2)=ROUND(SUM(B35,B55,B75),2)</f>
        <v>1</v>
      </c>
      <c r="C95" s="1" t="b">
        <f t="shared" si="13"/>
        <v>1</v>
      </c>
      <c r="D95" s="1" t="b">
        <f t="shared" si="13"/>
        <v>1</v>
      </c>
      <c r="E95" s="1" t="b">
        <f t="shared" si="13"/>
        <v>1</v>
      </c>
      <c r="F95" s="1" t="b">
        <f t="shared" si="13"/>
        <v>1</v>
      </c>
      <c r="G95" s="1" t="b">
        <f t="shared" si="13"/>
        <v>1</v>
      </c>
      <c r="H95" s="1" t="b">
        <f t="shared" si="13"/>
        <v>1</v>
      </c>
      <c r="I95" s="1" t="b">
        <f t="shared" si="13"/>
        <v>1</v>
      </c>
      <c r="J95" s="1" t="b">
        <f t="shared" si="13"/>
        <v>1</v>
      </c>
      <c r="K95" s="1" t="b">
        <f t="shared" si="13"/>
        <v>1</v>
      </c>
    </row>
    <row r="96" spans="1:13" x14ac:dyDescent="0.3">
      <c r="A96" s="1" t="str">
        <v>Billing</v>
      </c>
      <c r="B96" s="1" t="b">
        <f t="shared" ref="B96:K96" si="14">ROUND(B16,2)=ROUND(SUM(B36,B56,B76),2)</f>
        <v>1</v>
      </c>
      <c r="C96" s="1" t="b">
        <f t="shared" si="14"/>
        <v>1</v>
      </c>
      <c r="D96" s="1" t="b">
        <f t="shared" si="14"/>
        <v>1</v>
      </c>
      <c r="E96" s="1" t="b">
        <f t="shared" si="14"/>
        <v>1</v>
      </c>
      <c r="F96" s="1" t="b">
        <f t="shared" si="14"/>
        <v>1</v>
      </c>
      <c r="G96" s="1" t="b">
        <f t="shared" si="14"/>
        <v>1</v>
      </c>
      <c r="H96" s="1" t="b">
        <f t="shared" si="14"/>
        <v>1</v>
      </c>
      <c r="I96" s="1" t="b">
        <f t="shared" si="14"/>
        <v>1</v>
      </c>
      <c r="J96" s="1" t="b">
        <f t="shared" si="14"/>
        <v>1</v>
      </c>
      <c r="K96" s="1" t="b">
        <f t="shared" si="14"/>
        <v>1</v>
      </c>
    </row>
    <row r="97" spans="1:11" x14ac:dyDescent="0.3">
      <c r="A97" s="1" t="str">
        <v>Remittance &amp; Collection</v>
      </c>
      <c r="B97" s="1" t="b">
        <f t="shared" ref="B97:K97" si="15">ROUND(B17,2)=ROUND(SUM(B37,B57,B77),2)</f>
        <v>1</v>
      </c>
      <c r="C97" s="1" t="b">
        <f t="shared" si="15"/>
        <v>1</v>
      </c>
      <c r="D97" s="1" t="b">
        <f t="shared" si="15"/>
        <v>1</v>
      </c>
      <c r="E97" s="1" t="b">
        <f t="shared" si="15"/>
        <v>1</v>
      </c>
      <c r="F97" s="1" t="b">
        <f t="shared" si="15"/>
        <v>1</v>
      </c>
      <c r="G97" s="1" t="b">
        <f t="shared" si="15"/>
        <v>1</v>
      </c>
      <c r="H97" s="1" t="b">
        <f t="shared" si="15"/>
        <v>1</v>
      </c>
      <c r="I97" s="1" t="b">
        <f t="shared" si="15"/>
        <v>1</v>
      </c>
      <c r="J97" s="1" t="b">
        <f t="shared" si="15"/>
        <v>1</v>
      </c>
      <c r="K97" s="1" t="b">
        <f t="shared" si="15"/>
        <v>1</v>
      </c>
    </row>
    <row r="98" spans="1:11" x14ac:dyDescent="0.3">
      <c r="A98" s="1" t="str">
        <v>Uncollectibles &amp; Damage Claims</v>
      </c>
      <c r="B98" s="1" t="b">
        <f t="shared" ref="B98:K98" si="16">ROUND(B18,2)=ROUND(SUM(B38,B58,B78),2)</f>
        <v>1</v>
      </c>
      <c r="C98" s="1" t="b">
        <f t="shared" si="16"/>
        <v>1</v>
      </c>
      <c r="D98" s="1" t="b">
        <f t="shared" si="16"/>
        <v>1</v>
      </c>
      <c r="E98" s="1" t="b">
        <f t="shared" si="16"/>
        <v>1</v>
      </c>
      <c r="F98" s="1" t="b">
        <f t="shared" si="16"/>
        <v>1</v>
      </c>
      <c r="G98" s="1" t="b">
        <f t="shared" si="16"/>
        <v>1</v>
      </c>
      <c r="H98" s="1" t="b">
        <f t="shared" si="16"/>
        <v>1</v>
      </c>
      <c r="I98" s="1" t="b">
        <f t="shared" si="16"/>
        <v>1</v>
      </c>
      <c r="J98" s="1" t="b">
        <f t="shared" si="16"/>
        <v>1</v>
      </c>
      <c r="K98" s="1" t="b">
        <f t="shared" si="16"/>
        <v>1</v>
      </c>
    </row>
    <row r="99" spans="1:11" x14ac:dyDescent="0.3">
      <c r="A99" s="1" t="str">
        <v>Service Connections</v>
      </c>
      <c r="B99" s="1" t="b">
        <f t="shared" ref="B99:K99" si="17">ROUND(B19,2)=ROUND(SUM(B39,B59,B79),2)</f>
        <v>1</v>
      </c>
      <c r="C99" s="1" t="b">
        <f t="shared" si="17"/>
        <v>1</v>
      </c>
      <c r="D99" s="1" t="b">
        <f t="shared" si="17"/>
        <v>1</v>
      </c>
      <c r="E99" s="1" t="b">
        <f t="shared" si="17"/>
        <v>1</v>
      </c>
      <c r="F99" s="1" t="b">
        <f t="shared" si="17"/>
        <v>1</v>
      </c>
      <c r="G99" s="1" t="b">
        <f t="shared" si="17"/>
        <v>1</v>
      </c>
      <c r="H99" s="1" t="b">
        <f t="shared" si="17"/>
        <v>1</v>
      </c>
      <c r="I99" s="1" t="b">
        <f t="shared" si="17"/>
        <v>1</v>
      </c>
      <c r="J99" s="1" t="b">
        <f t="shared" si="17"/>
        <v>1</v>
      </c>
      <c r="K99" s="1" t="b">
        <f t="shared" si="17"/>
        <v>1</v>
      </c>
    </row>
    <row r="100" spans="1:11" x14ac:dyDescent="0.3">
      <c r="A100" s="1" t="str">
        <v>Late Payments</v>
      </c>
      <c r="B100" s="1" t="b">
        <f t="shared" ref="B100:K100" si="18">ROUND(B20,2)=ROUND(SUM(B40,B60,B80),2)</f>
        <v>1</v>
      </c>
      <c r="C100" s="1" t="b">
        <f t="shared" si="18"/>
        <v>1</v>
      </c>
      <c r="D100" s="1" t="b">
        <f t="shared" si="18"/>
        <v>1</v>
      </c>
      <c r="E100" s="1" t="b">
        <f t="shared" si="18"/>
        <v>1</v>
      </c>
      <c r="F100" s="1" t="b">
        <f t="shared" si="18"/>
        <v>1</v>
      </c>
      <c r="G100" s="1" t="b">
        <f t="shared" si="18"/>
        <v>1</v>
      </c>
      <c r="H100" s="1" t="b">
        <f t="shared" si="18"/>
        <v>1</v>
      </c>
      <c r="I100" s="1" t="b">
        <f t="shared" si="18"/>
        <v>1</v>
      </c>
      <c r="J100" s="1" t="b">
        <f t="shared" si="18"/>
        <v>1</v>
      </c>
      <c r="K100" s="1" t="b">
        <f t="shared" si="18"/>
        <v>1</v>
      </c>
    </row>
    <row r="101" spans="1:11" x14ac:dyDescent="0.3">
      <c r="A101" s="1" t="str">
        <v>Lighting</v>
      </c>
      <c r="B101" s="1" t="b">
        <f t="shared" ref="B101:K101" si="19">ROUND(B21,2)=ROUND(SUM(B41,B61,B81),2)</f>
        <v>1</v>
      </c>
      <c r="C101" s="1" t="b">
        <f t="shared" si="19"/>
        <v>1</v>
      </c>
      <c r="D101" s="1" t="b">
        <f t="shared" si="19"/>
        <v>1</v>
      </c>
      <c r="E101" s="1" t="b">
        <f t="shared" si="19"/>
        <v>1</v>
      </c>
      <c r="F101" s="1" t="b">
        <f t="shared" si="19"/>
        <v>1</v>
      </c>
      <c r="G101" s="1" t="b">
        <f t="shared" si="19"/>
        <v>1</v>
      </c>
      <c r="H101" s="1" t="b">
        <f t="shared" si="19"/>
        <v>1</v>
      </c>
      <c r="I101" s="1" t="b">
        <f t="shared" si="19"/>
        <v>1</v>
      </c>
      <c r="J101" s="1" t="b">
        <f t="shared" si="19"/>
        <v>1</v>
      </c>
      <c r="K101" s="1" t="b">
        <f t="shared" si="19"/>
        <v>1</v>
      </c>
    </row>
    <row r="102" spans="1:11" x14ac:dyDescent="0.3">
      <c r="A102" s="2" t="s">
        <v>214</v>
      </c>
      <c r="B102" s="1" t="b">
        <f t="shared" ref="B102:K102" si="20">ROUND(B22,2)=ROUND(SUM(B42,B62,B82),2)</f>
        <v>1</v>
      </c>
      <c r="C102" s="1" t="b">
        <f t="shared" si="20"/>
        <v>1</v>
      </c>
      <c r="D102" s="1" t="b">
        <f t="shared" si="20"/>
        <v>1</v>
      </c>
      <c r="E102" s="1" t="b">
        <f t="shared" si="20"/>
        <v>1</v>
      </c>
      <c r="F102" s="1" t="b">
        <f t="shared" si="20"/>
        <v>1</v>
      </c>
      <c r="G102" s="1" t="b">
        <f t="shared" si="20"/>
        <v>1</v>
      </c>
      <c r="H102" s="1" t="b">
        <f t="shared" si="20"/>
        <v>1</v>
      </c>
      <c r="I102" s="1" t="b">
        <f t="shared" si="20"/>
        <v>1</v>
      </c>
      <c r="J102" s="1" t="b">
        <f t="shared" si="20"/>
        <v>1</v>
      </c>
      <c r="K102" s="1" t="b">
        <f t="shared" si="20"/>
        <v>1</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23" max="10" man="1"/>
    <brk id="43" max="11" man="1"/>
    <brk id="6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78"/>
  <sheetViews>
    <sheetView topLeftCell="A80" zoomScaleNormal="100" zoomScaleSheetLayoutView="40" workbookViewId="0">
      <selection activeCell="E21" sqref="E21"/>
    </sheetView>
  </sheetViews>
  <sheetFormatPr defaultColWidth="8.7109375" defaultRowHeight="13.5" x14ac:dyDescent="0.3"/>
  <cols>
    <col min="1" max="1" width="25.7109375" style="1" customWidth="1"/>
    <col min="2" max="11" width="9.7109375" style="30" customWidth="1"/>
    <col min="12" max="16384" width="8.7109375" style="1"/>
  </cols>
  <sheetData>
    <row r="1" spans="1:11" x14ac:dyDescent="0.3">
      <c r="A1" s="1" t="s">
        <v>560</v>
      </c>
    </row>
    <row r="2" spans="1:11" x14ac:dyDescent="0.3">
      <c r="A2" s="1" t="s">
        <v>533</v>
      </c>
    </row>
    <row r="4" spans="1:11" x14ac:dyDescent="0.3">
      <c r="A4" s="1" t="s">
        <v>25</v>
      </c>
    </row>
    <row r="5" spans="1:11" ht="40.5" x14ac:dyDescent="0.3">
      <c r="B5" s="17" t="str">
        <f t="array" ref="B5:J5">TRANSPOSE(List_Classes)</f>
        <v>Residential</v>
      </c>
      <c r="C5" s="17" t="str">
        <v>Residential (S)</v>
      </c>
      <c r="D5" s="17" t="str">
        <v>Farm</v>
      </c>
      <c r="E5" s="17" t="str">
        <v>General Service 1</v>
      </c>
      <c r="F5" s="17" t="str">
        <v>General Service 1 (S)</v>
      </c>
      <c r="G5" s="17" t="str">
        <v>Small Industrial</v>
      </c>
      <c r="H5" s="17" t="str">
        <v>Large Industrial</v>
      </c>
      <c r="I5" s="17" t="str">
        <v>Lights</v>
      </c>
      <c r="J5" s="17" t="str">
        <v>Unmetered</v>
      </c>
      <c r="K5" s="33" t="s">
        <v>214</v>
      </c>
    </row>
    <row r="6" spans="1:11" x14ac:dyDescent="0.3">
      <c r="A6" s="1" t="str">
        <f t="array" ref="A6:A21">List_Functions</f>
        <v>Generation</v>
      </c>
      <c r="B6" s="30">
        <f t="shared" ref="B6:J15" si="0">VLOOKUP(VLOOKUP($A6,Table_AllocByFunction,2,FALSE),Table_Allocators,COLUMN(),FALSE)</f>
        <v>0.59473845582667773</v>
      </c>
      <c r="C6" s="30">
        <f t="shared" si="0"/>
        <v>1.3941663168096642E-2</v>
      </c>
      <c r="D6" s="30">
        <f>VLOOKUP(VLOOKUP($A6,Table_AllocByFunction,2,FALSE),Table_Allocators,COLUMN(),FALSE)</f>
        <v>2.5566335211998175E-2</v>
      </c>
      <c r="E6" s="30">
        <f t="shared" si="0"/>
        <v>0.22189208756821599</v>
      </c>
      <c r="F6" s="30">
        <f t="shared" si="0"/>
        <v>2.3305342362834442E-3</v>
      </c>
      <c r="G6" s="30">
        <f t="shared" si="0"/>
        <v>6.4143762174055138E-2</v>
      </c>
      <c r="H6" s="30">
        <f t="shared" si="0"/>
        <v>7.3235516600791195E-2</v>
      </c>
      <c r="I6" s="30">
        <f t="shared" si="0"/>
        <v>2.8735626290228881E-3</v>
      </c>
      <c r="J6" s="30">
        <f t="shared" si="0"/>
        <v>1.2780825848587108E-3</v>
      </c>
      <c r="K6" s="30">
        <f t="shared" ref="K6:K21" si="1">SUM(B6:J6)</f>
        <v>1</v>
      </c>
    </row>
    <row r="7" spans="1:11" x14ac:dyDescent="0.3">
      <c r="A7" s="1" t="str">
        <v>Purchased Power</v>
      </c>
      <c r="B7" s="30">
        <f t="shared" si="0"/>
        <v>0.52409705228114201</v>
      </c>
      <c r="C7" s="30">
        <f t="shared" si="0"/>
        <v>1.6874137798126389E-2</v>
      </c>
      <c r="D7" s="30">
        <f t="shared" si="0"/>
        <v>3.0898557238019226E-2</v>
      </c>
      <c r="E7" s="30">
        <f t="shared" si="0"/>
        <v>0.26099983022612372</v>
      </c>
      <c r="F7" s="30">
        <f t="shared" si="0"/>
        <v>5.6883271921324748E-3</v>
      </c>
      <c r="G7" s="30">
        <f t="shared" si="0"/>
        <v>6.2750273365785897E-2</v>
      </c>
      <c r="H7" s="30">
        <f t="shared" si="0"/>
        <v>9.4347824883857095E-2</v>
      </c>
      <c r="I7" s="30">
        <f t="shared" si="0"/>
        <v>2.7163771961632738E-3</v>
      </c>
      <c r="J7" s="30">
        <f t="shared" si="0"/>
        <v>1.627619818649798E-3</v>
      </c>
      <c r="K7" s="30">
        <f t="shared" si="1"/>
        <v>0.99999999999999989</v>
      </c>
    </row>
    <row r="8" spans="1:11" x14ac:dyDescent="0.3">
      <c r="A8" s="1" t="str">
        <v>Transmission</v>
      </c>
      <c r="B8" s="30">
        <f t="shared" si="0"/>
        <v>0.64518431116102526</v>
      </c>
      <c r="C8" s="30">
        <f t="shared" si="0"/>
        <v>1.2035312682143213E-2</v>
      </c>
      <c r="D8" s="30">
        <f t="shared" si="0"/>
        <v>2.2100280056295579E-2</v>
      </c>
      <c r="E8" s="30">
        <f t="shared" si="0"/>
        <v>0.19643177004108439</v>
      </c>
      <c r="F8" s="30">
        <f t="shared" si="0"/>
        <v>8.2453122556615442E-5</v>
      </c>
      <c r="G8" s="30">
        <f t="shared" si="0"/>
        <v>6.5393855820763971E-2</v>
      </c>
      <c r="H8" s="30">
        <f t="shared" si="0"/>
        <v>5.4728970899734157E-2</v>
      </c>
      <c r="I8" s="30">
        <f t="shared" si="0"/>
        <v>2.9939013121419332E-3</v>
      </c>
      <c r="J8" s="30">
        <f t="shared" si="0"/>
        <v>1.0491449042548655E-3</v>
      </c>
      <c r="K8" s="30">
        <f t="shared" si="1"/>
        <v>1</v>
      </c>
    </row>
    <row r="9" spans="1:11" x14ac:dyDescent="0.3">
      <c r="A9" s="1" t="str">
        <v>Substations</v>
      </c>
      <c r="B9" s="30">
        <f t="shared" si="0"/>
        <v>0.67283698037122697</v>
      </c>
      <c r="C9" s="30">
        <f t="shared" si="0"/>
        <v>1.2551147482654332E-2</v>
      </c>
      <c r="D9" s="30">
        <f t="shared" si="0"/>
        <v>2.304750044476072E-2</v>
      </c>
      <c r="E9" s="30">
        <f t="shared" si="0"/>
        <v>0.20485085690565141</v>
      </c>
      <c r="F9" s="30">
        <f t="shared" si="0"/>
        <v>8.5987072288442148E-5</v>
      </c>
      <c r="G9" s="30">
        <f t="shared" si="0"/>
        <v>6.8196643539109286E-2</v>
      </c>
      <c r="H9" s="30">
        <f t="shared" si="0"/>
        <v>1.4214552570716955E-2</v>
      </c>
      <c r="I9" s="30">
        <f t="shared" si="0"/>
        <v>3.1222202455079167E-3</v>
      </c>
      <c r="J9" s="30">
        <f t="shared" si="0"/>
        <v>1.0941113680839709E-3</v>
      </c>
      <c r="K9" s="30">
        <f t="shared" si="1"/>
        <v>0.99999999999999989</v>
      </c>
    </row>
    <row r="10" spans="1:11" x14ac:dyDescent="0.3">
      <c r="A10" s="1" t="str">
        <v>Primary Lines</v>
      </c>
      <c r="B10" s="30">
        <f t="shared" si="0"/>
        <v>0.67906513129984303</v>
      </c>
      <c r="C10" s="30">
        <f t="shared" si="0"/>
        <v>5.3243385656618923E-2</v>
      </c>
      <c r="D10" s="30">
        <f t="shared" si="0"/>
        <v>1.9363913036601382E-2</v>
      </c>
      <c r="E10" s="30">
        <f t="shared" si="0"/>
        <v>0.14778750937609503</v>
      </c>
      <c r="F10" s="30">
        <f t="shared" si="0"/>
        <v>1.4381952010678876E-2</v>
      </c>
      <c r="G10" s="30">
        <f t="shared" si="0"/>
        <v>4.0821856141608319E-2</v>
      </c>
      <c r="H10" s="30">
        <f t="shared" si="0"/>
        <v>1.345914192607886E-2</v>
      </c>
      <c r="I10" s="30">
        <f t="shared" si="0"/>
        <v>2.9719993459297329E-2</v>
      </c>
      <c r="J10" s="30">
        <f t="shared" si="0"/>
        <v>2.157117093178151E-3</v>
      </c>
      <c r="K10" s="30">
        <f t="shared" si="1"/>
        <v>0.99999999999999967</v>
      </c>
    </row>
    <row r="11" spans="1:11" x14ac:dyDescent="0.3">
      <c r="A11" s="1" t="str">
        <v>Transformers</v>
      </c>
      <c r="B11" s="30">
        <f t="shared" si="0"/>
        <v>0.66708720601798299</v>
      </c>
      <c r="C11" s="30">
        <f t="shared" si="0"/>
        <v>4.6688313980911486E-2</v>
      </c>
      <c r="D11" s="30">
        <f t="shared" si="0"/>
        <v>2.2087285273456877E-2</v>
      </c>
      <c r="E11" s="30">
        <f t="shared" si="0"/>
        <v>0.15976555431015252</v>
      </c>
      <c r="F11" s="30">
        <f t="shared" si="0"/>
        <v>1.3605982041312876E-2</v>
      </c>
      <c r="G11" s="30">
        <f t="shared" si="0"/>
        <v>4.835266396727296E-2</v>
      </c>
      <c r="H11" s="30">
        <f t="shared" si="0"/>
        <v>1.6131202406543331E-2</v>
      </c>
      <c r="I11" s="30">
        <f t="shared" si="0"/>
        <v>2.435289732009286E-2</v>
      </c>
      <c r="J11" s="30">
        <f t="shared" si="0"/>
        <v>1.928894682274133E-3</v>
      </c>
      <c r="K11" s="30">
        <f t="shared" si="1"/>
        <v>0.99999999999999989</v>
      </c>
    </row>
    <row r="12" spans="1:11" x14ac:dyDescent="0.3">
      <c r="A12" s="1" t="str">
        <v>Secondary Lines</v>
      </c>
      <c r="B12" s="30">
        <f t="shared" si="0"/>
        <v>0.6790693216779834</v>
      </c>
      <c r="C12" s="30">
        <f t="shared" si="0"/>
        <v>5.3244232437274761E-2</v>
      </c>
      <c r="D12" s="30">
        <f t="shared" si="0"/>
        <v>1.9364115035617798E-2</v>
      </c>
      <c r="E12" s="30">
        <f t="shared" si="0"/>
        <v>0.1477884370927014</v>
      </c>
      <c r="F12" s="30">
        <f t="shared" si="0"/>
        <v>1.438108085513197E-2</v>
      </c>
      <c r="G12" s="30">
        <f t="shared" si="0"/>
        <v>4.0822015329345901E-2</v>
      </c>
      <c r="H12" s="30">
        <f t="shared" si="0"/>
        <v>1.3453787170855269E-2</v>
      </c>
      <c r="I12" s="30">
        <f t="shared" si="0"/>
        <v>2.972108556156031E-2</v>
      </c>
      <c r="J12" s="30">
        <f t="shared" si="0"/>
        <v>2.1559248395292274E-3</v>
      </c>
      <c r="K12" s="30">
        <f t="shared" si="1"/>
        <v>1</v>
      </c>
    </row>
    <row r="13" spans="1:11" x14ac:dyDescent="0.3">
      <c r="A13" s="1" t="str">
        <v>Service Lines</v>
      </c>
      <c r="B13" s="30">
        <f t="shared" si="0"/>
        <v>0.72430098684210531</v>
      </c>
      <c r="C13" s="30">
        <f t="shared" si="0"/>
        <v>9.9352384868421059E-2</v>
      </c>
      <c r="D13" s="30">
        <f t="shared" si="0"/>
        <v>6.6303453947368423E-3</v>
      </c>
      <c r="E13" s="30">
        <f t="shared" si="0"/>
        <v>9.5574629934210523E-2</v>
      </c>
      <c r="F13" s="30">
        <f t="shared" si="0"/>
        <v>2.3720189144736843E-2</v>
      </c>
      <c r="G13" s="30">
        <f t="shared" si="0"/>
        <v>9.5343338815789477E-3</v>
      </c>
      <c r="H13" s="30">
        <f t="shared" si="0"/>
        <v>8.4806743421052635E-4</v>
      </c>
      <c r="I13" s="30">
        <f t="shared" si="0"/>
        <v>3.7828947368421052E-2</v>
      </c>
      <c r="J13" s="30">
        <f t="shared" si="0"/>
        <v>2.2101151315789473E-3</v>
      </c>
      <c r="K13" s="30">
        <f t="shared" si="1"/>
        <v>1</v>
      </c>
    </row>
    <row r="14" spans="1:11" x14ac:dyDescent="0.3">
      <c r="A14" s="1" t="str">
        <v>Meter Assets</v>
      </c>
      <c r="B14" s="30">
        <f t="shared" si="0"/>
        <v>0.53210865127963569</v>
      </c>
      <c r="C14" s="30">
        <f t="shared" si="0"/>
        <v>6.1862144763699167E-2</v>
      </c>
      <c r="D14" s="30">
        <f t="shared" si="0"/>
        <v>4.0822735123253254E-3</v>
      </c>
      <c r="E14" s="30">
        <f t="shared" si="0"/>
        <v>0.31841733396137539</v>
      </c>
      <c r="F14" s="30">
        <f t="shared" si="0"/>
        <v>6.610142879572932E-2</v>
      </c>
      <c r="G14" s="30">
        <f t="shared" si="0"/>
        <v>1.1461767938451876E-2</v>
      </c>
      <c r="H14" s="30">
        <f t="shared" si="0"/>
        <v>5.9663997487831681E-3</v>
      </c>
      <c r="I14" s="30">
        <f t="shared" si="0"/>
        <v>0</v>
      </c>
      <c r="J14" s="30">
        <f t="shared" si="0"/>
        <v>0</v>
      </c>
      <c r="K14" s="30">
        <f t="shared" si="1"/>
        <v>1</v>
      </c>
    </row>
    <row r="15" spans="1:11" x14ac:dyDescent="0.3">
      <c r="A15" s="1" t="str">
        <v>Meter Reading</v>
      </c>
      <c r="B15" s="30">
        <f t="shared" si="0"/>
        <v>0.82521689196529724</v>
      </c>
      <c r="C15" s="30">
        <f t="shared" si="0"/>
        <v>5.6036503034159517E-2</v>
      </c>
      <c r="D15" s="30">
        <f t="shared" si="0"/>
        <v>6.4190709729486442E-3</v>
      </c>
      <c r="E15" s="30">
        <f t="shared" si="0"/>
        <v>9.8160880294259151E-2</v>
      </c>
      <c r="F15" s="30">
        <f t="shared" si="0"/>
        <v>1.0193534369034501E-2</v>
      </c>
      <c r="G15" s="30">
        <f t="shared" si="0"/>
        <v>3.5385594338304908E-3</v>
      </c>
      <c r="H15" s="30">
        <f t="shared" si="0"/>
        <v>4.3455993047041111E-4</v>
      </c>
      <c r="I15" s="30">
        <f t="shared" si="0"/>
        <v>0</v>
      </c>
      <c r="J15" s="30">
        <f t="shared" si="0"/>
        <v>0</v>
      </c>
      <c r="K15" s="30">
        <f t="shared" si="1"/>
        <v>1</v>
      </c>
    </row>
    <row r="16" spans="1:11" x14ac:dyDescent="0.3">
      <c r="A16" s="1" t="str">
        <v>Billing</v>
      </c>
      <c r="B16" s="30">
        <f t="shared" ref="B16:J21" si="2">VLOOKUP(VLOOKUP($A16,Table_AllocByFunction,2,FALSE),Table_Allocators,COLUMN(),FALSE)</f>
        <v>0.78337712340943799</v>
      </c>
      <c r="C16" s="30">
        <f t="shared" si="2"/>
        <v>5.3195365945890201E-2</v>
      </c>
      <c r="D16" s="30">
        <f>VLOOKUP(VLOOKUP($A16,Table_AllocByFunction,2,FALSE),Table_Allocators,COLUMN(),FALSE)</f>
        <v>6.0936141791447917E-3</v>
      </c>
      <c r="E16" s="30">
        <f t="shared" si="2"/>
        <v>9.3183972341042018E-2</v>
      </c>
      <c r="F16" s="30">
        <f t="shared" si="2"/>
        <v>9.6767064624330261E-3</v>
      </c>
      <c r="G16" s="30">
        <f t="shared" si="2"/>
        <v>3.3591490155827192E-3</v>
      </c>
      <c r="H16" s="30">
        <f t="shared" si="2"/>
        <v>2.0626353604455291E-3</v>
      </c>
      <c r="I16" s="30">
        <f t="shared" si="2"/>
        <v>3.6734553562220379E-3</v>
      </c>
      <c r="J16" s="30">
        <f t="shared" si="2"/>
        <v>4.5377977929801645E-2</v>
      </c>
      <c r="K16" s="30">
        <f t="shared" si="1"/>
        <v>1</v>
      </c>
    </row>
    <row r="17" spans="1:11" x14ac:dyDescent="0.3">
      <c r="A17" s="1" t="str">
        <v>Remittance &amp; Collection</v>
      </c>
      <c r="B17" s="30">
        <f t="shared" si="2"/>
        <v>0.81818780543501213</v>
      </c>
      <c r="C17" s="30">
        <f t="shared" si="2"/>
        <v>5.555919163576626E-2</v>
      </c>
      <c r="D17" s="30">
        <f t="shared" si="2"/>
        <v>6.364394189484552E-3</v>
      </c>
      <c r="E17" s="30">
        <f t="shared" si="2"/>
        <v>9.7324759114245388E-2</v>
      </c>
      <c r="F17" s="30">
        <f t="shared" si="2"/>
        <v>1.0106707213862316E-2</v>
      </c>
      <c r="G17" s="30">
        <f t="shared" si="2"/>
        <v>3.5084184603541534E-3</v>
      </c>
      <c r="H17" s="30">
        <f t="shared" si="2"/>
        <v>8.6171681482382717E-5</v>
      </c>
      <c r="I17" s="30">
        <f t="shared" si="2"/>
        <v>5.2187211671092552E-3</v>
      </c>
      <c r="J17" s="30">
        <f t="shared" si="2"/>
        <v>3.6438311026836122E-3</v>
      </c>
      <c r="K17" s="30">
        <f t="shared" si="1"/>
        <v>1</v>
      </c>
    </row>
    <row r="18" spans="1:11" x14ac:dyDescent="0.3">
      <c r="A18" s="1" t="str">
        <v>Uncollectibles &amp; Damage Claims</v>
      </c>
      <c r="B18" s="30">
        <f t="shared" si="2"/>
        <v>0.78874041725013644</v>
      </c>
      <c r="C18" s="30">
        <f t="shared" si="2"/>
        <v>9.1816390952460067E-2</v>
      </c>
      <c r="D18" s="30">
        <f t="shared" si="2"/>
        <v>6.1353333491562436E-3</v>
      </c>
      <c r="E18" s="30">
        <f t="shared" si="2"/>
        <v>9.3821944793867046E-2</v>
      </c>
      <c r="F18" s="30">
        <f t="shared" si="2"/>
        <v>1.9485913654380176E-2</v>
      </c>
      <c r="G18" s="30">
        <f t="shared" si="2"/>
        <v>0</v>
      </c>
      <c r="H18" s="30">
        <f t="shared" si="2"/>
        <v>0</v>
      </c>
      <c r="I18" s="30">
        <f t="shared" si="2"/>
        <v>0</v>
      </c>
      <c r="J18" s="30">
        <f t="shared" si="2"/>
        <v>0</v>
      </c>
      <c r="K18" s="30">
        <f t="shared" si="1"/>
        <v>1</v>
      </c>
    </row>
    <row r="19" spans="1:11" x14ac:dyDescent="0.3">
      <c r="A19" s="1" t="str">
        <v>Service Connections</v>
      </c>
      <c r="B19" s="30">
        <f t="shared" si="2"/>
        <v>0.85224839400428265</v>
      </c>
      <c r="C19" s="30">
        <f t="shared" si="2"/>
        <v>6.852248394004283E-2</v>
      </c>
      <c r="D19" s="30">
        <f t="shared" si="2"/>
        <v>0</v>
      </c>
      <c r="E19" s="30">
        <f t="shared" si="2"/>
        <v>6.638115631691649E-2</v>
      </c>
      <c r="F19" s="30">
        <f t="shared" si="2"/>
        <v>1.284796573875803E-2</v>
      </c>
      <c r="G19" s="30">
        <f t="shared" si="2"/>
        <v>0</v>
      </c>
      <c r="H19" s="30">
        <f t="shared" si="2"/>
        <v>0</v>
      </c>
      <c r="I19" s="30">
        <f t="shared" si="2"/>
        <v>0</v>
      </c>
      <c r="J19" s="30">
        <f t="shared" si="2"/>
        <v>0</v>
      </c>
      <c r="K19" s="30">
        <f t="shared" si="1"/>
        <v>0.99999999999999989</v>
      </c>
    </row>
    <row r="20" spans="1:11" x14ac:dyDescent="0.3">
      <c r="A20" s="1" t="str">
        <v>Late Payments</v>
      </c>
      <c r="B20" s="30">
        <f t="shared" si="2"/>
        <v>0.7752808988764045</v>
      </c>
      <c r="C20" s="30">
        <f t="shared" si="2"/>
        <v>2.5682182985553772E-2</v>
      </c>
      <c r="D20" s="30">
        <f t="shared" si="2"/>
        <v>1.6051364365971106E-2</v>
      </c>
      <c r="E20" s="30">
        <f t="shared" si="2"/>
        <v>0.13001605136436598</v>
      </c>
      <c r="F20" s="30">
        <f t="shared" si="2"/>
        <v>8.0256821829855531E-3</v>
      </c>
      <c r="G20" s="30">
        <f t="shared" si="2"/>
        <v>4.3338683788121987E-2</v>
      </c>
      <c r="H20" s="30">
        <f t="shared" si="2"/>
        <v>0</v>
      </c>
      <c r="I20" s="30">
        <f t="shared" si="2"/>
        <v>1.6051364365971107E-3</v>
      </c>
      <c r="J20" s="30">
        <f t="shared" si="2"/>
        <v>0</v>
      </c>
      <c r="K20" s="30">
        <f t="shared" si="1"/>
        <v>1.0000000000000002</v>
      </c>
    </row>
    <row r="21" spans="1:11" x14ac:dyDescent="0.3">
      <c r="A21" s="1" t="str">
        <v>Lighting</v>
      </c>
      <c r="B21" s="30">
        <f t="shared" si="2"/>
        <v>0</v>
      </c>
      <c r="C21" s="30">
        <f t="shared" si="2"/>
        <v>0</v>
      </c>
      <c r="D21" s="30">
        <f t="shared" si="2"/>
        <v>0</v>
      </c>
      <c r="E21" s="30">
        <f t="shared" si="2"/>
        <v>0</v>
      </c>
      <c r="F21" s="30">
        <f t="shared" si="2"/>
        <v>0</v>
      </c>
      <c r="G21" s="30">
        <f t="shared" si="2"/>
        <v>0</v>
      </c>
      <c r="H21" s="30">
        <f t="shared" si="2"/>
        <v>0</v>
      </c>
      <c r="I21" s="30">
        <f t="shared" si="2"/>
        <v>1</v>
      </c>
      <c r="J21" s="30">
        <f t="shared" si="2"/>
        <v>0</v>
      </c>
      <c r="K21" s="30">
        <f t="shared" si="1"/>
        <v>1</v>
      </c>
    </row>
    <row r="23" spans="1:11" x14ac:dyDescent="0.3">
      <c r="A23" s="1" t="s">
        <v>529</v>
      </c>
    </row>
    <row r="24" spans="1:11" ht="40.5" x14ac:dyDescent="0.3">
      <c r="B24" s="17" t="str">
        <f t="array" ref="B24:J24">TRANSPOSE(List_Classes)</f>
        <v>Residential</v>
      </c>
      <c r="C24" s="17" t="str">
        <v>Residential (S)</v>
      </c>
      <c r="D24" s="17" t="str">
        <v>Farm</v>
      </c>
      <c r="E24" s="17" t="str">
        <v>General Service 1</v>
      </c>
      <c r="F24" s="17" t="str">
        <v>General Service 1 (S)</v>
      </c>
      <c r="G24" s="17" t="str">
        <v>Small Industrial</v>
      </c>
      <c r="H24" s="17" t="str">
        <v>Large Industrial</v>
      </c>
      <c r="I24" s="17" t="str">
        <v>Lights</v>
      </c>
      <c r="J24" s="17" t="str">
        <v>Unmetered</v>
      </c>
      <c r="K24" s="33" t="s">
        <v>214</v>
      </c>
    </row>
    <row r="25" spans="1:11" x14ac:dyDescent="0.3">
      <c r="A25" s="1" t="str">
        <f t="array" ref="A25:A40">List_Functions</f>
        <v>Generation</v>
      </c>
      <c r="B25" s="30">
        <f t="shared" ref="B25:J34" si="3">VLOOKUP(VLOOKUP($A25,Table_AllocByFunction,2,FALSE),Table_Allocators_Demand,COLUMN(),FALSE)</f>
        <v>0.64518792734536057</v>
      </c>
      <c r="C25" s="30">
        <f t="shared" si="3"/>
        <v>1.2034714879917871E-2</v>
      </c>
      <c r="D25" s="30">
        <f t="shared" si="3"/>
        <v>2.209990989307125E-2</v>
      </c>
      <c r="E25" s="30">
        <f t="shared" si="3"/>
        <v>0.19643310467189079</v>
      </c>
      <c r="F25" s="30">
        <f t="shared" si="3"/>
        <v>8.0900957699957872E-5</v>
      </c>
      <c r="G25" s="30">
        <f t="shared" si="3"/>
        <v>6.539308101533492E-2</v>
      </c>
      <c r="H25" s="30">
        <f t="shared" si="3"/>
        <v>5.4728103039923218E-2</v>
      </c>
      <c r="I25" s="30">
        <f t="shared" si="3"/>
        <v>2.9933354348984412E-3</v>
      </c>
      <c r="J25" s="30">
        <f t="shared" si="3"/>
        <v>1.0489227619029022E-3</v>
      </c>
      <c r="K25" s="30">
        <f t="shared" ref="K25:K40" si="4">SUM(B25:J25)</f>
        <v>1</v>
      </c>
    </row>
    <row r="26" spans="1:11" x14ac:dyDescent="0.3">
      <c r="A26" s="1" t="str">
        <v>Purchased Power</v>
      </c>
      <c r="B26" s="30">
        <f t="shared" si="3"/>
        <v>0.67471665086426957</v>
      </c>
      <c r="C26" s="30">
        <f t="shared" si="3"/>
        <v>1.258551527970243E-2</v>
      </c>
      <c r="D26" s="30">
        <f t="shared" si="3"/>
        <v>2.3111370432499452E-2</v>
      </c>
      <c r="E26" s="30">
        <f t="shared" si="3"/>
        <v>0.20351542557070965</v>
      </c>
      <c r="F26" s="30">
        <f t="shared" si="3"/>
        <v>8.4603602946539271E-5</v>
      </c>
      <c r="G26" s="30">
        <f t="shared" si="3"/>
        <v>6.8385967471373349E-2</v>
      </c>
      <c r="H26" s="30">
        <f t="shared" si="3"/>
        <v>1.33732039967909E-2</v>
      </c>
      <c r="I26" s="30">
        <f t="shared" si="3"/>
        <v>3.1303333090219538E-3</v>
      </c>
      <c r="J26" s="30">
        <f t="shared" si="3"/>
        <v>1.0969294726861645E-3</v>
      </c>
      <c r="K26" s="30">
        <f t="shared" si="4"/>
        <v>0.99999999999999989</v>
      </c>
    </row>
    <row r="27" spans="1:11" x14ac:dyDescent="0.3">
      <c r="A27" s="1" t="str">
        <v>Transmission</v>
      </c>
      <c r="B27" s="30">
        <f t="shared" si="3"/>
        <v>0.64518431116102526</v>
      </c>
      <c r="C27" s="30">
        <f t="shared" si="3"/>
        <v>1.2035312682143213E-2</v>
      </c>
      <c r="D27" s="30">
        <f t="shared" si="3"/>
        <v>2.2100280056295579E-2</v>
      </c>
      <c r="E27" s="30">
        <f t="shared" si="3"/>
        <v>0.19643177004108439</v>
      </c>
      <c r="F27" s="30">
        <f t="shared" si="3"/>
        <v>8.2453122556615442E-5</v>
      </c>
      <c r="G27" s="30">
        <f t="shared" si="3"/>
        <v>6.5393855820763971E-2</v>
      </c>
      <c r="H27" s="30">
        <f t="shared" si="3"/>
        <v>5.4728970899734157E-2</v>
      </c>
      <c r="I27" s="30">
        <f t="shared" si="3"/>
        <v>2.9939013121419332E-3</v>
      </c>
      <c r="J27" s="30">
        <f t="shared" si="3"/>
        <v>1.0491449042548655E-3</v>
      </c>
      <c r="K27" s="30">
        <f t="shared" si="4"/>
        <v>1</v>
      </c>
    </row>
    <row r="28" spans="1:11" x14ac:dyDescent="0.3">
      <c r="A28" s="1" t="str">
        <v>Substations</v>
      </c>
      <c r="B28" s="30">
        <f t="shared" si="3"/>
        <v>0.67283698037122697</v>
      </c>
      <c r="C28" s="30">
        <f t="shared" si="3"/>
        <v>1.2551147482654332E-2</v>
      </c>
      <c r="D28" s="30">
        <f t="shared" si="3"/>
        <v>2.304750044476072E-2</v>
      </c>
      <c r="E28" s="30">
        <f t="shared" si="3"/>
        <v>0.20485085690565141</v>
      </c>
      <c r="F28" s="30">
        <f t="shared" si="3"/>
        <v>8.5987072288442148E-5</v>
      </c>
      <c r="G28" s="30">
        <f t="shared" si="3"/>
        <v>6.8196643539109286E-2</v>
      </c>
      <c r="H28" s="30">
        <f t="shared" si="3"/>
        <v>1.4214552570716955E-2</v>
      </c>
      <c r="I28" s="30">
        <f t="shared" si="3"/>
        <v>3.1222202455079167E-3</v>
      </c>
      <c r="J28" s="30">
        <f t="shared" si="3"/>
        <v>1.0941113680839709E-3</v>
      </c>
      <c r="K28" s="30">
        <f t="shared" si="4"/>
        <v>0.99999999999999989</v>
      </c>
    </row>
    <row r="29" spans="1:11" x14ac:dyDescent="0.3">
      <c r="A29" s="1" t="str">
        <v>Primary Lines</v>
      </c>
      <c r="B29" s="30">
        <f t="shared" si="3"/>
        <v>0.61915857887743209</v>
      </c>
      <c r="C29" s="30">
        <f t="shared" si="3"/>
        <v>2.0463903039298879E-2</v>
      </c>
      <c r="D29" s="30">
        <f t="shared" si="3"/>
        <v>3.2979626138134072E-2</v>
      </c>
      <c r="E29" s="30">
        <f t="shared" si="3"/>
        <v>0.20767314508361551</v>
      </c>
      <c r="F29" s="30">
        <f t="shared" si="3"/>
        <v>1.0507532080578665E-2</v>
      </c>
      <c r="G29" s="30">
        <f t="shared" si="3"/>
        <v>7.847497537510334E-2</v>
      </c>
      <c r="H29" s="30">
        <f t="shared" si="3"/>
        <v>2.6840455226344411E-2</v>
      </c>
      <c r="I29" s="30">
        <f t="shared" si="3"/>
        <v>2.8785890275280423E-3</v>
      </c>
      <c r="J29" s="30">
        <f t="shared" si="3"/>
        <v>1.0231951519649441E-3</v>
      </c>
      <c r="K29" s="30">
        <f t="shared" si="4"/>
        <v>0.99999999999999989</v>
      </c>
    </row>
    <row r="30" spans="1:11" x14ac:dyDescent="0.3">
      <c r="A30" s="1" t="str">
        <v>Transformers</v>
      </c>
      <c r="B30" s="30">
        <f t="shared" si="3"/>
        <v>0.61915874337798138</v>
      </c>
      <c r="C30" s="30">
        <f t="shared" si="3"/>
        <v>2.0464640155458395E-2</v>
      </c>
      <c r="D30" s="30">
        <f t="shared" si="3"/>
        <v>3.2979966224813195E-2</v>
      </c>
      <c r="E30" s="30">
        <f t="shared" si="3"/>
        <v>0.20767402317995698</v>
      </c>
      <c r="F30" s="30">
        <f t="shared" si="3"/>
        <v>1.0505586786036506E-2</v>
      </c>
      <c r="G30" s="30">
        <f t="shared" si="3"/>
        <v>7.8475258518981197E-2</v>
      </c>
      <c r="H30" s="30">
        <f t="shared" si="3"/>
        <v>2.6840863349295582E-2</v>
      </c>
      <c r="I30" s="30">
        <f t="shared" si="3"/>
        <v>2.8801443542230552E-3</v>
      </c>
      <c r="J30" s="30">
        <f t="shared" si="3"/>
        <v>1.0207740532537535E-3</v>
      </c>
      <c r="K30" s="30">
        <f t="shared" si="4"/>
        <v>0.99999999999999989</v>
      </c>
    </row>
    <row r="31" spans="1:11" x14ac:dyDescent="0.3">
      <c r="A31" s="1" t="str">
        <v>Secondary Lines</v>
      </c>
      <c r="B31" s="30">
        <f t="shared" si="3"/>
        <v>0.61915874337798138</v>
      </c>
      <c r="C31" s="30">
        <f t="shared" si="3"/>
        <v>2.0464640155458395E-2</v>
      </c>
      <c r="D31" s="30">
        <f t="shared" si="3"/>
        <v>3.2979966224813195E-2</v>
      </c>
      <c r="E31" s="30">
        <f t="shared" si="3"/>
        <v>0.20767402317995698</v>
      </c>
      <c r="F31" s="30">
        <f t="shared" si="3"/>
        <v>1.0505586786036506E-2</v>
      </c>
      <c r="G31" s="30">
        <f t="shared" si="3"/>
        <v>7.8475258518981197E-2</v>
      </c>
      <c r="H31" s="30">
        <f t="shared" si="3"/>
        <v>2.6840863349295578E-2</v>
      </c>
      <c r="I31" s="30">
        <f t="shared" si="3"/>
        <v>2.8801443542230552E-3</v>
      </c>
      <c r="J31" s="30">
        <f t="shared" si="3"/>
        <v>1.0207740532537535E-3</v>
      </c>
      <c r="K31" s="30">
        <f t="shared" si="4"/>
        <v>0.99999999999999989</v>
      </c>
    </row>
    <row r="32" spans="1:11" x14ac:dyDescent="0.3">
      <c r="A32" s="1" t="str">
        <v>Service Lines</v>
      </c>
      <c r="B32" s="30">
        <f t="shared" si="3"/>
        <v>0</v>
      </c>
      <c r="C32" s="30">
        <f t="shared" si="3"/>
        <v>0</v>
      </c>
      <c r="D32" s="30">
        <f t="shared" si="3"/>
        <v>0</v>
      </c>
      <c r="E32" s="30">
        <f t="shared" si="3"/>
        <v>0</v>
      </c>
      <c r="F32" s="30">
        <f t="shared" si="3"/>
        <v>0</v>
      </c>
      <c r="G32" s="30">
        <f t="shared" si="3"/>
        <v>0</v>
      </c>
      <c r="H32" s="30">
        <f t="shared" si="3"/>
        <v>0</v>
      </c>
      <c r="I32" s="30">
        <f t="shared" si="3"/>
        <v>0</v>
      </c>
      <c r="J32" s="30">
        <f t="shared" si="3"/>
        <v>0</v>
      </c>
      <c r="K32" s="30">
        <f t="shared" si="4"/>
        <v>0</v>
      </c>
    </row>
    <row r="33" spans="1:11" x14ac:dyDescent="0.3">
      <c r="A33" s="1" t="str">
        <v>Meter Assets</v>
      </c>
      <c r="B33" s="30">
        <f t="shared" si="3"/>
        <v>0</v>
      </c>
      <c r="C33" s="30">
        <f t="shared" si="3"/>
        <v>0</v>
      </c>
      <c r="D33" s="30">
        <f t="shared" si="3"/>
        <v>0</v>
      </c>
      <c r="E33" s="30">
        <f t="shared" si="3"/>
        <v>0</v>
      </c>
      <c r="F33" s="30">
        <f t="shared" si="3"/>
        <v>0</v>
      </c>
      <c r="G33" s="30">
        <f t="shared" si="3"/>
        <v>0</v>
      </c>
      <c r="H33" s="30">
        <f t="shared" si="3"/>
        <v>0</v>
      </c>
      <c r="I33" s="30">
        <f t="shared" si="3"/>
        <v>0</v>
      </c>
      <c r="J33" s="30">
        <f t="shared" si="3"/>
        <v>0</v>
      </c>
      <c r="K33" s="30">
        <f t="shared" si="4"/>
        <v>0</v>
      </c>
    </row>
    <row r="34" spans="1:11" x14ac:dyDescent="0.3">
      <c r="A34" s="1" t="str">
        <v>Meter Reading</v>
      </c>
      <c r="B34" s="30">
        <f t="shared" si="3"/>
        <v>0</v>
      </c>
      <c r="C34" s="30">
        <f t="shared" si="3"/>
        <v>0</v>
      </c>
      <c r="D34" s="30">
        <f t="shared" si="3"/>
        <v>0</v>
      </c>
      <c r="E34" s="30">
        <f t="shared" si="3"/>
        <v>0</v>
      </c>
      <c r="F34" s="30">
        <f t="shared" si="3"/>
        <v>0</v>
      </c>
      <c r="G34" s="30">
        <f t="shared" si="3"/>
        <v>0</v>
      </c>
      <c r="H34" s="30">
        <f t="shared" si="3"/>
        <v>0</v>
      </c>
      <c r="I34" s="30">
        <f t="shared" si="3"/>
        <v>0</v>
      </c>
      <c r="J34" s="30">
        <f t="shared" si="3"/>
        <v>0</v>
      </c>
      <c r="K34" s="30">
        <f t="shared" si="4"/>
        <v>0</v>
      </c>
    </row>
    <row r="35" spans="1:11" x14ac:dyDescent="0.3">
      <c r="A35" s="1" t="str">
        <v>Billing</v>
      </c>
      <c r="B35" s="30">
        <f t="shared" ref="B35:J40" si="5">VLOOKUP(VLOOKUP($A35,Table_AllocByFunction,2,FALSE),Table_Allocators_Demand,COLUMN(),FALSE)</f>
        <v>0</v>
      </c>
      <c r="C35" s="30">
        <f t="shared" si="5"/>
        <v>0</v>
      </c>
      <c r="D35" s="30">
        <f t="shared" si="5"/>
        <v>0</v>
      </c>
      <c r="E35" s="30">
        <f t="shared" si="5"/>
        <v>0</v>
      </c>
      <c r="F35" s="30">
        <f t="shared" si="5"/>
        <v>0</v>
      </c>
      <c r="G35" s="30">
        <f t="shared" si="5"/>
        <v>0</v>
      </c>
      <c r="H35" s="30">
        <f t="shared" si="5"/>
        <v>0</v>
      </c>
      <c r="I35" s="30">
        <f t="shared" si="5"/>
        <v>0</v>
      </c>
      <c r="J35" s="30">
        <f t="shared" si="5"/>
        <v>0</v>
      </c>
      <c r="K35" s="30">
        <f t="shared" si="4"/>
        <v>0</v>
      </c>
    </row>
    <row r="36" spans="1:11" x14ac:dyDescent="0.3">
      <c r="A36" s="1" t="str">
        <v>Remittance &amp; Collection</v>
      </c>
      <c r="B36" s="30">
        <f t="shared" si="5"/>
        <v>0</v>
      </c>
      <c r="C36" s="30">
        <f t="shared" si="5"/>
        <v>0</v>
      </c>
      <c r="D36" s="30">
        <f t="shared" si="5"/>
        <v>0</v>
      </c>
      <c r="E36" s="30">
        <f t="shared" si="5"/>
        <v>0</v>
      </c>
      <c r="F36" s="30">
        <f t="shared" si="5"/>
        <v>0</v>
      </c>
      <c r="G36" s="30">
        <f t="shared" si="5"/>
        <v>0</v>
      </c>
      <c r="H36" s="30">
        <f t="shared" si="5"/>
        <v>0</v>
      </c>
      <c r="I36" s="30">
        <f t="shared" si="5"/>
        <v>0</v>
      </c>
      <c r="J36" s="30">
        <f t="shared" si="5"/>
        <v>0</v>
      </c>
      <c r="K36" s="30">
        <f t="shared" si="4"/>
        <v>0</v>
      </c>
    </row>
    <row r="37" spans="1:11" x14ac:dyDescent="0.3">
      <c r="A37" s="1" t="str">
        <v>Uncollectibles &amp; Damage Claims</v>
      </c>
      <c r="B37" s="30">
        <f t="shared" si="5"/>
        <v>0</v>
      </c>
      <c r="C37" s="30">
        <f t="shared" si="5"/>
        <v>0</v>
      </c>
      <c r="D37" s="30">
        <f t="shared" si="5"/>
        <v>0</v>
      </c>
      <c r="E37" s="30">
        <f t="shared" si="5"/>
        <v>0</v>
      </c>
      <c r="F37" s="30">
        <f t="shared" si="5"/>
        <v>0</v>
      </c>
      <c r="G37" s="30">
        <f t="shared" si="5"/>
        <v>0</v>
      </c>
      <c r="H37" s="30">
        <f t="shared" si="5"/>
        <v>0</v>
      </c>
      <c r="I37" s="30">
        <f t="shared" si="5"/>
        <v>0</v>
      </c>
      <c r="J37" s="30">
        <f t="shared" si="5"/>
        <v>0</v>
      </c>
      <c r="K37" s="30">
        <f t="shared" si="4"/>
        <v>0</v>
      </c>
    </row>
    <row r="38" spans="1:11" x14ac:dyDescent="0.3">
      <c r="A38" s="1" t="str">
        <v>Service Connections</v>
      </c>
      <c r="B38" s="30">
        <f t="shared" si="5"/>
        <v>0</v>
      </c>
      <c r="C38" s="30">
        <f t="shared" si="5"/>
        <v>0</v>
      </c>
      <c r="D38" s="30">
        <f t="shared" si="5"/>
        <v>0</v>
      </c>
      <c r="E38" s="30">
        <f t="shared" si="5"/>
        <v>0</v>
      </c>
      <c r="F38" s="30">
        <f t="shared" si="5"/>
        <v>0</v>
      </c>
      <c r="G38" s="30">
        <f t="shared" si="5"/>
        <v>0</v>
      </c>
      <c r="H38" s="30">
        <f t="shared" si="5"/>
        <v>0</v>
      </c>
      <c r="I38" s="30">
        <f t="shared" si="5"/>
        <v>0</v>
      </c>
      <c r="J38" s="30">
        <f t="shared" si="5"/>
        <v>0</v>
      </c>
      <c r="K38" s="30">
        <f t="shared" si="4"/>
        <v>0</v>
      </c>
    </row>
    <row r="39" spans="1:11" x14ac:dyDescent="0.3">
      <c r="A39" s="1" t="str">
        <v>Late Payments</v>
      </c>
      <c r="B39" s="30">
        <f t="shared" si="5"/>
        <v>0</v>
      </c>
      <c r="C39" s="30">
        <f t="shared" si="5"/>
        <v>0</v>
      </c>
      <c r="D39" s="30">
        <f t="shared" si="5"/>
        <v>0</v>
      </c>
      <c r="E39" s="30">
        <f t="shared" si="5"/>
        <v>0</v>
      </c>
      <c r="F39" s="30">
        <f t="shared" si="5"/>
        <v>0</v>
      </c>
      <c r="G39" s="30">
        <f t="shared" si="5"/>
        <v>0</v>
      </c>
      <c r="H39" s="30">
        <f t="shared" si="5"/>
        <v>0</v>
      </c>
      <c r="I39" s="30">
        <f t="shared" si="5"/>
        <v>0</v>
      </c>
      <c r="J39" s="30">
        <f t="shared" si="5"/>
        <v>0</v>
      </c>
      <c r="K39" s="30">
        <f t="shared" si="4"/>
        <v>0</v>
      </c>
    </row>
    <row r="40" spans="1:11" x14ac:dyDescent="0.3">
      <c r="A40" s="1" t="str">
        <v>Lighting</v>
      </c>
      <c r="B40" s="30">
        <f t="shared" si="5"/>
        <v>0</v>
      </c>
      <c r="C40" s="30">
        <f t="shared" si="5"/>
        <v>0</v>
      </c>
      <c r="D40" s="30">
        <f t="shared" si="5"/>
        <v>0</v>
      </c>
      <c r="E40" s="30">
        <f t="shared" si="5"/>
        <v>0</v>
      </c>
      <c r="F40" s="30">
        <f t="shared" si="5"/>
        <v>0</v>
      </c>
      <c r="G40" s="30">
        <f t="shared" si="5"/>
        <v>0</v>
      </c>
      <c r="H40" s="30">
        <f t="shared" si="5"/>
        <v>0</v>
      </c>
      <c r="I40" s="30">
        <f t="shared" si="5"/>
        <v>0</v>
      </c>
      <c r="J40" s="30">
        <f t="shared" si="5"/>
        <v>0</v>
      </c>
      <c r="K40" s="30">
        <f t="shared" si="4"/>
        <v>0</v>
      </c>
    </row>
    <row r="42" spans="1:11" x14ac:dyDescent="0.3">
      <c r="A42" s="1" t="s">
        <v>530</v>
      </c>
    </row>
    <row r="43" spans="1:11" ht="40.5" x14ac:dyDescent="0.3">
      <c r="B43" s="17" t="str">
        <f t="array" ref="B43:J43">TRANSPOSE(List_Classes)</f>
        <v>Residential</v>
      </c>
      <c r="C43" s="17" t="str">
        <v>Residential (S)</v>
      </c>
      <c r="D43" s="17" t="str">
        <v>Farm</v>
      </c>
      <c r="E43" s="17" t="str">
        <v>General Service 1</v>
      </c>
      <c r="F43" s="17" t="str">
        <v>General Service 1 (S)</v>
      </c>
      <c r="G43" s="17" t="str">
        <v>Small Industrial</v>
      </c>
      <c r="H43" s="17" t="str">
        <v>Large Industrial</v>
      </c>
      <c r="I43" s="17" t="str">
        <v>Lights</v>
      </c>
      <c r="J43" s="17" t="str">
        <v>Unmetered</v>
      </c>
      <c r="K43" s="33" t="s">
        <v>214</v>
      </c>
    </row>
    <row r="44" spans="1:11" x14ac:dyDescent="0.3">
      <c r="A44" s="1" t="str">
        <f t="array" ref="A44:A59">List_Functions</f>
        <v>Generation</v>
      </c>
      <c r="B44" s="30">
        <f t="shared" ref="B44:J53" si="6">VLOOKUP(VLOOKUP($A44,Table_AllocByFunction,2,FALSE),Table_Allocators_Energy,COLUMN(),FALSE)</f>
        <v>0.49597257366335251</v>
      </c>
      <c r="C44" s="30">
        <f t="shared" si="6"/>
        <v>1.7674931808028212E-2</v>
      </c>
      <c r="D44" s="30">
        <f t="shared" si="6"/>
        <v>3.23526214558554E-2</v>
      </c>
      <c r="E44" s="30">
        <f t="shared" si="6"/>
        <v>0.27173361868921864</v>
      </c>
      <c r="F44" s="30">
        <f t="shared" si="6"/>
        <v>6.7346837469674141E-3</v>
      </c>
      <c r="G44" s="30">
        <f t="shared" si="6"/>
        <v>6.1697947109043694E-2</v>
      </c>
      <c r="H44" s="30">
        <f t="shared" si="6"/>
        <v>0.10946782928663752</v>
      </c>
      <c r="I44" s="30">
        <f t="shared" si="6"/>
        <v>2.6390811473468124E-3</v>
      </c>
      <c r="J44" s="30">
        <f t="shared" si="6"/>
        <v>1.7267130935497716E-3</v>
      </c>
      <c r="K44" s="30">
        <f t="shared" ref="K44:K59" si="7">SUM(B44:J44)</f>
        <v>1</v>
      </c>
    </row>
    <row r="45" spans="1:11" x14ac:dyDescent="0.3">
      <c r="A45" s="1" t="str">
        <v>Purchased Power</v>
      </c>
      <c r="B45" s="30">
        <f t="shared" si="6"/>
        <v>0.49597257366335251</v>
      </c>
      <c r="C45" s="30">
        <f t="shared" si="6"/>
        <v>1.7674931808028212E-2</v>
      </c>
      <c r="D45" s="30">
        <f t="shared" si="6"/>
        <v>3.23526214558554E-2</v>
      </c>
      <c r="E45" s="30">
        <f t="shared" si="6"/>
        <v>0.27173361868921864</v>
      </c>
      <c r="F45" s="30">
        <f t="shared" si="6"/>
        <v>6.7346837469674133E-3</v>
      </c>
      <c r="G45" s="30">
        <f t="shared" si="6"/>
        <v>6.1697947109043694E-2</v>
      </c>
      <c r="H45" s="30">
        <f t="shared" si="6"/>
        <v>0.10946782928663752</v>
      </c>
      <c r="I45" s="30">
        <f t="shared" si="6"/>
        <v>2.6390811473468129E-3</v>
      </c>
      <c r="J45" s="30">
        <f t="shared" si="6"/>
        <v>1.7267130935497716E-3</v>
      </c>
      <c r="K45" s="30">
        <f t="shared" si="7"/>
        <v>1</v>
      </c>
    </row>
    <row r="46" spans="1:11" x14ac:dyDescent="0.3">
      <c r="A46" s="1" t="str">
        <v>Transmission</v>
      </c>
      <c r="B46" s="30">
        <f t="shared" si="6"/>
        <v>0</v>
      </c>
      <c r="C46" s="30">
        <f t="shared" si="6"/>
        <v>0</v>
      </c>
      <c r="D46" s="30">
        <f t="shared" si="6"/>
        <v>0</v>
      </c>
      <c r="E46" s="30">
        <f t="shared" si="6"/>
        <v>0</v>
      </c>
      <c r="F46" s="30">
        <f t="shared" si="6"/>
        <v>0</v>
      </c>
      <c r="G46" s="30">
        <f t="shared" si="6"/>
        <v>0</v>
      </c>
      <c r="H46" s="30">
        <f t="shared" si="6"/>
        <v>0</v>
      </c>
      <c r="I46" s="30">
        <f t="shared" si="6"/>
        <v>0</v>
      </c>
      <c r="J46" s="30">
        <f t="shared" si="6"/>
        <v>0</v>
      </c>
      <c r="K46" s="30">
        <f t="shared" si="7"/>
        <v>0</v>
      </c>
    </row>
    <row r="47" spans="1:11" x14ac:dyDescent="0.3">
      <c r="A47" s="1" t="str">
        <v>Substations</v>
      </c>
      <c r="B47" s="30">
        <f t="shared" si="6"/>
        <v>0</v>
      </c>
      <c r="C47" s="30">
        <f t="shared" si="6"/>
        <v>0</v>
      </c>
      <c r="D47" s="30">
        <f t="shared" si="6"/>
        <v>0</v>
      </c>
      <c r="E47" s="30">
        <f t="shared" si="6"/>
        <v>0</v>
      </c>
      <c r="F47" s="30">
        <f t="shared" si="6"/>
        <v>0</v>
      </c>
      <c r="G47" s="30">
        <f t="shared" si="6"/>
        <v>0</v>
      </c>
      <c r="H47" s="30">
        <f t="shared" si="6"/>
        <v>0</v>
      </c>
      <c r="I47" s="30">
        <f t="shared" si="6"/>
        <v>0</v>
      </c>
      <c r="J47" s="30">
        <f t="shared" si="6"/>
        <v>0</v>
      </c>
      <c r="K47" s="30">
        <f t="shared" si="7"/>
        <v>0</v>
      </c>
    </row>
    <row r="48" spans="1:11" x14ac:dyDescent="0.3">
      <c r="A48" s="1" t="str">
        <v>Primary Lines</v>
      </c>
      <c r="B48" s="30">
        <f t="shared" si="6"/>
        <v>0</v>
      </c>
      <c r="C48" s="30">
        <f t="shared" si="6"/>
        <v>0</v>
      </c>
      <c r="D48" s="30">
        <f t="shared" si="6"/>
        <v>0</v>
      </c>
      <c r="E48" s="30">
        <f t="shared" si="6"/>
        <v>0</v>
      </c>
      <c r="F48" s="30">
        <f t="shared" si="6"/>
        <v>0</v>
      </c>
      <c r="G48" s="30">
        <f t="shared" si="6"/>
        <v>0</v>
      </c>
      <c r="H48" s="30">
        <f t="shared" si="6"/>
        <v>0</v>
      </c>
      <c r="I48" s="30">
        <f t="shared" si="6"/>
        <v>0</v>
      </c>
      <c r="J48" s="30">
        <f t="shared" si="6"/>
        <v>0</v>
      </c>
      <c r="K48" s="30">
        <f t="shared" si="7"/>
        <v>0</v>
      </c>
    </row>
    <row r="49" spans="1:11" x14ac:dyDescent="0.3">
      <c r="A49" s="1" t="str">
        <v>Transformers</v>
      </c>
      <c r="B49" s="30">
        <f t="shared" si="6"/>
        <v>0</v>
      </c>
      <c r="C49" s="30">
        <f t="shared" si="6"/>
        <v>0</v>
      </c>
      <c r="D49" s="30">
        <f t="shared" si="6"/>
        <v>0</v>
      </c>
      <c r="E49" s="30">
        <f t="shared" si="6"/>
        <v>0</v>
      </c>
      <c r="F49" s="30">
        <f t="shared" si="6"/>
        <v>0</v>
      </c>
      <c r="G49" s="30">
        <f t="shared" si="6"/>
        <v>0</v>
      </c>
      <c r="H49" s="30">
        <f t="shared" si="6"/>
        <v>0</v>
      </c>
      <c r="I49" s="30">
        <f t="shared" si="6"/>
        <v>0</v>
      </c>
      <c r="J49" s="30">
        <f t="shared" si="6"/>
        <v>0</v>
      </c>
      <c r="K49" s="30">
        <f t="shared" si="7"/>
        <v>0</v>
      </c>
    </row>
    <row r="50" spans="1:11" x14ac:dyDescent="0.3">
      <c r="A50" s="1" t="str">
        <v>Secondary Lines</v>
      </c>
      <c r="B50" s="30">
        <f t="shared" si="6"/>
        <v>0</v>
      </c>
      <c r="C50" s="30">
        <f t="shared" si="6"/>
        <v>0</v>
      </c>
      <c r="D50" s="30">
        <f t="shared" si="6"/>
        <v>0</v>
      </c>
      <c r="E50" s="30">
        <f t="shared" si="6"/>
        <v>0</v>
      </c>
      <c r="F50" s="30">
        <f t="shared" si="6"/>
        <v>0</v>
      </c>
      <c r="G50" s="30">
        <f t="shared" si="6"/>
        <v>0</v>
      </c>
      <c r="H50" s="30">
        <f t="shared" si="6"/>
        <v>0</v>
      </c>
      <c r="I50" s="30">
        <f t="shared" si="6"/>
        <v>0</v>
      </c>
      <c r="J50" s="30">
        <f t="shared" si="6"/>
        <v>0</v>
      </c>
      <c r="K50" s="30">
        <f t="shared" si="7"/>
        <v>0</v>
      </c>
    </row>
    <row r="51" spans="1:11" x14ac:dyDescent="0.3">
      <c r="A51" s="1" t="str">
        <v>Service Lines</v>
      </c>
      <c r="B51" s="30">
        <f t="shared" si="6"/>
        <v>0</v>
      </c>
      <c r="C51" s="30">
        <f t="shared" si="6"/>
        <v>0</v>
      </c>
      <c r="D51" s="30">
        <f t="shared" si="6"/>
        <v>0</v>
      </c>
      <c r="E51" s="30">
        <f t="shared" si="6"/>
        <v>0</v>
      </c>
      <c r="F51" s="30">
        <f t="shared" si="6"/>
        <v>0</v>
      </c>
      <c r="G51" s="30">
        <f t="shared" si="6"/>
        <v>0</v>
      </c>
      <c r="H51" s="30">
        <f t="shared" si="6"/>
        <v>0</v>
      </c>
      <c r="I51" s="30">
        <f t="shared" si="6"/>
        <v>0</v>
      </c>
      <c r="J51" s="30">
        <f t="shared" si="6"/>
        <v>0</v>
      </c>
      <c r="K51" s="30">
        <f t="shared" si="7"/>
        <v>0</v>
      </c>
    </row>
    <row r="52" spans="1:11" x14ac:dyDescent="0.3">
      <c r="A52" s="1" t="str">
        <v>Meter Assets</v>
      </c>
      <c r="B52" s="30">
        <f t="shared" si="6"/>
        <v>0</v>
      </c>
      <c r="C52" s="30">
        <f t="shared" si="6"/>
        <v>0</v>
      </c>
      <c r="D52" s="30">
        <f t="shared" si="6"/>
        <v>0</v>
      </c>
      <c r="E52" s="30">
        <f t="shared" si="6"/>
        <v>0</v>
      </c>
      <c r="F52" s="30">
        <f t="shared" si="6"/>
        <v>0</v>
      </c>
      <c r="G52" s="30">
        <f t="shared" si="6"/>
        <v>0</v>
      </c>
      <c r="H52" s="30">
        <f t="shared" si="6"/>
        <v>0</v>
      </c>
      <c r="I52" s="30">
        <f t="shared" si="6"/>
        <v>0</v>
      </c>
      <c r="J52" s="30">
        <f t="shared" si="6"/>
        <v>0</v>
      </c>
      <c r="K52" s="30">
        <f t="shared" si="7"/>
        <v>0</v>
      </c>
    </row>
    <row r="53" spans="1:11" x14ac:dyDescent="0.3">
      <c r="A53" s="1" t="str">
        <v>Meter Reading</v>
      </c>
      <c r="B53" s="30">
        <f t="shared" si="6"/>
        <v>0</v>
      </c>
      <c r="C53" s="30">
        <f t="shared" si="6"/>
        <v>0</v>
      </c>
      <c r="D53" s="30">
        <f t="shared" si="6"/>
        <v>0</v>
      </c>
      <c r="E53" s="30">
        <f t="shared" si="6"/>
        <v>0</v>
      </c>
      <c r="F53" s="30">
        <f t="shared" si="6"/>
        <v>0</v>
      </c>
      <c r="G53" s="30">
        <f t="shared" si="6"/>
        <v>0</v>
      </c>
      <c r="H53" s="30">
        <f t="shared" si="6"/>
        <v>0</v>
      </c>
      <c r="I53" s="30">
        <f t="shared" si="6"/>
        <v>0</v>
      </c>
      <c r="J53" s="30">
        <f t="shared" si="6"/>
        <v>0</v>
      </c>
      <c r="K53" s="30">
        <f t="shared" si="7"/>
        <v>0</v>
      </c>
    </row>
    <row r="54" spans="1:11" x14ac:dyDescent="0.3">
      <c r="A54" s="1" t="str">
        <v>Billing</v>
      </c>
      <c r="B54" s="30">
        <f t="shared" ref="B54:J59" si="8">VLOOKUP(VLOOKUP($A54,Table_AllocByFunction,2,FALSE),Table_Allocators_Energy,COLUMN(),FALSE)</f>
        <v>0</v>
      </c>
      <c r="C54" s="30">
        <f t="shared" si="8"/>
        <v>0</v>
      </c>
      <c r="D54" s="30">
        <f t="shared" si="8"/>
        <v>0</v>
      </c>
      <c r="E54" s="30">
        <f t="shared" si="8"/>
        <v>0</v>
      </c>
      <c r="F54" s="30">
        <f t="shared" si="8"/>
        <v>0</v>
      </c>
      <c r="G54" s="30">
        <f t="shared" si="8"/>
        <v>0</v>
      </c>
      <c r="H54" s="30">
        <f t="shared" si="8"/>
        <v>0</v>
      </c>
      <c r="I54" s="30">
        <f t="shared" si="8"/>
        <v>0</v>
      </c>
      <c r="J54" s="30">
        <f t="shared" si="8"/>
        <v>0</v>
      </c>
      <c r="K54" s="30">
        <f t="shared" si="7"/>
        <v>0</v>
      </c>
    </row>
    <row r="55" spans="1:11" x14ac:dyDescent="0.3">
      <c r="A55" s="1" t="str">
        <v>Remittance &amp; Collection</v>
      </c>
      <c r="B55" s="30">
        <f t="shared" si="8"/>
        <v>0</v>
      </c>
      <c r="C55" s="30">
        <f t="shared" si="8"/>
        <v>0</v>
      </c>
      <c r="D55" s="30">
        <f t="shared" si="8"/>
        <v>0</v>
      </c>
      <c r="E55" s="30">
        <f t="shared" si="8"/>
        <v>0</v>
      </c>
      <c r="F55" s="30">
        <f t="shared" si="8"/>
        <v>0</v>
      </c>
      <c r="G55" s="30">
        <f t="shared" si="8"/>
        <v>0</v>
      </c>
      <c r="H55" s="30">
        <f t="shared" si="8"/>
        <v>0</v>
      </c>
      <c r="I55" s="30">
        <f t="shared" si="8"/>
        <v>0</v>
      </c>
      <c r="J55" s="30">
        <f t="shared" si="8"/>
        <v>0</v>
      </c>
      <c r="K55" s="30">
        <f t="shared" si="7"/>
        <v>0</v>
      </c>
    </row>
    <row r="56" spans="1:11" x14ac:dyDescent="0.3">
      <c r="A56" s="1" t="str">
        <v>Uncollectibles &amp; Damage Claims</v>
      </c>
      <c r="B56" s="30">
        <f t="shared" si="8"/>
        <v>0</v>
      </c>
      <c r="C56" s="30">
        <f t="shared" si="8"/>
        <v>0</v>
      </c>
      <c r="D56" s="30">
        <f t="shared" si="8"/>
        <v>0</v>
      </c>
      <c r="E56" s="30">
        <f t="shared" si="8"/>
        <v>0</v>
      </c>
      <c r="F56" s="30">
        <f t="shared" si="8"/>
        <v>0</v>
      </c>
      <c r="G56" s="30">
        <f t="shared" si="8"/>
        <v>0</v>
      </c>
      <c r="H56" s="30">
        <f t="shared" si="8"/>
        <v>0</v>
      </c>
      <c r="I56" s="30">
        <f t="shared" si="8"/>
        <v>0</v>
      </c>
      <c r="J56" s="30">
        <f t="shared" si="8"/>
        <v>0</v>
      </c>
      <c r="K56" s="30">
        <f t="shared" si="7"/>
        <v>0</v>
      </c>
    </row>
    <row r="57" spans="1:11" x14ac:dyDescent="0.3">
      <c r="A57" s="1" t="str">
        <v>Service Connections</v>
      </c>
      <c r="B57" s="30">
        <f t="shared" si="8"/>
        <v>0</v>
      </c>
      <c r="C57" s="30">
        <f t="shared" si="8"/>
        <v>0</v>
      </c>
      <c r="D57" s="30">
        <f t="shared" si="8"/>
        <v>0</v>
      </c>
      <c r="E57" s="30">
        <f t="shared" si="8"/>
        <v>0</v>
      </c>
      <c r="F57" s="30">
        <f t="shared" si="8"/>
        <v>0</v>
      </c>
      <c r="G57" s="30">
        <f t="shared" si="8"/>
        <v>0</v>
      </c>
      <c r="H57" s="30">
        <f t="shared" si="8"/>
        <v>0</v>
      </c>
      <c r="I57" s="30">
        <f t="shared" si="8"/>
        <v>0</v>
      </c>
      <c r="J57" s="30">
        <f t="shared" si="8"/>
        <v>0</v>
      </c>
      <c r="K57" s="30">
        <f t="shared" si="7"/>
        <v>0</v>
      </c>
    </row>
    <row r="58" spans="1:11" x14ac:dyDescent="0.3">
      <c r="A58" s="1" t="str">
        <v>Late Payments</v>
      </c>
      <c r="B58" s="30">
        <f t="shared" si="8"/>
        <v>0</v>
      </c>
      <c r="C58" s="30">
        <f t="shared" si="8"/>
        <v>0</v>
      </c>
      <c r="D58" s="30">
        <f t="shared" si="8"/>
        <v>0</v>
      </c>
      <c r="E58" s="30">
        <f t="shared" si="8"/>
        <v>0</v>
      </c>
      <c r="F58" s="30">
        <f t="shared" si="8"/>
        <v>0</v>
      </c>
      <c r="G58" s="30">
        <f t="shared" si="8"/>
        <v>0</v>
      </c>
      <c r="H58" s="30">
        <f t="shared" si="8"/>
        <v>0</v>
      </c>
      <c r="I58" s="30">
        <f t="shared" si="8"/>
        <v>0</v>
      </c>
      <c r="J58" s="30">
        <f t="shared" si="8"/>
        <v>0</v>
      </c>
      <c r="K58" s="30">
        <f t="shared" si="7"/>
        <v>0</v>
      </c>
    </row>
    <row r="59" spans="1:11" x14ac:dyDescent="0.3">
      <c r="A59" s="1" t="str">
        <v>Lighting</v>
      </c>
      <c r="B59" s="30">
        <f t="shared" si="8"/>
        <v>0</v>
      </c>
      <c r="C59" s="30">
        <f t="shared" si="8"/>
        <v>0</v>
      </c>
      <c r="D59" s="30">
        <f t="shared" si="8"/>
        <v>0</v>
      </c>
      <c r="E59" s="30">
        <f t="shared" si="8"/>
        <v>0</v>
      </c>
      <c r="F59" s="30">
        <f t="shared" si="8"/>
        <v>0</v>
      </c>
      <c r="G59" s="30">
        <f t="shared" si="8"/>
        <v>0</v>
      </c>
      <c r="H59" s="30">
        <f t="shared" si="8"/>
        <v>0</v>
      </c>
      <c r="I59" s="30">
        <f t="shared" si="8"/>
        <v>0</v>
      </c>
      <c r="J59" s="30">
        <f t="shared" si="8"/>
        <v>0</v>
      </c>
      <c r="K59" s="30">
        <f t="shared" si="7"/>
        <v>0</v>
      </c>
    </row>
    <row r="61" spans="1:11" x14ac:dyDescent="0.3">
      <c r="A61" s="1" t="s">
        <v>531</v>
      </c>
    </row>
    <row r="62" spans="1:11" ht="40.5" x14ac:dyDescent="0.3">
      <c r="B62" s="17" t="str">
        <f t="array" ref="B62:J62">TRANSPOSE(List_Classes)</f>
        <v>Residential</v>
      </c>
      <c r="C62" s="17" t="str">
        <v>Residential (S)</v>
      </c>
      <c r="D62" s="17" t="str">
        <v>Farm</v>
      </c>
      <c r="E62" s="17" t="str">
        <v>General Service 1</v>
      </c>
      <c r="F62" s="17" t="str">
        <v>General Service 1 (S)</v>
      </c>
      <c r="G62" s="17" t="str">
        <v>Small Industrial</v>
      </c>
      <c r="H62" s="17" t="str">
        <v>Large Industrial</v>
      </c>
      <c r="I62" s="17" t="str">
        <v>Lights</v>
      </c>
      <c r="J62" s="17" t="str">
        <v>Unmetered</v>
      </c>
      <c r="K62" s="33" t="s">
        <v>214</v>
      </c>
    </row>
    <row r="63" spans="1:11" x14ac:dyDescent="0.3">
      <c r="A63" s="1" t="str">
        <f t="array" ref="A63:A78">List_Functions</f>
        <v>Generation</v>
      </c>
      <c r="B63" s="30">
        <f t="shared" ref="B63:J72" si="9">VLOOKUP(VLOOKUP($A63,Table_AllocByFunction,2,FALSE),Table_Allocators_Site,COLUMN(),FALSE)</f>
        <v>0</v>
      </c>
      <c r="C63" s="30">
        <f t="shared" si="9"/>
        <v>0</v>
      </c>
      <c r="D63" s="30">
        <f t="shared" si="9"/>
        <v>0</v>
      </c>
      <c r="E63" s="30">
        <f t="shared" si="9"/>
        <v>0</v>
      </c>
      <c r="F63" s="30">
        <f t="shared" si="9"/>
        <v>0</v>
      </c>
      <c r="G63" s="30">
        <f t="shared" si="9"/>
        <v>0</v>
      </c>
      <c r="H63" s="30">
        <f t="shared" si="9"/>
        <v>0</v>
      </c>
      <c r="I63" s="30">
        <f t="shared" si="9"/>
        <v>0</v>
      </c>
      <c r="J63" s="30">
        <f t="shared" si="9"/>
        <v>0</v>
      </c>
      <c r="K63" s="30">
        <f t="shared" ref="K63:K78" si="10">SUM(B63:J63)</f>
        <v>0</v>
      </c>
    </row>
    <row r="64" spans="1:11" x14ac:dyDescent="0.3">
      <c r="A64" s="1" t="str">
        <v>Purchased Power</v>
      </c>
      <c r="B64" s="30">
        <f t="shared" si="9"/>
        <v>0</v>
      </c>
      <c r="C64" s="30">
        <f t="shared" si="9"/>
        <v>0</v>
      </c>
      <c r="D64" s="30">
        <f t="shared" si="9"/>
        <v>0</v>
      </c>
      <c r="E64" s="30">
        <f t="shared" si="9"/>
        <v>0</v>
      </c>
      <c r="F64" s="30">
        <f t="shared" si="9"/>
        <v>0</v>
      </c>
      <c r="G64" s="30">
        <f t="shared" si="9"/>
        <v>0</v>
      </c>
      <c r="H64" s="30">
        <f t="shared" si="9"/>
        <v>0</v>
      </c>
      <c r="I64" s="30">
        <f t="shared" si="9"/>
        <v>0</v>
      </c>
      <c r="J64" s="30">
        <f t="shared" si="9"/>
        <v>0</v>
      </c>
      <c r="K64" s="30">
        <f t="shared" si="10"/>
        <v>0</v>
      </c>
    </row>
    <row r="65" spans="1:11" x14ac:dyDescent="0.3">
      <c r="A65" s="1" t="str">
        <v>Transmission</v>
      </c>
      <c r="B65" s="30">
        <f t="shared" si="9"/>
        <v>0</v>
      </c>
      <c r="C65" s="30">
        <f t="shared" si="9"/>
        <v>0</v>
      </c>
      <c r="D65" s="30">
        <f t="shared" si="9"/>
        <v>0</v>
      </c>
      <c r="E65" s="30">
        <f t="shared" si="9"/>
        <v>0</v>
      </c>
      <c r="F65" s="30">
        <f t="shared" si="9"/>
        <v>0</v>
      </c>
      <c r="G65" s="30">
        <f t="shared" si="9"/>
        <v>0</v>
      </c>
      <c r="H65" s="30">
        <f t="shared" si="9"/>
        <v>0</v>
      </c>
      <c r="I65" s="30">
        <f t="shared" si="9"/>
        <v>0</v>
      </c>
      <c r="J65" s="30">
        <f t="shared" si="9"/>
        <v>0</v>
      </c>
      <c r="K65" s="30">
        <f t="shared" si="10"/>
        <v>0</v>
      </c>
    </row>
    <row r="66" spans="1:11" x14ac:dyDescent="0.3">
      <c r="A66" s="1" t="str">
        <v>Substations</v>
      </c>
      <c r="B66" s="30">
        <f t="shared" si="9"/>
        <v>0</v>
      </c>
      <c r="C66" s="30">
        <f t="shared" si="9"/>
        <v>0</v>
      </c>
      <c r="D66" s="30">
        <f t="shared" si="9"/>
        <v>0</v>
      </c>
      <c r="E66" s="30">
        <f t="shared" si="9"/>
        <v>0</v>
      </c>
      <c r="F66" s="30">
        <f t="shared" si="9"/>
        <v>0</v>
      </c>
      <c r="G66" s="30">
        <f t="shared" si="9"/>
        <v>0</v>
      </c>
      <c r="H66" s="30">
        <f t="shared" si="9"/>
        <v>0</v>
      </c>
      <c r="I66" s="30">
        <f t="shared" si="9"/>
        <v>0</v>
      </c>
      <c r="J66" s="30">
        <f t="shared" si="9"/>
        <v>0</v>
      </c>
      <c r="K66" s="30">
        <f t="shared" si="10"/>
        <v>0</v>
      </c>
    </row>
    <row r="67" spans="1:11" x14ac:dyDescent="0.3">
      <c r="A67" s="1" t="str">
        <v>Primary Lines</v>
      </c>
      <c r="B67" s="30">
        <f t="shared" si="9"/>
        <v>0.73897168372225408</v>
      </c>
      <c r="C67" s="30">
        <f t="shared" si="9"/>
        <v>8.6022868273938971E-2</v>
      </c>
      <c r="D67" s="30">
        <f t="shared" si="9"/>
        <v>5.7481999350686899E-3</v>
      </c>
      <c r="E67" s="30">
        <f t="shared" si="9"/>
        <v>8.7901873668574576E-2</v>
      </c>
      <c r="F67" s="30">
        <f t="shared" si="9"/>
        <v>1.8256371940779087E-2</v>
      </c>
      <c r="G67" s="30">
        <f t="shared" si="9"/>
        <v>3.1687369081133008E-3</v>
      </c>
      <c r="H67" s="30">
        <f t="shared" si="9"/>
        <v>7.7828625813309148E-5</v>
      </c>
      <c r="I67" s="30">
        <f t="shared" si="9"/>
        <v>5.6561397891066616E-2</v>
      </c>
      <c r="J67" s="30">
        <f t="shared" si="9"/>
        <v>3.2910390343913582E-3</v>
      </c>
      <c r="K67" s="30">
        <f t="shared" si="10"/>
        <v>1</v>
      </c>
    </row>
    <row r="68" spans="1:11" x14ac:dyDescent="0.3">
      <c r="A68" s="1" t="str">
        <v>Transformers</v>
      </c>
      <c r="B68" s="30">
        <f t="shared" si="9"/>
        <v>0.73897989997798541</v>
      </c>
      <c r="C68" s="30">
        <f t="shared" si="9"/>
        <v>8.6023824719091119E-2</v>
      </c>
      <c r="D68" s="30">
        <f t="shared" si="9"/>
        <v>5.7482638464224009E-3</v>
      </c>
      <c r="E68" s="30">
        <f t="shared" si="9"/>
        <v>8.7902851005445842E-2</v>
      </c>
      <c r="F68" s="30">
        <f t="shared" si="9"/>
        <v>1.8256574924227432E-2</v>
      </c>
      <c r="G68" s="30">
        <f t="shared" si="9"/>
        <v>3.1687721397106084E-3</v>
      </c>
      <c r="H68" s="30">
        <f t="shared" si="9"/>
        <v>6.6710992414960164E-5</v>
      </c>
      <c r="I68" s="30">
        <f t="shared" si="9"/>
        <v>5.6562026768897565E-2</v>
      </c>
      <c r="J68" s="30">
        <f t="shared" si="9"/>
        <v>3.291075625804702E-3</v>
      </c>
      <c r="K68" s="30">
        <f t="shared" si="10"/>
        <v>0.99999999999999978</v>
      </c>
    </row>
    <row r="69" spans="1:11" x14ac:dyDescent="0.3">
      <c r="A69" s="1" t="str">
        <v>Secondary Lines</v>
      </c>
      <c r="B69" s="30">
        <f t="shared" si="9"/>
        <v>0.73897989997798541</v>
      </c>
      <c r="C69" s="30">
        <f t="shared" si="9"/>
        <v>8.6023824719091133E-2</v>
      </c>
      <c r="D69" s="30">
        <f t="shared" si="9"/>
        <v>5.7482638464224009E-3</v>
      </c>
      <c r="E69" s="30">
        <f t="shared" si="9"/>
        <v>8.7902851005445842E-2</v>
      </c>
      <c r="F69" s="30">
        <f t="shared" si="9"/>
        <v>1.8256574924227432E-2</v>
      </c>
      <c r="G69" s="30">
        <f t="shared" si="9"/>
        <v>3.1687721397106079E-3</v>
      </c>
      <c r="H69" s="30">
        <f t="shared" si="9"/>
        <v>6.6710992414960164E-5</v>
      </c>
      <c r="I69" s="30">
        <f t="shared" si="9"/>
        <v>5.6562026768897565E-2</v>
      </c>
      <c r="J69" s="30">
        <f t="shared" si="9"/>
        <v>3.2910756258047015E-3</v>
      </c>
      <c r="K69" s="30">
        <f t="shared" si="10"/>
        <v>0.99999999999999978</v>
      </c>
    </row>
    <row r="70" spans="1:11" x14ac:dyDescent="0.3">
      <c r="A70" s="1" t="str">
        <v>Service Lines</v>
      </c>
      <c r="B70" s="30">
        <f t="shared" si="9"/>
        <v>0.72430098684210531</v>
      </c>
      <c r="C70" s="30">
        <f t="shared" si="9"/>
        <v>9.9352384868421059E-2</v>
      </c>
      <c r="D70" s="30">
        <f t="shared" si="9"/>
        <v>6.6303453947368423E-3</v>
      </c>
      <c r="E70" s="30">
        <f t="shared" si="9"/>
        <v>9.5574629934210523E-2</v>
      </c>
      <c r="F70" s="30">
        <f t="shared" si="9"/>
        <v>2.3720189144736843E-2</v>
      </c>
      <c r="G70" s="30">
        <f t="shared" si="9"/>
        <v>9.5343338815789477E-3</v>
      </c>
      <c r="H70" s="30">
        <f t="shared" si="9"/>
        <v>8.4806743421052635E-4</v>
      </c>
      <c r="I70" s="30">
        <f t="shared" si="9"/>
        <v>3.7828947368421052E-2</v>
      </c>
      <c r="J70" s="30">
        <f t="shared" si="9"/>
        <v>2.2101151315789473E-3</v>
      </c>
      <c r="K70" s="30">
        <f t="shared" si="10"/>
        <v>1</v>
      </c>
    </row>
    <row r="71" spans="1:11" x14ac:dyDescent="0.3">
      <c r="A71" s="1" t="str">
        <v>Meter Assets</v>
      </c>
      <c r="B71" s="30">
        <f t="shared" si="9"/>
        <v>0.53210865127963569</v>
      </c>
      <c r="C71" s="30">
        <f t="shared" si="9"/>
        <v>6.1862144763699167E-2</v>
      </c>
      <c r="D71" s="30">
        <f t="shared" si="9"/>
        <v>4.0822735123253254E-3</v>
      </c>
      <c r="E71" s="30">
        <f t="shared" si="9"/>
        <v>0.31841733396137539</v>
      </c>
      <c r="F71" s="30">
        <f t="shared" si="9"/>
        <v>6.610142879572932E-2</v>
      </c>
      <c r="G71" s="30">
        <f t="shared" si="9"/>
        <v>1.1461767938451876E-2</v>
      </c>
      <c r="H71" s="30">
        <f t="shared" si="9"/>
        <v>5.9663997487831681E-3</v>
      </c>
      <c r="I71" s="30">
        <f t="shared" si="9"/>
        <v>0</v>
      </c>
      <c r="J71" s="30">
        <f t="shared" si="9"/>
        <v>0</v>
      </c>
      <c r="K71" s="30">
        <f t="shared" si="10"/>
        <v>1</v>
      </c>
    </row>
    <row r="72" spans="1:11" x14ac:dyDescent="0.3">
      <c r="A72" s="1" t="str">
        <v>Meter Reading</v>
      </c>
      <c r="B72" s="30">
        <f t="shared" si="9"/>
        <v>0.82521689196529724</v>
      </c>
      <c r="C72" s="30">
        <f t="shared" si="9"/>
        <v>5.6036503034159517E-2</v>
      </c>
      <c r="D72" s="30">
        <f t="shared" si="9"/>
        <v>6.4190709729486442E-3</v>
      </c>
      <c r="E72" s="30">
        <f t="shared" si="9"/>
        <v>9.8160880294259151E-2</v>
      </c>
      <c r="F72" s="30">
        <f t="shared" si="9"/>
        <v>1.0193534369034501E-2</v>
      </c>
      <c r="G72" s="30">
        <f t="shared" si="9"/>
        <v>3.5385594338304908E-3</v>
      </c>
      <c r="H72" s="30">
        <f t="shared" si="9"/>
        <v>4.3455993047041111E-4</v>
      </c>
      <c r="I72" s="30">
        <f t="shared" si="9"/>
        <v>0</v>
      </c>
      <c r="J72" s="30">
        <f t="shared" si="9"/>
        <v>0</v>
      </c>
      <c r="K72" s="30">
        <f t="shared" si="10"/>
        <v>1</v>
      </c>
    </row>
    <row r="73" spans="1:11" x14ac:dyDescent="0.3">
      <c r="A73" s="1" t="str">
        <v>Billing</v>
      </c>
      <c r="B73" s="30">
        <f t="shared" ref="B73:J78" si="11">VLOOKUP(VLOOKUP($A73,Table_AllocByFunction,2,FALSE),Table_Allocators_Site,COLUMN(),FALSE)</f>
        <v>0.78337712340943799</v>
      </c>
      <c r="C73" s="30">
        <f t="shared" si="11"/>
        <v>5.3195365945890201E-2</v>
      </c>
      <c r="D73" s="30">
        <f t="shared" si="11"/>
        <v>6.0936141791447917E-3</v>
      </c>
      <c r="E73" s="30">
        <f t="shared" si="11"/>
        <v>9.3183972341042018E-2</v>
      </c>
      <c r="F73" s="30">
        <f t="shared" si="11"/>
        <v>9.6767064624330261E-3</v>
      </c>
      <c r="G73" s="30">
        <f t="shared" si="11"/>
        <v>3.3591490155827192E-3</v>
      </c>
      <c r="H73" s="30">
        <f t="shared" si="11"/>
        <v>2.0626353604455291E-3</v>
      </c>
      <c r="I73" s="30">
        <f t="shared" si="11"/>
        <v>3.6734553562220379E-3</v>
      </c>
      <c r="J73" s="30">
        <f t="shared" si="11"/>
        <v>4.5377977929801645E-2</v>
      </c>
      <c r="K73" s="30">
        <f t="shared" si="10"/>
        <v>1</v>
      </c>
    </row>
    <row r="74" spans="1:11" x14ac:dyDescent="0.3">
      <c r="A74" s="1" t="str">
        <v>Remittance &amp; Collection</v>
      </c>
      <c r="B74" s="30">
        <f t="shared" si="11"/>
        <v>0.81818780543501213</v>
      </c>
      <c r="C74" s="30">
        <f t="shared" si="11"/>
        <v>5.555919163576626E-2</v>
      </c>
      <c r="D74" s="30">
        <f t="shared" si="11"/>
        <v>6.364394189484552E-3</v>
      </c>
      <c r="E74" s="30">
        <f t="shared" si="11"/>
        <v>9.7324759114245388E-2</v>
      </c>
      <c r="F74" s="30">
        <f t="shared" si="11"/>
        <v>1.0106707213862316E-2</v>
      </c>
      <c r="G74" s="30">
        <f t="shared" si="11"/>
        <v>3.5084184603541534E-3</v>
      </c>
      <c r="H74" s="30">
        <f t="shared" si="11"/>
        <v>8.6171681482382717E-5</v>
      </c>
      <c r="I74" s="30">
        <f t="shared" si="11"/>
        <v>5.2187211671092552E-3</v>
      </c>
      <c r="J74" s="30">
        <f t="shared" si="11"/>
        <v>3.6438311026836122E-3</v>
      </c>
      <c r="K74" s="30">
        <f t="shared" si="10"/>
        <v>1</v>
      </c>
    </row>
    <row r="75" spans="1:11" x14ac:dyDescent="0.3">
      <c r="A75" s="1" t="str">
        <v>Uncollectibles &amp; Damage Claims</v>
      </c>
      <c r="B75" s="30">
        <f t="shared" si="11"/>
        <v>0.78874041725013644</v>
      </c>
      <c r="C75" s="30">
        <f t="shared" si="11"/>
        <v>9.1816390952460067E-2</v>
      </c>
      <c r="D75" s="30">
        <f t="shared" si="11"/>
        <v>6.1353333491562436E-3</v>
      </c>
      <c r="E75" s="30">
        <f t="shared" si="11"/>
        <v>9.3821944793867046E-2</v>
      </c>
      <c r="F75" s="30">
        <f t="shared" si="11"/>
        <v>1.9485913654380176E-2</v>
      </c>
      <c r="G75" s="30">
        <f t="shared" si="11"/>
        <v>0</v>
      </c>
      <c r="H75" s="30">
        <f t="shared" si="11"/>
        <v>0</v>
      </c>
      <c r="I75" s="30">
        <f t="shared" si="11"/>
        <v>0</v>
      </c>
      <c r="J75" s="30">
        <f t="shared" si="11"/>
        <v>0</v>
      </c>
      <c r="K75" s="30">
        <f t="shared" si="10"/>
        <v>1</v>
      </c>
    </row>
    <row r="76" spans="1:11" x14ac:dyDescent="0.3">
      <c r="A76" s="1" t="str">
        <v>Service Connections</v>
      </c>
      <c r="B76" s="30">
        <f t="shared" si="11"/>
        <v>0.85224839400428265</v>
      </c>
      <c r="C76" s="30">
        <f t="shared" si="11"/>
        <v>6.852248394004283E-2</v>
      </c>
      <c r="D76" s="30">
        <f t="shared" si="11"/>
        <v>0</v>
      </c>
      <c r="E76" s="30">
        <f t="shared" si="11"/>
        <v>6.638115631691649E-2</v>
      </c>
      <c r="F76" s="30">
        <f t="shared" si="11"/>
        <v>1.284796573875803E-2</v>
      </c>
      <c r="G76" s="30">
        <f t="shared" si="11"/>
        <v>0</v>
      </c>
      <c r="H76" s="30">
        <f t="shared" si="11"/>
        <v>0</v>
      </c>
      <c r="I76" s="30">
        <f t="shared" si="11"/>
        <v>0</v>
      </c>
      <c r="J76" s="30">
        <f t="shared" si="11"/>
        <v>0</v>
      </c>
      <c r="K76" s="30">
        <f t="shared" si="10"/>
        <v>0.99999999999999989</v>
      </c>
    </row>
    <row r="77" spans="1:11" x14ac:dyDescent="0.3">
      <c r="A77" s="1" t="str">
        <v>Late Payments</v>
      </c>
      <c r="B77" s="30">
        <f t="shared" si="11"/>
        <v>0.7752808988764045</v>
      </c>
      <c r="C77" s="30">
        <f t="shared" si="11"/>
        <v>2.5682182985553772E-2</v>
      </c>
      <c r="D77" s="30">
        <f t="shared" si="11"/>
        <v>1.6051364365971106E-2</v>
      </c>
      <c r="E77" s="30">
        <f t="shared" si="11"/>
        <v>0.13001605136436598</v>
      </c>
      <c r="F77" s="30">
        <f t="shared" si="11"/>
        <v>8.0256821829855531E-3</v>
      </c>
      <c r="G77" s="30">
        <f t="shared" si="11"/>
        <v>4.3338683788121987E-2</v>
      </c>
      <c r="H77" s="30">
        <f t="shared" si="11"/>
        <v>0</v>
      </c>
      <c r="I77" s="30">
        <f t="shared" si="11"/>
        <v>1.6051364365971107E-3</v>
      </c>
      <c r="J77" s="30">
        <f t="shared" si="11"/>
        <v>0</v>
      </c>
      <c r="K77" s="30">
        <f t="shared" si="10"/>
        <v>1.0000000000000002</v>
      </c>
    </row>
    <row r="78" spans="1:11" x14ac:dyDescent="0.3">
      <c r="A78" s="1" t="str">
        <v>Lighting</v>
      </c>
      <c r="B78" s="30">
        <f t="shared" si="11"/>
        <v>0</v>
      </c>
      <c r="C78" s="30">
        <f t="shared" si="11"/>
        <v>0</v>
      </c>
      <c r="D78" s="30">
        <f t="shared" si="11"/>
        <v>0</v>
      </c>
      <c r="E78" s="30">
        <f t="shared" si="11"/>
        <v>0</v>
      </c>
      <c r="F78" s="30">
        <f t="shared" si="11"/>
        <v>0</v>
      </c>
      <c r="G78" s="30">
        <f t="shared" si="11"/>
        <v>0</v>
      </c>
      <c r="H78" s="30">
        <f t="shared" si="11"/>
        <v>0</v>
      </c>
      <c r="I78" s="30">
        <f t="shared" si="11"/>
        <v>1</v>
      </c>
      <c r="J78" s="30">
        <f t="shared" si="11"/>
        <v>0</v>
      </c>
      <c r="K78" s="30">
        <f t="shared" si="10"/>
        <v>1</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22" max="16383" man="1"/>
    <brk id="41" max="16383" man="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110"/>
  <sheetViews>
    <sheetView topLeftCell="A110" zoomScaleNormal="100" zoomScaleSheetLayoutView="40" workbookViewId="0">
      <selection activeCell="E21" sqref="E21"/>
    </sheetView>
  </sheetViews>
  <sheetFormatPr defaultColWidth="8.7109375" defaultRowHeight="13.5" x14ac:dyDescent="0.3"/>
  <cols>
    <col min="1" max="1" width="25.7109375" style="1" customWidth="1"/>
    <col min="2" max="11" width="9.7109375" style="30" customWidth="1"/>
    <col min="12" max="12" width="7.7109375" style="30" customWidth="1"/>
    <col min="13" max="16384" width="8.7109375" style="1"/>
  </cols>
  <sheetData>
    <row r="1" spans="1:12" x14ac:dyDescent="0.3">
      <c r="A1" s="1" t="s">
        <v>532</v>
      </c>
    </row>
    <row r="2" spans="1:12" x14ac:dyDescent="0.3">
      <c r="A2" s="1" t="s">
        <v>25</v>
      </c>
    </row>
    <row r="4" spans="1:12" x14ac:dyDescent="0.3">
      <c r="A4" s="1" t="s">
        <v>25</v>
      </c>
    </row>
    <row r="5" spans="1:12" ht="40.5" x14ac:dyDescent="0.3">
      <c r="B5" s="17" t="str">
        <f t="array" ref="B5:J5">TRANSPOSE(List_Classes)</f>
        <v>Residential</v>
      </c>
      <c r="C5" s="17" t="str">
        <v>Residential (S)</v>
      </c>
      <c r="D5" s="17" t="str">
        <v>Farm</v>
      </c>
      <c r="E5" s="17" t="str">
        <v>General Service 1</v>
      </c>
      <c r="F5" s="17" t="str">
        <v>General Service 1 (S)</v>
      </c>
      <c r="G5" s="17" t="str">
        <v>Small Industrial</v>
      </c>
      <c r="H5" s="17" t="str">
        <v>Large Industrial</v>
      </c>
      <c r="I5" s="17" t="str">
        <v>Lights</v>
      </c>
      <c r="J5" s="17" t="str">
        <v>Unmetered</v>
      </c>
      <c r="K5" s="33" t="s">
        <v>214</v>
      </c>
      <c r="L5" s="33"/>
    </row>
    <row r="6" spans="1:12" x14ac:dyDescent="0.3">
      <c r="A6" s="1" t="str">
        <f t="array" ref="A6:A29">List_Allocators</f>
        <v>1CP - Input</v>
      </c>
      <c r="B6" s="30">
        <f>'2.2'!B15/'2.2'!$K15</f>
        <v>0.64518792734536057</v>
      </c>
      <c r="C6" s="30">
        <f>'2.2'!C15/'2.2'!$K15</f>
        <v>1.2034714879917871E-2</v>
      </c>
      <c r="D6" s="30">
        <f>'2.2'!D15/'2.2'!$K15</f>
        <v>2.209990989307125E-2</v>
      </c>
      <c r="E6" s="30">
        <f>'2.2'!E15/'2.2'!$K15</f>
        <v>0.19643310467189082</v>
      </c>
      <c r="F6" s="30">
        <f>'2.2'!F15/'2.2'!$K15</f>
        <v>8.0900957699957872E-5</v>
      </c>
      <c r="G6" s="30">
        <f>'2.2'!G15/'2.2'!$K15</f>
        <v>6.539308101533492E-2</v>
      </c>
      <c r="H6" s="30">
        <f>'2.2'!H15/'2.2'!$K15</f>
        <v>5.4728103039923225E-2</v>
      </c>
      <c r="I6" s="30">
        <f>'2.2'!I15/'2.2'!$K15</f>
        <v>2.9933354348984412E-3</v>
      </c>
      <c r="J6" s="30">
        <f>'2.2'!J15/'2.2'!$K15</f>
        <v>1.0489227619029022E-3</v>
      </c>
      <c r="K6" s="30">
        <f t="shared" ref="K6:K29" si="0">SUM(B6:J6)</f>
        <v>1</v>
      </c>
    </row>
    <row r="7" spans="1:12" x14ac:dyDescent="0.3">
      <c r="A7" s="1" t="str">
        <v>1CP - Input Firm</v>
      </c>
      <c r="B7" s="30">
        <f>'2.2'!B16/'2.2'!$K16</f>
        <v>0.67471665086426957</v>
      </c>
      <c r="C7" s="30">
        <f>'2.2'!C16/'2.2'!$K16</f>
        <v>1.2585515279702428E-2</v>
      </c>
      <c r="D7" s="30">
        <f>'2.2'!D16/'2.2'!$K16</f>
        <v>2.3111370432499452E-2</v>
      </c>
      <c r="E7" s="30">
        <f>'2.2'!E16/'2.2'!$K16</f>
        <v>0.20351542557070965</v>
      </c>
      <c r="F7" s="30">
        <f>'2.2'!F16/'2.2'!$K16</f>
        <v>8.4603602946539271E-5</v>
      </c>
      <c r="G7" s="30">
        <f>'2.2'!G16/'2.2'!$K16</f>
        <v>6.8385967471373349E-2</v>
      </c>
      <c r="H7" s="30">
        <f>'2.2'!H16/'2.2'!$K16</f>
        <v>1.3373203996790898E-2</v>
      </c>
      <c r="I7" s="30">
        <f>'2.2'!I16/'2.2'!$K16</f>
        <v>3.1303333090219533E-3</v>
      </c>
      <c r="J7" s="30">
        <f>'2.2'!J16/'2.2'!$K16</f>
        <v>1.0969294726861645E-3</v>
      </c>
      <c r="K7" s="30">
        <f t="shared" si="0"/>
        <v>0.99999999999999989</v>
      </c>
    </row>
    <row r="8" spans="1:12" x14ac:dyDescent="0.3">
      <c r="A8" s="1" t="str">
        <v>1CP - Transmission</v>
      </c>
      <c r="B8" s="30">
        <f>'2.2'!B17/'2.2'!$K17</f>
        <v>0.64518431116102526</v>
      </c>
      <c r="C8" s="30">
        <f>'2.2'!C17/'2.2'!$K17</f>
        <v>1.2035312682143213E-2</v>
      </c>
      <c r="D8" s="30">
        <f>'2.2'!D17/'2.2'!$K17</f>
        <v>2.2100280056295579E-2</v>
      </c>
      <c r="E8" s="30">
        <f>'2.2'!E17/'2.2'!$K17</f>
        <v>0.19643177004108439</v>
      </c>
      <c r="F8" s="30">
        <f>'2.2'!F17/'2.2'!$K17</f>
        <v>8.2453122556615442E-5</v>
      </c>
      <c r="G8" s="30">
        <f>'2.2'!G17/'2.2'!$K17</f>
        <v>6.5393855820763971E-2</v>
      </c>
      <c r="H8" s="30">
        <f>'2.2'!H17/'2.2'!$K17</f>
        <v>5.4728970899734157E-2</v>
      </c>
      <c r="I8" s="30">
        <f>'2.2'!I17/'2.2'!$K17</f>
        <v>2.9939013121419332E-3</v>
      </c>
      <c r="J8" s="30">
        <f>'2.2'!J17/'2.2'!$K17</f>
        <v>1.0491449042548655E-3</v>
      </c>
      <c r="K8" s="30">
        <f t="shared" si="0"/>
        <v>1</v>
      </c>
    </row>
    <row r="9" spans="1:12" x14ac:dyDescent="0.3">
      <c r="A9" s="1" t="str">
        <v>1CP - Distribution Primary</v>
      </c>
      <c r="B9" s="30">
        <f>'2.2'!B18/'2.2'!$K18</f>
        <v>0.67283698037122697</v>
      </c>
      <c r="C9" s="30">
        <f>'2.2'!C18/'2.2'!$K18</f>
        <v>1.2551147482654332E-2</v>
      </c>
      <c r="D9" s="30">
        <f>'2.2'!D18/'2.2'!$K18</f>
        <v>2.304750044476072E-2</v>
      </c>
      <c r="E9" s="30">
        <f>'2.2'!E18/'2.2'!$K18</f>
        <v>0.20485085690565141</v>
      </c>
      <c r="F9" s="30">
        <f>'2.2'!F18/'2.2'!$K18</f>
        <v>8.5987072288442148E-5</v>
      </c>
      <c r="G9" s="30">
        <f>'2.2'!G18/'2.2'!$K18</f>
        <v>6.8196643539109286E-2</v>
      </c>
      <c r="H9" s="30">
        <f>'2.2'!H18/'2.2'!$K18</f>
        <v>1.4214552570716955E-2</v>
      </c>
      <c r="I9" s="30">
        <f>'2.2'!I18/'2.2'!$K18</f>
        <v>3.1222202455079167E-3</v>
      </c>
      <c r="J9" s="30">
        <f>'2.2'!J18/'2.2'!$K18</f>
        <v>1.0941113680839709E-3</v>
      </c>
      <c r="K9" s="30">
        <f t="shared" si="0"/>
        <v>0.99999999999999989</v>
      </c>
    </row>
    <row r="10" spans="1:12" x14ac:dyDescent="0.3">
      <c r="A10" s="1" t="str">
        <v>NCP - Distribution Primary</v>
      </c>
      <c r="B10" s="30">
        <f>'2.2'!B19/'2.2'!$K19</f>
        <v>0.61915857887743209</v>
      </c>
      <c r="C10" s="30">
        <f>'2.2'!C19/'2.2'!$K19</f>
        <v>2.0463903039298879E-2</v>
      </c>
      <c r="D10" s="30">
        <f>'2.2'!D19/'2.2'!$K19</f>
        <v>3.2979626138134072E-2</v>
      </c>
      <c r="E10" s="30">
        <f>'2.2'!E19/'2.2'!$K19</f>
        <v>0.20767314508361551</v>
      </c>
      <c r="F10" s="30">
        <f>'2.2'!F19/'2.2'!$K19</f>
        <v>1.0507532080578665E-2</v>
      </c>
      <c r="G10" s="30">
        <f>'2.2'!G19/'2.2'!$K19</f>
        <v>7.847497537510334E-2</v>
      </c>
      <c r="H10" s="30">
        <f>'2.2'!H19/'2.2'!$K19</f>
        <v>2.6840455226344411E-2</v>
      </c>
      <c r="I10" s="30">
        <f>'2.2'!I19/'2.2'!$K19</f>
        <v>2.8785890275280423E-3</v>
      </c>
      <c r="J10" s="30">
        <f>'2.2'!J19/'2.2'!$K19</f>
        <v>1.0231951519649441E-3</v>
      </c>
      <c r="K10" s="30">
        <f t="shared" si="0"/>
        <v>0.99999999999999989</v>
      </c>
    </row>
    <row r="11" spans="1:12" x14ac:dyDescent="0.3">
      <c r="A11" s="1" t="str">
        <v>NCP - Distribution Secondary</v>
      </c>
      <c r="B11" s="30">
        <f>'2.2'!B20/'2.2'!$K20</f>
        <v>0.61915874337798138</v>
      </c>
      <c r="C11" s="30">
        <f>'2.2'!C20/'2.2'!$K20</f>
        <v>2.0464640155458395E-2</v>
      </c>
      <c r="D11" s="30">
        <f>'2.2'!D20/'2.2'!$K20</f>
        <v>3.2979966224813195E-2</v>
      </c>
      <c r="E11" s="30">
        <f>'2.2'!E20/'2.2'!$K20</f>
        <v>0.20767402317995698</v>
      </c>
      <c r="F11" s="30">
        <f>'2.2'!F20/'2.2'!$K20</f>
        <v>1.0505586786036506E-2</v>
      </c>
      <c r="G11" s="30">
        <f>'2.2'!G20/'2.2'!$K20</f>
        <v>7.8475258518981197E-2</v>
      </c>
      <c r="H11" s="30">
        <f>'2.2'!H20/'2.2'!$K20</f>
        <v>2.6840863349295578E-2</v>
      </c>
      <c r="I11" s="30">
        <f>'2.2'!I20/'2.2'!$K20</f>
        <v>2.8801443542230552E-3</v>
      </c>
      <c r="J11" s="30">
        <f>'2.2'!J20/'2.2'!$K20</f>
        <v>1.0207740532537535E-3</v>
      </c>
      <c r="K11" s="30">
        <f t="shared" si="0"/>
        <v>0.99999999999999989</v>
      </c>
    </row>
    <row r="12" spans="1:12" x14ac:dyDescent="0.3">
      <c r="A12" s="1" t="str">
        <v>Energy - Input</v>
      </c>
      <c r="B12" s="30">
        <f>'2.2'!B21/'2.2'!$K21</f>
        <v>0.49597257366335251</v>
      </c>
      <c r="C12" s="30">
        <f>'2.2'!C21/'2.2'!$K21</f>
        <v>1.7674931808028212E-2</v>
      </c>
      <c r="D12" s="30">
        <f>'2.2'!D21/'2.2'!$K21</f>
        <v>3.23526214558554E-2</v>
      </c>
      <c r="E12" s="30">
        <f>'2.2'!E21/'2.2'!$K21</f>
        <v>0.27173361868921864</v>
      </c>
      <c r="F12" s="30">
        <f>'2.2'!F21/'2.2'!$K21</f>
        <v>6.7346837469674133E-3</v>
      </c>
      <c r="G12" s="30">
        <f>'2.2'!G21/'2.2'!$K21</f>
        <v>6.1697947109043694E-2</v>
      </c>
      <c r="H12" s="30">
        <f>'2.2'!H21/'2.2'!$K21</f>
        <v>0.10946782928663752</v>
      </c>
      <c r="I12" s="30">
        <f>'2.2'!I21/'2.2'!$K21</f>
        <v>2.6390811473468124E-3</v>
      </c>
      <c r="J12" s="30">
        <f>'2.2'!J21/'2.2'!$K21</f>
        <v>1.7267130935497716E-3</v>
      </c>
      <c r="K12" s="30">
        <f t="shared" si="0"/>
        <v>1</v>
      </c>
    </row>
    <row r="13" spans="1:12" x14ac:dyDescent="0.3">
      <c r="A13" s="1" t="str">
        <v>Sites</v>
      </c>
      <c r="B13" s="30">
        <f>'2.2'!B22/'2.2'!$K22</f>
        <v>0.73897168372225408</v>
      </c>
      <c r="C13" s="30">
        <f>'2.2'!C22/'2.2'!$K22</f>
        <v>8.6022868273938971E-2</v>
      </c>
      <c r="D13" s="30">
        <f>'2.2'!D22/'2.2'!$K22</f>
        <v>5.7481999350686899E-3</v>
      </c>
      <c r="E13" s="30">
        <f>'2.2'!E22/'2.2'!$K22</f>
        <v>8.7901873668574576E-2</v>
      </c>
      <c r="F13" s="30">
        <f>'2.2'!F22/'2.2'!$K22</f>
        <v>1.8256371940779087E-2</v>
      </c>
      <c r="G13" s="30">
        <f>'2.2'!G22/'2.2'!$K22</f>
        <v>3.1687369081133008E-3</v>
      </c>
      <c r="H13" s="30">
        <f>'2.2'!H22/'2.2'!$K22</f>
        <v>7.7828625813309148E-5</v>
      </c>
      <c r="I13" s="30">
        <f>'2.2'!I22/'2.2'!$K22</f>
        <v>5.6561397891066616E-2</v>
      </c>
      <c r="J13" s="30">
        <f>'2.2'!J22/'2.2'!$K22</f>
        <v>3.2910390343913582E-3</v>
      </c>
      <c r="K13" s="30">
        <f t="shared" si="0"/>
        <v>1</v>
      </c>
    </row>
    <row r="14" spans="1:12" x14ac:dyDescent="0.3">
      <c r="A14" s="1" t="str">
        <v>Sites - Distribution Primary</v>
      </c>
      <c r="B14" s="30">
        <f>'2.2'!B23/'2.2'!$K23</f>
        <v>0.73897168372225408</v>
      </c>
      <c r="C14" s="30">
        <f>'2.2'!C23/'2.2'!$K23</f>
        <v>8.6022868273938971E-2</v>
      </c>
      <c r="D14" s="30">
        <f>'2.2'!D23/'2.2'!$K23</f>
        <v>5.7481999350686899E-3</v>
      </c>
      <c r="E14" s="30">
        <f>'2.2'!E23/'2.2'!$K23</f>
        <v>8.7901873668574576E-2</v>
      </c>
      <c r="F14" s="30">
        <f>'2.2'!F23/'2.2'!$K23</f>
        <v>1.8256371940779087E-2</v>
      </c>
      <c r="G14" s="30">
        <f>'2.2'!G23/'2.2'!$K23</f>
        <v>3.1687369081133008E-3</v>
      </c>
      <c r="H14" s="30">
        <f>'2.2'!H23/'2.2'!$K23</f>
        <v>7.7828625813309148E-5</v>
      </c>
      <c r="I14" s="30">
        <f>'2.2'!I23/'2.2'!$K23</f>
        <v>5.6561397891066616E-2</v>
      </c>
      <c r="J14" s="30">
        <f>'2.2'!J23/'2.2'!$K23</f>
        <v>3.2910390343913582E-3</v>
      </c>
      <c r="K14" s="30">
        <f t="shared" si="0"/>
        <v>1</v>
      </c>
    </row>
    <row r="15" spans="1:12" x14ac:dyDescent="0.3">
      <c r="A15" s="1" t="str">
        <v>Sites - Distribution Secondary</v>
      </c>
      <c r="B15" s="30">
        <f>'2.2'!B24/'2.2'!$K24</f>
        <v>0.73897989997798541</v>
      </c>
      <c r="C15" s="30">
        <f>'2.2'!C24/'2.2'!$K24</f>
        <v>8.6023824719091133E-2</v>
      </c>
      <c r="D15" s="30">
        <f>'2.2'!D24/'2.2'!$K24</f>
        <v>5.7482638464224009E-3</v>
      </c>
      <c r="E15" s="30">
        <f>'2.2'!E24/'2.2'!$K24</f>
        <v>8.7902851005445842E-2</v>
      </c>
      <c r="F15" s="30">
        <f>'2.2'!F24/'2.2'!$K24</f>
        <v>1.8256574924227432E-2</v>
      </c>
      <c r="G15" s="30">
        <f>'2.2'!G24/'2.2'!$K24</f>
        <v>3.1687721397106079E-3</v>
      </c>
      <c r="H15" s="30">
        <f>'2.2'!H24/'2.2'!$K24</f>
        <v>6.6710992414960164E-5</v>
      </c>
      <c r="I15" s="30">
        <f>'2.2'!I24/'2.2'!$K24</f>
        <v>5.6562026768897565E-2</v>
      </c>
      <c r="J15" s="30">
        <f>'2.2'!J24/'2.2'!$K24</f>
        <v>3.2910756258047015E-3</v>
      </c>
      <c r="K15" s="30">
        <f t="shared" si="0"/>
        <v>0.99999999999999978</v>
      </c>
    </row>
    <row r="16" spans="1:12" x14ac:dyDescent="0.3">
      <c r="A16" s="1" t="str">
        <v>Sites - Mass Market</v>
      </c>
      <c r="B16" s="30">
        <f>'2.2'!B25/'2.2'!$K25</f>
        <v>0.78874041725013644</v>
      </c>
      <c r="C16" s="30">
        <f>'2.2'!C25/'2.2'!$K25</f>
        <v>9.1816390952460067E-2</v>
      </c>
      <c r="D16" s="30">
        <f>'2.2'!D25/'2.2'!$K25</f>
        <v>6.1353333491562436E-3</v>
      </c>
      <c r="E16" s="30">
        <f>'2.2'!E25/'2.2'!$K25</f>
        <v>9.3821944793867046E-2</v>
      </c>
      <c r="F16" s="30">
        <f>'2.2'!F25/'2.2'!$K25</f>
        <v>1.9485913654380176E-2</v>
      </c>
      <c r="G16" s="30">
        <f>'2.2'!G25/'2.2'!$K25</f>
        <v>0</v>
      </c>
      <c r="H16" s="30">
        <f>'2.2'!H25/'2.2'!$K25</f>
        <v>0</v>
      </c>
      <c r="I16" s="30">
        <f>'2.2'!I25/'2.2'!$K25</f>
        <v>0</v>
      </c>
      <c r="J16" s="30">
        <f>'2.2'!J25/'2.2'!$K25</f>
        <v>0</v>
      </c>
      <c r="K16" s="30">
        <f t="shared" si="0"/>
        <v>1</v>
      </c>
    </row>
    <row r="17" spans="1:12" x14ac:dyDescent="0.3">
      <c r="A17" s="1" t="str">
        <v>Service Lines</v>
      </c>
      <c r="B17" s="30">
        <f>'2.2'!B26/'2.2'!$K26</f>
        <v>0.72430098684210531</v>
      </c>
      <c r="C17" s="30">
        <f>'2.2'!C26/'2.2'!$K26</f>
        <v>9.9352384868421059E-2</v>
      </c>
      <c r="D17" s="30">
        <f>'2.2'!D26/'2.2'!$K26</f>
        <v>6.6303453947368423E-3</v>
      </c>
      <c r="E17" s="30">
        <f>'2.2'!E26/'2.2'!$K26</f>
        <v>9.5574629934210523E-2</v>
      </c>
      <c r="F17" s="30">
        <f>'2.2'!F26/'2.2'!$K26</f>
        <v>2.3720189144736843E-2</v>
      </c>
      <c r="G17" s="30">
        <f>'2.2'!G26/'2.2'!$K26</f>
        <v>9.5343338815789477E-3</v>
      </c>
      <c r="H17" s="30">
        <f>'2.2'!H26/'2.2'!$K26</f>
        <v>8.4806743421052635E-4</v>
      </c>
      <c r="I17" s="30">
        <f>'2.2'!I26/'2.2'!$K26</f>
        <v>3.7828947368421052E-2</v>
      </c>
      <c r="J17" s="30">
        <f>'2.2'!J26/'2.2'!$K26</f>
        <v>2.2101151315789473E-3</v>
      </c>
      <c r="K17" s="30">
        <f t="shared" si="0"/>
        <v>1</v>
      </c>
    </row>
    <row r="18" spans="1:12" x14ac:dyDescent="0.3">
      <c r="A18" s="1" t="str">
        <v>Meter Assets</v>
      </c>
      <c r="B18" s="30">
        <f>'2.2'!B27/'2.2'!$K27</f>
        <v>0.53210865127963569</v>
      </c>
      <c r="C18" s="30">
        <f>'2.2'!C27/'2.2'!$K27</f>
        <v>6.1862144763699167E-2</v>
      </c>
      <c r="D18" s="30">
        <f>'2.2'!D27/'2.2'!$K27</f>
        <v>4.0822735123253254E-3</v>
      </c>
      <c r="E18" s="30">
        <f>'2.2'!E27/'2.2'!$K27</f>
        <v>0.31841733396137539</v>
      </c>
      <c r="F18" s="30">
        <f>'2.2'!F27/'2.2'!$K27</f>
        <v>6.610142879572932E-2</v>
      </c>
      <c r="G18" s="30">
        <f>'2.2'!G27/'2.2'!$K27</f>
        <v>1.1461767938451876E-2</v>
      </c>
      <c r="H18" s="30">
        <f>'2.2'!H27/'2.2'!$K27</f>
        <v>5.9663997487831681E-3</v>
      </c>
      <c r="I18" s="30">
        <f>'2.2'!I27/'2.2'!$K27</f>
        <v>0</v>
      </c>
      <c r="J18" s="30">
        <f>'2.2'!J27/'2.2'!$K27</f>
        <v>0</v>
      </c>
      <c r="K18" s="30">
        <f t="shared" si="0"/>
        <v>1</v>
      </c>
    </row>
    <row r="19" spans="1:12" x14ac:dyDescent="0.3">
      <c r="A19" s="1" t="str">
        <v>Meter Reading</v>
      </c>
      <c r="B19" s="30">
        <f>'2.2'!B28/'2.2'!$K28</f>
        <v>0.82521689196529724</v>
      </c>
      <c r="C19" s="30">
        <f>'2.2'!C28/'2.2'!$K28</f>
        <v>5.6036503034159517E-2</v>
      </c>
      <c r="D19" s="30">
        <f>'2.2'!D28/'2.2'!$K28</f>
        <v>6.4190709729486442E-3</v>
      </c>
      <c r="E19" s="30">
        <f>'2.2'!E28/'2.2'!$K28</f>
        <v>9.8160880294259151E-2</v>
      </c>
      <c r="F19" s="30">
        <f>'2.2'!F28/'2.2'!$K28</f>
        <v>1.0193534369034501E-2</v>
      </c>
      <c r="G19" s="30">
        <f>'2.2'!G28/'2.2'!$K28</f>
        <v>3.5385594338304908E-3</v>
      </c>
      <c r="H19" s="30">
        <f>'2.2'!H28/'2.2'!$K28</f>
        <v>4.3455993047041111E-4</v>
      </c>
      <c r="I19" s="30">
        <f>'2.2'!I28/'2.2'!$K28</f>
        <v>0</v>
      </c>
      <c r="J19" s="30">
        <f>'2.2'!J28/'2.2'!$K28</f>
        <v>0</v>
      </c>
      <c r="K19" s="30">
        <f t="shared" si="0"/>
        <v>1</v>
      </c>
    </row>
    <row r="20" spans="1:12" x14ac:dyDescent="0.3">
      <c r="A20" s="1" t="str">
        <v>Billing</v>
      </c>
      <c r="B20" s="30">
        <f>'2.2'!B29/'2.2'!$K29</f>
        <v>0.78337712340943799</v>
      </c>
      <c r="C20" s="30">
        <f>'2.2'!C29/'2.2'!$K29</f>
        <v>5.3195365945890201E-2</v>
      </c>
      <c r="D20" s="30">
        <f>'2.2'!D29/'2.2'!$K29</f>
        <v>6.0936141791447917E-3</v>
      </c>
      <c r="E20" s="30">
        <f>'2.2'!E29/'2.2'!$K29</f>
        <v>9.3183972341042018E-2</v>
      </c>
      <c r="F20" s="30">
        <f>'2.2'!F29/'2.2'!$K29</f>
        <v>9.6767064624330261E-3</v>
      </c>
      <c r="G20" s="30">
        <f>'2.2'!G29/'2.2'!$K29</f>
        <v>3.3591490155827192E-3</v>
      </c>
      <c r="H20" s="30">
        <f>'2.2'!H29/'2.2'!$K29</f>
        <v>2.0626353604455291E-3</v>
      </c>
      <c r="I20" s="30">
        <f>'2.2'!I29/'2.2'!$K29</f>
        <v>3.6734553562220379E-3</v>
      </c>
      <c r="J20" s="30">
        <f>'2.2'!J29/'2.2'!$K29</f>
        <v>4.5377977929801645E-2</v>
      </c>
      <c r="K20" s="30">
        <f t="shared" si="0"/>
        <v>1</v>
      </c>
    </row>
    <row r="21" spans="1:12" x14ac:dyDescent="0.3">
      <c r="A21" s="1" t="str">
        <v>Remittance &amp; Collection</v>
      </c>
      <c r="B21" s="30">
        <f>'2.2'!B30/'2.2'!$K30</f>
        <v>0.81818780543501213</v>
      </c>
      <c r="C21" s="30">
        <f>'2.2'!C30/'2.2'!$K30</f>
        <v>5.555919163576626E-2</v>
      </c>
      <c r="D21" s="30">
        <f>'2.2'!D30/'2.2'!$K30</f>
        <v>6.364394189484552E-3</v>
      </c>
      <c r="E21" s="30">
        <f>'2.2'!E30/'2.2'!$K30</f>
        <v>9.7324759114245388E-2</v>
      </c>
      <c r="F21" s="30">
        <f>'2.2'!F30/'2.2'!$K30</f>
        <v>1.0106707213862316E-2</v>
      </c>
      <c r="G21" s="30">
        <f>'2.2'!G30/'2.2'!$K30</f>
        <v>3.5084184603541534E-3</v>
      </c>
      <c r="H21" s="30">
        <f>'2.2'!H30/'2.2'!$K30</f>
        <v>8.6171681482382717E-5</v>
      </c>
      <c r="I21" s="30">
        <f>'2.2'!I30/'2.2'!$K30</f>
        <v>5.2187211671092552E-3</v>
      </c>
      <c r="J21" s="30">
        <f>'2.2'!J30/'2.2'!$K30</f>
        <v>3.6438311026836122E-3</v>
      </c>
      <c r="K21" s="30">
        <f t="shared" si="0"/>
        <v>1</v>
      </c>
    </row>
    <row r="22" spans="1:12" x14ac:dyDescent="0.3">
      <c r="A22" s="1" t="str">
        <v>Service Connection Revenue</v>
      </c>
      <c r="B22" s="30">
        <f>'2.2'!B31/'2.2'!$K31</f>
        <v>0.85224839400428265</v>
      </c>
      <c r="C22" s="30">
        <f>'2.2'!C31/'2.2'!$K31</f>
        <v>6.852248394004283E-2</v>
      </c>
      <c r="D22" s="30">
        <f>'2.2'!D31/'2.2'!$K31</f>
        <v>0</v>
      </c>
      <c r="E22" s="30">
        <f>'2.2'!E31/'2.2'!$K31</f>
        <v>6.638115631691649E-2</v>
      </c>
      <c r="F22" s="30">
        <f>'2.2'!F31/'2.2'!$K31</f>
        <v>1.284796573875803E-2</v>
      </c>
      <c r="G22" s="30">
        <f>'2.2'!G31/'2.2'!$K31</f>
        <v>0</v>
      </c>
      <c r="H22" s="30">
        <f>'2.2'!H31/'2.2'!$K31</f>
        <v>0</v>
      </c>
      <c r="I22" s="30">
        <f>'2.2'!I31/'2.2'!$K31</f>
        <v>0</v>
      </c>
      <c r="J22" s="30">
        <f>'2.2'!J31/'2.2'!$K31</f>
        <v>0</v>
      </c>
      <c r="K22" s="30">
        <f t="shared" si="0"/>
        <v>0.99999999999999989</v>
      </c>
    </row>
    <row r="23" spans="1:12" x14ac:dyDescent="0.3">
      <c r="A23" s="1" t="str">
        <v>Penalty Revenue</v>
      </c>
      <c r="B23" s="30">
        <f>'2.2'!B32/'2.2'!$K32</f>
        <v>0.7752808988764045</v>
      </c>
      <c r="C23" s="30">
        <f>'2.2'!C32/'2.2'!$K32</f>
        <v>2.5682182985553772E-2</v>
      </c>
      <c r="D23" s="30">
        <f>'2.2'!D32/'2.2'!$K32</f>
        <v>1.6051364365971106E-2</v>
      </c>
      <c r="E23" s="30">
        <f>'2.2'!E32/'2.2'!$K32</f>
        <v>0.13001605136436598</v>
      </c>
      <c r="F23" s="30">
        <f>'2.2'!F32/'2.2'!$K32</f>
        <v>8.0256821829855531E-3</v>
      </c>
      <c r="G23" s="30">
        <f>'2.2'!G32/'2.2'!$K32</f>
        <v>4.3338683788121987E-2</v>
      </c>
      <c r="H23" s="30">
        <f>'2.2'!H32/'2.2'!$K32</f>
        <v>0</v>
      </c>
      <c r="I23" s="30">
        <f>'2.2'!I32/'2.2'!$K32</f>
        <v>1.6051364365971107E-3</v>
      </c>
      <c r="J23" s="30">
        <f>'2.2'!J32/'2.2'!$K32</f>
        <v>0</v>
      </c>
      <c r="K23" s="30">
        <f t="shared" si="0"/>
        <v>1.0000000000000002</v>
      </c>
    </row>
    <row r="24" spans="1:12" x14ac:dyDescent="0.3">
      <c r="A24" s="1" t="str">
        <v>Lighting Direct Assign</v>
      </c>
      <c r="B24" s="30">
        <f>'2.2'!B33/'2.2'!$K33</f>
        <v>0</v>
      </c>
      <c r="C24" s="30">
        <f>'2.2'!C33/'2.2'!$K33</f>
        <v>0</v>
      </c>
      <c r="D24" s="30">
        <f>'2.2'!D33/'2.2'!$K33</f>
        <v>0</v>
      </c>
      <c r="E24" s="30">
        <f>'2.2'!E33/'2.2'!$K33</f>
        <v>0</v>
      </c>
      <c r="F24" s="30">
        <f>'2.2'!F33/'2.2'!$K33</f>
        <v>0</v>
      </c>
      <c r="G24" s="30">
        <f>'2.2'!G33/'2.2'!$K33</f>
        <v>0</v>
      </c>
      <c r="H24" s="30">
        <f>'2.2'!H33/'2.2'!$K33</f>
        <v>0</v>
      </c>
      <c r="I24" s="30">
        <f>'2.2'!I33/'2.2'!$K33</f>
        <v>1</v>
      </c>
      <c r="J24" s="30">
        <f>'2.2'!J33/'2.2'!$K33</f>
        <v>0</v>
      </c>
      <c r="K24" s="30">
        <f t="shared" si="0"/>
        <v>1</v>
      </c>
    </row>
    <row r="25" spans="1:12" s="79" customFormat="1" x14ac:dyDescent="0.3">
      <c r="A25" s="79" t="str">
        <v>MECL Generation</v>
      </c>
      <c r="B25" s="86">
        <f>SUMPRODUCT(B$6:B$24,'2.4'!$B$33:$B$51)</f>
        <v>0.59473845582667773</v>
      </c>
      <c r="C25" s="86">
        <f>SUMPRODUCT(C$6:C$24,'2.4'!$B$33:$B$51)</f>
        <v>1.3941663168096642E-2</v>
      </c>
      <c r="D25" s="86">
        <f>SUMPRODUCT(D$6:D$24,'2.4'!$B$33:$B$51)</f>
        <v>2.5566335211998175E-2</v>
      </c>
      <c r="E25" s="86">
        <f>SUMPRODUCT(E$6:E$24,'2.4'!$B$33:$B$51)</f>
        <v>0.22189208756821599</v>
      </c>
      <c r="F25" s="86">
        <f>SUMPRODUCT(F$6:F$24,'2.4'!$B$33:$B$51)</f>
        <v>2.3305342362834442E-3</v>
      </c>
      <c r="G25" s="86">
        <f>SUMPRODUCT(G$6:G$24,'2.4'!$B$33:$B$51)</f>
        <v>6.4143762174055138E-2</v>
      </c>
      <c r="H25" s="86">
        <f>SUMPRODUCT(H$6:H$24,'2.4'!$B$33:$B$51)</f>
        <v>7.3235516600791195E-2</v>
      </c>
      <c r="I25" s="86">
        <f>SUMPRODUCT(I$6:I$24,'2.4'!$B$33:$B$51)</f>
        <v>2.8735626290228881E-3</v>
      </c>
      <c r="J25" s="86">
        <f>SUMPRODUCT(J$6:J$24,'2.4'!$B$33:$B$51)</f>
        <v>1.2780825848587108E-3</v>
      </c>
      <c r="K25" s="86">
        <f t="shared" si="0"/>
        <v>1</v>
      </c>
      <c r="L25" s="86"/>
    </row>
    <row r="26" spans="1:12" s="79" customFormat="1" x14ac:dyDescent="0.3">
      <c r="A26" s="79" t="str">
        <v>MECL Purchases</v>
      </c>
      <c r="B26" s="86">
        <f>SUMPRODUCT(B$6:B$24,'2.4'!$C$33:$C$51)</f>
        <v>0.52409705228114201</v>
      </c>
      <c r="C26" s="86">
        <f>SUMPRODUCT(C$6:C$24,'2.4'!$C$33:$C$51)</f>
        <v>1.6874137798126389E-2</v>
      </c>
      <c r="D26" s="86">
        <f>SUMPRODUCT(D$6:D$24,'2.4'!$C$33:$C$51)</f>
        <v>3.0898557238019226E-2</v>
      </c>
      <c r="E26" s="86">
        <f>SUMPRODUCT(E$6:E$24,'2.4'!$C$33:$C$51)</f>
        <v>0.26099983022612372</v>
      </c>
      <c r="F26" s="86">
        <f>SUMPRODUCT(F$6:F$24,'2.4'!$C$33:$C$51)</f>
        <v>5.6883271921324748E-3</v>
      </c>
      <c r="G26" s="86">
        <f>SUMPRODUCT(G$6:G$24,'2.4'!$C$33:$C$51)</f>
        <v>6.2750273365785897E-2</v>
      </c>
      <c r="H26" s="86">
        <f>SUMPRODUCT(H$6:H$24,'2.4'!$C$33:$C$51)</f>
        <v>9.4347824883857095E-2</v>
      </c>
      <c r="I26" s="86">
        <f>SUMPRODUCT(I$6:I$24,'2.4'!$C$33:$C$51)</f>
        <v>2.7163771961632738E-3</v>
      </c>
      <c r="J26" s="86">
        <f>SUMPRODUCT(J$6:J$24,'2.4'!$C$33:$C$51)</f>
        <v>1.627619818649798E-3</v>
      </c>
      <c r="K26" s="86">
        <f t="shared" si="0"/>
        <v>0.99999999999999989</v>
      </c>
      <c r="L26" s="86"/>
    </row>
    <row r="27" spans="1:12" x14ac:dyDescent="0.3">
      <c r="A27" s="1" t="str">
        <v>Primary System</v>
      </c>
      <c r="B27" s="30">
        <f>SUMPRODUCT(B$6:B$24,'2.4'!$D$33:$D$51)</f>
        <v>0.67906513129984303</v>
      </c>
      <c r="C27" s="30">
        <f>SUMPRODUCT(C$6:C$24,'2.4'!$D$33:$D$51)</f>
        <v>5.3243385656618923E-2</v>
      </c>
      <c r="D27" s="30">
        <f>SUMPRODUCT(D$6:D$24,'2.4'!$D$33:$D$51)</f>
        <v>1.9363913036601382E-2</v>
      </c>
      <c r="E27" s="30">
        <f>SUMPRODUCT(E$6:E$24,'2.4'!$D$33:$D$51)</f>
        <v>0.14778750937609503</v>
      </c>
      <c r="F27" s="30">
        <f>SUMPRODUCT(F$6:F$24,'2.4'!$D$33:$D$51)</f>
        <v>1.4381952010678876E-2</v>
      </c>
      <c r="G27" s="30">
        <f>SUMPRODUCT(G$6:G$24,'2.4'!$D$33:$D$51)</f>
        <v>4.0821856141608319E-2</v>
      </c>
      <c r="H27" s="30">
        <f>SUMPRODUCT(H$6:H$24,'2.4'!$D$33:$D$51)</f>
        <v>1.345914192607886E-2</v>
      </c>
      <c r="I27" s="30">
        <f>SUMPRODUCT(I$6:I$24,'2.4'!$D$33:$D$51)</f>
        <v>2.9719993459297329E-2</v>
      </c>
      <c r="J27" s="30">
        <f>SUMPRODUCT(J$6:J$24,'2.4'!$D$33:$D$51)</f>
        <v>2.157117093178151E-3</v>
      </c>
      <c r="K27" s="30">
        <f t="shared" si="0"/>
        <v>0.99999999999999967</v>
      </c>
    </row>
    <row r="28" spans="1:12" x14ac:dyDescent="0.3">
      <c r="A28" s="1" t="str">
        <v>Distribution Transformers</v>
      </c>
      <c r="B28" s="30">
        <f>SUMPRODUCT(B$6:B$24,'2.4'!$E$33:$E$51)</f>
        <v>0.66708720601798299</v>
      </c>
      <c r="C28" s="30">
        <f>SUMPRODUCT(C$6:C$24,'2.4'!$E$33:$E$51)</f>
        <v>4.6688313980911486E-2</v>
      </c>
      <c r="D28" s="30">
        <f>SUMPRODUCT(D$6:D$24,'2.4'!$E$33:$E$51)</f>
        <v>2.2087285273456877E-2</v>
      </c>
      <c r="E28" s="30">
        <f>SUMPRODUCT(E$6:E$24,'2.4'!$E$33:$E$51)</f>
        <v>0.15976555431015252</v>
      </c>
      <c r="F28" s="30">
        <f>SUMPRODUCT(F$6:F$24,'2.4'!$E$33:$E$51)</f>
        <v>1.3605982041312876E-2</v>
      </c>
      <c r="G28" s="30">
        <f>SUMPRODUCT(G$6:G$24,'2.4'!$E$33:$E$51)</f>
        <v>4.835266396727296E-2</v>
      </c>
      <c r="H28" s="30">
        <f>SUMPRODUCT(H$6:H$24,'2.4'!$E$33:$E$51)</f>
        <v>1.6131202406543331E-2</v>
      </c>
      <c r="I28" s="30">
        <f>SUMPRODUCT(I$6:I$24,'2.4'!$E$33:$E$51)</f>
        <v>2.435289732009286E-2</v>
      </c>
      <c r="J28" s="30">
        <f>SUMPRODUCT(J$6:J$24,'2.4'!$E$33:$E$51)</f>
        <v>1.928894682274133E-3</v>
      </c>
      <c r="K28" s="30">
        <f t="shared" si="0"/>
        <v>0.99999999999999989</v>
      </c>
    </row>
    <row r="29" spans="1:12" x14ac:dyDescent="0.3">
      <c r="A29" s="1" t="str">
        <v>Secondary System</v>
      </c>
      <c r="B29" s="30">
        <f>SUMPRODUCT(B$6:B$24,'2.4'!$F$33:$F$51)</f>
        <v>0.6790693216779834</v>
      </c>
      <c r="C29" s="30">
        <f>SUMPRODUCT(C$6:C$24,'2.4'!$F$33:$F$51)</f>
        <v>5.3244232437274761E-2</v>
      </c>
      <c r="D29" s="30">
        <f>SUMPRODUCT(D$6:D$24,'2.4'!$F$33:$F$51)</f>
        <v>1.9364115035617798E-2</v>
      </c>
      <c r="E29" s="30">
        <f>SUMPRODUCT(E$6:E$24,'2.4'!$F$33:$F$51)</f>
        <v>0.1477884370927014</v>
      </c>
      <c r="F29" s="30">
        <f>SUMPRODUCT(F$6:F$24,'2.4'!$F$33:$F$51)</f>
        <v>1.438108085513197E-2</v>
      </c>
      <c r="G29" s="30">
        <f>SUMPRODUCT(G$6:G$24,'2.4'!$F$33:$F$51)</f>
        <v>4.0822015329345901E-2</v>
      </c>
      <c r="H29" s="30">
        <f>SUMPRODUCT(H$6:H$24,'2.4'!$F$33:$F$51)</f>
        <v>1.3453787170855269E-2</v>
      </c>
      <c r="I29" s="30">
        <f>SUMPRODUCT(I$6:I$24,'2.4'!$F$33:$F$51)</f>
        <v>2.972108556156031E-2</v>
      </c>
      <c r="J29" s="30">
        <f>SUMPRODUCT(J$6:J$24,'2.4'!$F$33:$F$51)</f>
        <v>2.1559248395292274E-3</v>
      </c>
      <c r="K29" s="30">
        <f t="shared" si="0"/>
        <v>1</v>
      </c>
    </row>
    <row r="31" spans="1:12" x14ac:dyDescent="0.3">
      <c r="A31" s="1" t="s">
        <v>529</v>
      </c>
    </row>
    <row r="32" spans="1:12" ht="40.5" x14ac:dyDescent="0.3">
      <c r="B32" s="17" t="str">
        <f t="array" ref="B32:J32">TRANSPOSE(List_Classes)</f>
        <v>Residential</v>
      </c>
      <c r="C32" s="17" t="str">
        <v>Residential (S)</v>
      </c>
      <c r="D32" s="17" t="str">
        <v>Farm</v>
      </c>
      <c r="E32" s="17" t="str">
        <v>General Service 1</v>
      </c>
      <c r="F32" s="17" t="str">
        <v>General Service 1 (S)</v>
      </c>
      <c r="G32" s="17" t="str">
        <v>Small Industrial</v>
      </c>
      <c r="H32" s="17" t="str">
        <v>Large Industrial</v>
      </c>
      <c r="I32" s="17" t="str">
        <v>Lights</v>
      </c>
      <c r="J32" s="17" t="str">
        <v>Unmetered</v>
      </c>
      <c r="K32" s="33" t="s">
        <v>214</v>
      </c>
      <c r="L32" s="33" t="s">
        <v>501</v>
      </c>
    </row>
    <row r="33" spans="1:12" x14ac:dyDescent="0.3">
      <c r="A33" s="1" t="str">
        <f t="array" ref="A33:A56">List_Allocators</f>
        <v>1CP - Input</v>
      </c>
      <c r="B33" s="30">
        <f t="shared" ref="B33:J33" si="1">B6*$L33</f>
        <v>0.64518792734536057</v>
      </c>
      <c r="C33" s="30">
        <f t="shared" si="1"/>
        <v>1.2034714879917871E-2</v>
      </c>
      <c r="D33" s="30">
        <f t="shared" si="1"/>
        <v>2.209990989307125E-2</v>
      </c>
      <c r="E33" s="30">
        <f t="shared" si="1"/>
        <v>0.19643310467189082</v>
      </c>
      <c r="F33" s="30">
        <f t="shared" si="1"/>
        <v>8.0900957699957872E-5</v>
      </c>
      <c r="G33" s="30">
        <f t="shared" si="1"/>
        <v>6.539308101533492E-2</v>
      </c>
      <c r="H33" s="30">
        <f t="shared" si="1"/>
        <v>5.4728103039923225E-2</v>
      </c>
      <c r="I33" s="30">
        <f t="shared" si="1"/>
        <v>2.9933354348984412E-3</v>
      </c>
      <c r="J33" s="30">
        <f t="shared" si="1"/>
        <v>1.0489227619029022E-3</v>
      </c>
      <c r="K33" s="30">
        <f t="shared" ref="K33:K51" si="2">SUM(B33:J33)</f>
        <v>1</v>
      </c>
      <c r="L33" s="30">
        <f>'2.4'!B6</f>
        <v>1</v>
      </c>
    </row>
    <row r="34" spans="1:12" x14ac:dyDescent="0.3">
      <c r="A34" s="1" t="str">
        <v>1CP - Input Firm</v>
      </c>
      <c r="B34" s="30">
        <f t="shared" ref="B34:J34" si="3">B7*$L34</f>
        <v>0.67471665086426957</v>
      </c>
      <c r="C34" s="30">
        <f t="shared" si="3"/>
        <v>1.2585515279702428E-2</v>
      </c>
      <c r="D34" s="30">
        <f t="shared" si="3"/>
        <v>2.3111370432499452E-2</v>
      </c>
      <c r="E34" s="30">
        <f t="shared" si="3"/>
        <v>0.20351542557070965</v>
      </c>
      <c r="F34" s="30">
        <f t="shared" si="3"/>
        <v>8.4603602946539271E-5</v>
      </c>
      <c r="G34" s="30">
        <f t="shared" si="3"/>
        <v>6.8385967471373349E-2</v>
      </c>
      <c r="H34" s="30">
        <f t="shared" si="3"/>
        <v>1.3373203996790898E-2</v>
      </c>
      <c r="I34" s="30">
        <f t="shared" si="3"/>
        <v>3.1303333090219533E-3</v>
      </c>
      <c r="J34" s="30">
        <f t="shared" si="3"/>
        <v>1.0969294726861645E-3</v>
      </c>
      <c r="K34" s="30">
        <f t="shared" si="2"/>
        <v>0.99999999999999989</v>
      </c>
      <c r="L34" s="30">
        <f>'2.4'!B7</f>
        <v>1</v>
      </c>
    </row>
    <row r="35" spans="1:12" x14ac:dyDescent="0.3">
      <c r="A35" s="1" t="str">
        <v>1CP - Transmission</v>
      </c>
      <c r="B35" s="30">
        <f t="shared" ref="B35:J35" si="4">B8*$L35</f>
        <v>0.64518431116102526</v>
      </c>
      <c r="C35" s="30">
        <f t="shared" si="4"/>
        <v>1.2035312682143213E-2</v>
      </c>
      <c r="D35" s="30">
        <f t="shared" si="4"/>
        <v>2.2100280056295579E-2</v>
      </c>
      <c r="E35" s="30">
        <f t="shared" si="4"/>
        <v>0.19643177004108439</v>
      </c>
      <c r="F35" s="30">
        <f t="shared" si="4"/>
        <v>8.2453122556615442E-5</v>
      </c>
      <c r="G35" s="30">
        <f t="shared" si="4"/>
        <v>6.5393855820763971E-2</v>
      </c>
      <c r="H35" s="30">
        <f t="shared" si="4"/>
        <v>5.4728970899734157E-2</v>
      </c>
      <c r="I35" s="30">
        <f t="shared" si="4"/>
        <v>2.9939013121419332E-3</v>
      </c>
      <c r="J35" s="30">
        <f t="shared" si="4"/>
        <v>1.0491449042548655E-3</v>
      </c>
      <c r="K35" s="30">
        <f t="shared" si="2"/>
        <v>1</v>
      </c>
      <c r="L35" s="30">
        <f>'2.4'!B8</f>
        <v>1</v>
      </c>
    </row>
    <row r="36" spans="1:12" x14ac:dyDescent="0.3">
      <c r="A36" s="1" t="str">
        <v>1CP - Distribution Primary</v>
      </c>
      <c r="B36" s="30">
        <f t="shared" ref="B36:J36" si="5">B9*$L36</f>
        <v>0.67283698037122697</v>
      </c>
      <c r="C36" s="30">
        <f t="shared" si="5"/>
        <v>1.2551147482654332E-2</v>
      </c>
      <c r="D36" s="30">
        <f t="shared" si="5"/>
        <v>2.304750044476072E-2</v>
      </c>
      <c r="E36" s="30">
        <f t="shared" si="5"/>
        <v>0.20485085690565141</v>
      </c>
      <c r="F36" s="30">
        <f t="shared" si="5"/>
        <v>8.5987072288442148E-5</v>
      </c>
      <c r="G36" s="30">
        <f t="shared" si="5"/>
        <v>6.8196643539109286E-2</v>
      </c>
      <c r="H36" s="30">
        <f t="shared" si="5"/>
        <v>1.4214552570716955E-2</v>
      </c>
      <c r="I36" s="30">
        <f t="shared" si="5"/>
        <v>3.1222202455079167E-3</v>
      </c>
      <c r="J36" s="30">
        <f t="shared" si="5"/>
        <v>1.0941113680839709E-3</v>
      </c>
      <c r="K36" s="30">
        <f t="shared" si="2"/>
        <v>0.99999999999999989</v>
      </c>
      <c r="L36" s="30">
        <f>'2.4'!B9</f>
        <v>1</v>
      </c>
    </row>
    <row r="37" spans="1:12" x14ac:dyDescent="0.3">
      <c r="A37" s="1" t="str">
        <v>NCP - Distribution Primary</v>
      </c>
      <c r="B37" s="30">
        <f t="shared" ref="B37:J37" si="6">B10*$L37</f>
        <v>0.61915857887743209</v>
      </c>
      <c r="C37" s="30">
        <f t="shared" si="6"/>
        <v>2.0463903039298879E-2</v>
      </c>
      <c r="D37" s="30">
        <f t="shared" si="6"/>
        <v>3.2979626138134072E-2</v>
      </c>
      <c r="E37" s="30">
        <f t="shared" si="6"/>
        <v>0.20767314508361551</v>
      </c>
      <c r="F37" s="30">
        <f t="shared" si="6"/>
        <v>1.0507532080578665E-2</v>
      </c>
      <c r="G37" s="30">
        <f t="shared" si="6"/>
        <v>7.847497537510334E-2</v>
      </c>
      <c r="H37" s="30">
        <f t="shared" si="6"/>
        <v>2.6840455226344411E-2</v>
      </c>
      <c r="I37" s="30">
        <f t="shared" si="6"/>
        <v>2.8785890275280423E-3</v>
      </c>
      <c r="J37" s="30">
        <f t="shared" si="6"/>
        <v>1.0231951519649441E-3</v>
      </c>
      <c r="K37" s="30">
        <f t="shared" si="2"/>
        <v>0.99999999999999989</v>
      </c>
      <c r="L37" s="30">
        <f>'2.4'!B10</f>
        <v>1</v>
      </c>
    </row>
    <row r="38" spans="1:12" x14ac:dyDescent="0.3">
      <c r="A38" s="1" t="str">
        <v>NCP - Distribution Secondary</v>
      </c>
      <c r="B38" s="30">
        <f t="shared" ref="B38:J38" si="7">B11*$L38</f>
        <v>0.61915874337798138</v>
      </c>
      <c r="C38" s="30">
        <f t="shared" si="7"/>
        <v>2.0464640155458395E-2</v>
      </c>
      <c r="D38" s="30">
        <f t="shared" si="7"/>
        <v>3.2979966224813195E-2</v>
      </c>
      <c r="E38" s="30">
        <f t="shared" si="7"/>
        <v>0.20767402317995698</v>
      </c>
      <c r="F38" s="30">
        <f t="shared" si="7"/>
        <v>1.0505586786036506E-2</v>
      </c>
      <c r="G38" s="30">
        <f t="shared" si="7"/>
        <v>7.8475258518981197E-2</v>
      </c>
      <c r="H38" s="30">
        <f t="shared" si="7"/>
        <v>2.6840863349295578E-2</v>
      </c>
      <c r="I38" s="30">
        <f t="shared" si="7"/>
        <v>2.8801443542230552E-3</v>
      </c>
      <c r="J38" s="30">
        <f t="shared" si="7"/>
        <v>1.0207740532537535E-3</v>
      </c>
      <c r="K38" s="30">
        <f t="shared" si="2"/>
        <v>0.99999999999999989</v>
      </c>
      <c r="L38" s="30">
        <f>'2.4'!B11</f>
        <v>1</v>
      </c>
    </row>
    <row r="39" spans="1:12" x14ac:dyDescent="0.3">
      <c r="A39" s="1" t="str">
        <v>Energy - Input</v>
      </c>
      <c r="B39" s="30">
        <f t="shared" ref="B39:J39" si="8">B12*$L39</f>
        <v>0</v>
      </c>
      <c r="C39" s="30">
        <f t="shared" si="8"/>
        <v>0</v>
      </c>
      <c r="D39" s="30">
        <f t="shared" si="8"/>
        <v>0</v>
      </c>
      <c r="E39" s="30">
        <f t="shared" si="8"/>
        <v>0</v>
      </c>
      <c r="F39" s="30">
        <f t="shared" si="8"/>
        <v>0</v>
      </c>
      <c r="G39" s="30">
        <f t="shared" si="8"/>
        <v>0</v>
      </c>
      <c r="H39" s="30">
        <f t="shared" si="8"/>
        <v>0</v>
      </c>
      <c r="I39" s="30">
        <f t="shared" si="8"/>
        <v>0</v>
      </c>
      <c r="J39" s="30">
        <f t="shared" si="8"/>
        <v>0</v>
      </c>
      <c r="K39" s="30">
        <f t="shared" si="2"/>
        <v>0</v>
      </c>
      <c r="L39" s="30">
        <f>'2.4'!B12</f>
        <v>0</v>
      </c>
    </row>
    <row r="40" spans="1:12" x14ac:dyDescent="0.3">
      <c r="A40" s="1" t="str">
        <v>Sites</v>
      </c>
      <c r="B40" s="30">
        <f t="shared" ref="B40:J40" si="9">B13*$L40</f>
        <v>0</v>
      </c>
      <c r="C40" s="30">
        <f t="shared" si="9"/>
        <v>0</v>
      </c>
      <c r="D40" s="30">
        <f t="shared" si="9"/>
        <v>0</v>
      </c>
      <c r="E40" s="30">
        <f t="shared" si="9"/>
        <v>0</v>
      </c>
      <c r="F40" s="30">
        <f t="shared" si="9"/>
        <v>0</v>
      </c>
      <c r="G40" s="30">
        <f t="shared" si="9"/>
        <v>0</v>
      </c>
      <c r="H40" s="30">
        <f t="shared" si="9"/>
        <v>0</v>
      </c>
      <c r="I40" s="30">
        <f t="shared" si="9"/>
        <v>0</v>
      </c>
      <c r="J40" s="30">
        <f t="shared" si="9"/>
        <v>0</v>
      </c>
      <c r="K40" s="30">
        <f t="shared" si="2"/>
        <v>0</v>
      </c>
      <c r="L40" s="30">
        <f>'2.4'!B13</f>
        <v>0</v>
      </c>
    </row>
    <row r="41" spans="1:12" x14ac:dyDescent="0.3">
      <c r="A41" s="1" t="str">
        <v>Sites - Distribution Primary</v>
      </c>
      <c r="B41" s="30">
        <f t="shared" ref="B41:J41" si="10">B14*$L41</f>
        <v>0</v>
      </c>
      <c r="C41" s="30">
        <f t="shared" si="10"/>
        <v>0</v>
      </c>
      <c r="D41" s="30">
        <f t="shared" si="10"/>
        <v>0</v>
      </c>
      <c r="E41" s="30">
        <f t="shared" si="10"/>
        <v>0</v>
      </c>
      <c r="F41" s="30">
        <f t="shared" si="10"/>
        <v>0</v>
      </c>
      <c r="G41" s="30">
        <f t="shared" si="10"/>
        <v>0</v>
      </c>
      <c r="H41" s="30">
        <f t="shared" si="10"/>
        <v>0</v>
      </c>
      <c r="I41" s="30">
        <f t="shared" si="10"/>
        <v>0</v>
      </c>
      <c r="J41" s="30">
        <f t="shared" si="10"/>
        <v>0</v>
      </c>
      <c r="K41" s="30">
        <f t="shared" si="2"/>
        <v>0</v>
      </c>
      <c r="L41" s="30">
        <f>'2.4'!B14</f>
        <v>0</v>
      </c>
    </row>
    <row r="42" spans="1:12" x14ac:dyDescent="0.3">
      <c r="A42" s="1" t="str">
        <v>Sites - Distribution Secondary</v>
      </c>
      <c r="B42" s="30">
        <f t="shared" ref="B42:J42" si="11">B15*$L42</f>
        <v>0</v>
      </c>
      <c r="C42" s="30">
        <f t="shared" si="11"/>
        <v>0</v>
      </c>
      <c r="D42" s="30">
        <f t="shared" si="11"/>
        <v>0</v>
      </c>
      <c r="E42" s="30">
        <f t="shared" si="11"/>
        <v>0</v>
      </c>
      <c r="F42" s="30">
        <f t="shared" si="11"/>
        <v>0</v>
      </c>
      <c r="G42" s="30">
        <f t="shared" si="11"/>
        <v>0</v>
      </c>
      <c r="H42" s="30">
        <f t="shared" si="11"/>
        <v>0</v>
      </c>
      <c r="I42" s="30">
        <f t="shared" si="11"/>
        <v>0</v>
      </c>
      <c r="J42" s="30">
        <f t="shared" si="11"/>
        <v>0</v>
      </c>
      <c r="K42" s="30">
        <f t="shared" si="2"/>
        <v>0</v>
      </c>
      <c r="L42" s="30">
        <f>'2.4'!B15</f>
        <v>0</v>
      </c>
    </row>
    <row r="43" spans="1:12" x14ac:dyDescent="0.3">
      <c r="A43" s="1" t="str">
        <v>Sites - Mass Market</v>
      </c>
      <c r="B43" s="30">
        <f t="shared" ref="B43:J43" si="12">B16*$L43</f>
        <v>0</v>
      </c>
      <c r="C43" s="30">
        <f t="shared" si="12"/>
        <v>0</v>
      </c>
      <c r="D43" s="30">
        <f t="shared" si="12"/>
        <v>0</v>
      </c>
      <c r="E43" s="30">
        <f t="shared" si="12"/>
        <v>0</v>
      </c>
      <c r="F43" s="30">
        <f t="shared" si="12"/>
        <v>0</v>
      </c>
      <c r="G43" s="30">
        <f t="shared" si="12"/>
        <v>0</v>
      </c>
      <c r="H43" s="30">
        <f t="shared" si="12"/>
        <v>0</v>
      </c>
      <c r="I43" s="30">
        <f t="shared" si="12"/>
        <v>0</v>
      </c>
      <c r="J43" s="30">
        <f t="shared" si="12"/>
        <v>0</v>
      </c>
      <c r="K43" s="30">
        <f t="shared" si="2"/>
        <v>0</v>
      </c>
      <c r="L43" s="30">
        <f>'2.4'!B16</f>
        <v>0</v>
      </c>
    </row>
    <row r="44" spans="1:12" x14ac:dyDescent="0.3">
      <c r="A44" s="1" t="str">
        <v>Service Lines</v>
      </c>
      <c r="B44" s="30">
        <f t="shared" ref="B44:J44" si="13">B17*$L44</f>
        <v>0</v>
      </c>
      <c r="C44" s="30">
        <f t="shared" si="13"/>
        <v>0</v>
      </c>
      <c r="D44" s="30">
        <f t="shared" si="13"/>
        <v>0</v>
      </c>
      <c r="E44" s="30">
        <f t="shared" si="13"/>
        <v>0</v>
      </c>
      <c r="F44" s="30">
        <f t="shared" si="13"/>
        <v>0</v>
      </c>
      <c r="G44" s="30">
        <f t="shared" si="13"/>
        <v>0</v>
      </c>
      <c r="H44" s="30">
        <f t="shared" si="13"/>
        <v>0</v>
      </c>
      <c r="I44" s="30">
        <f t="shared" si="13"/>
        <v>0</v>
      </c>
      <c r="J44" s="30">
        <f t="shared" si="13"/>
        <v>0</v>
      </c>
      <c r="K44" s="30">
        <f t="shared" si="2"/>
        <v>0</v>
      </c>
      <c r="L44" s="30">
        <f>'2.4'!B17</f>
        <v>0</v>
      </c>
    </row>
    <row r="45" spans="1:12" x14ac:dyDescent="0.3">
      <c r="A45" s="1" t="str">
        <v>Meter Assets</v>
      </c>
      <c r="B45" s="30">
        <f t="shared" ref="B45:J45" si="14">B18*$L45</f>
        <v>0</v>
      </c>
      <c r="C45" s="30">
        <f t="shared" si="14"/>
        <v>0</v>
      </c>
      <c r="D45" s="30">
        <f t="shared" si="14"/>
        <v>0</v>
      </c>
      <c r="E45" s="30">
        <f t="shared" si="14"/>
        <v>0</v>
      </c>
      <c r="F45" s="30">
        <f t="shared" si="14"/>
        <v>0</v>
      </c>
      <c r="G45" s="30">
        <f t="shared" si="14"/>
        <v>0</v>
      </c>
      <c r="H45" s="30">
        <f t="shared" si="14"/>
        <v>0</v>
      </c>
      <c r="I45" s="30">
        <f t="shared" si="14"/>
        <v>0</v>
      </c>
      <c r="J45" s="30">
        <f t="shared" si="14"/>
        <v>0</v>
      </c>
      <c r="K45" s="30">
        <f t="shared" si="2"/>
        <v>0</v>
      </c>
      <c r="L45" s="30">
        <f>'2.4'!B18</f>
        <v>0</v>
      </c>
    </row>
    <row r="46" spans="1:12" x14ac:dyDescent="0.3">
      <c r="A46" s="1" t="str">
        <v>Meter Reading</v>
      </c>
      <c r="B46" s="30">
        <f t="shared" ref="B46:J46" si="15">B19*$L46</f>
        <v>0</v>
      </c>
      <c r="C46" s="30">
        <f t="shared" si="15"/>
        <v>0</v>
      </c>
      <c r="D46" s="30">
        <f t="shared" si="15"/>
        <v>0</v>
      </c>
      <c r="E46" s="30">
        <f t="shared" si="15"/>
        <v>0</v>
      </c>
      <c r="F46" s="30">
        <f t="shared" si="15"/>
        <v>0</v>
      </c>
      <c r="G46" s="30">
        <f t="shared" si="15"/>
        <v>0</v>
      </c>
      <c r="H46" s="30">
        <f t="shared" si="15"/>
        <v>0</v>
      </c>
      <c r="I46" s="30">
        <f t="shared" si="15"/>
        <v>0</v>
      </c>
      <c r="J46" s="30">
        <f t="shared" si="15"/>
        <v>0</v>
      </c>
      <c r="K46" s="30">
        <f t="shared" si="2"/>
        <v>0</v>
      </c>
      <c r="L46" s="30">
        <f>'2.4'!B19</f>
        <v>0</v>
      </c>
    </row>
    <row r="47" spans="1:12" x14ac:dyDescent="0.3">
      <c r="A47" s="1" t="str">
        <v>Billing</v>
      </c>
      <c r="B47" s="30">
        <f t="shared" ref="B47:J47" si="16">B20*$L47</f>
        <v>0</v>
      </c>
      <c r="C47" s="30">
        <f t="shared" si="16"/>
        <v>0</v>
      </c>
      <c r="D47" s="30">
        <f t="shared" si="16"/>
        <v>0</v>
      </c>
      <c r="E47" s="30">
        <f t="shared" si="16"/>
        <v>0</v>
      </c>
      <c r="F47" s="30">
        <f t="shared" si="16"/>
        <v>0</v>
      </c>
      <c r="G47" s="30">
        <f t="shared" si="16"/>
        <v>0</v>
      </c>
      <c r="H47" s="30">
        <f t="shared" si="16"/>
        <v>0</v>
      </c>
      <c r="I47" s="30">
        <f t="shared" si="16"/>
        <v>0</v>
      </c>
      <c r="J47" s="30">
        <f t="shared" si="16"/>
        <v>0</v>
      </c>
      <c r="K47" s="30">
        <f t="shared" si="2"/>
        <v>0</v>
      </c>
      <c r="L47" s="30">
        <f>'2.4'!B20</f>
        <v>0</v>
      </c>
    </row>
    <row r="48" spans="1:12" x14ac:dyDescent="0.3">
      <c r="A48" s="1" t="str">
        <v>Remittance &amp; Collection</v>
      </c>
      <c r="B48" s="30">
        <f t="shared" ref="B48:J48" si="17">B21*$L48</f>
        <v>0</v>
      </c>
      <c r="C48" s="30">
        <f t="shared" si="17"/>
        <v>0</v>
      </c>
      <c r="D48" s="30">
        <f t="shared" si="17"/>
        <v>0</v>
      </c>
      <c r="E48" s="30">
        <f t="shared" si="17"/>
        <v>0</v>
      </c>
      <c r="F48" s="30">
        <f t="shared" si="17"/>
        <v>0</v>
      </c>
      <c r="G48" s="30">
        <f t="shared" si="17"/>
        <v>0</v>
      </c>
      <c r="H48" s="30">
        <f t="shared" si="17"/>
        <v>0</v>
      </c>
      <c r="I48" s="30">
        <f t="shared" si="17"/>
        <v>0</v>
      </c>
      <c r="J48" s="30">
        <f t="shared" si="17"/>
        <v>0</v>
      </c>
      <c r="K48" s="30">
        <f t="shared" si="2"/>
        <v>0</v>
      </c>
      <c r="L48" s="30">
        <f>'2.4'!B21</f>
        <v>0</v>
      </c>
    </row>
    <row r="49" spans="1:12" x14ac:dyDescent="0.3">
      <c r="A49" s="1" t="str">
        <v>Service Connection Revenue</v>
      </c>
      <c r="B49" s="30">
        <f t="shared" ref="B49:J49" si="18">B22*$L49</f>
        <v>0</v>
      </c>
      <c r="C49" s="30">
        <f t="shared" si="18"/>
        <v>0</v>
      </c>
      <c r="D49" s="30">
        <f t="shared" si="18"/>
        <v>0</v>
      </c>
      <c r="E49" s="30">
        <f t="shared" si="18"/>
        <v>0</v>
      </c>
      <c r="F49" s="30">
        <f t="shared" si="18"/>
        <v>0</v>
      </c>
      <c r="G49" s="30">
        <f t="shared" si="18"/>
        <v>0</v>
      </c>
      <c r="H49" s="30">
        <f t="shared" si="18"/>
        <v>0</v>
      </c>
      <c r="I49" s="30">
        <f t="shared" si="18"/>
        <v>0</v>
      </c>
      <c r="J49" s="30">
        <f t="shared" si="18"/>
        <v>0</v>
      </c>
      <c r="K49" s="30">
        <f t="shared" si="2"/>
        <v>0</v>
      </c>
      <c r="L49" s="30">
        <f>'2.4'!B22</f>
        <v>0</v>
      </c>
    </row>
    <row r="50" spans="1:12" x14ac:dyDescent="0.3">
      <c r="A50" s="1" t="str">
        <v>Penalty Revenue</v>
      </c>
      <c r="B50" s="30">
        <f t="shared" ref="B50:J50" si="19">B23*$L50</f>
        <v>0</v>
      </c>
      <c r="C50" s="30">
        <f t="shared" si="19"/>
        <v>0</v>
      </c>
      <c r="D50" s="30">
        <f t="shared" si="19"/>
        <v>0</v>
      </c>
      <c r="E50" s="30">
        <f t="shared" si="19"/>
        <v>0</v>
      </c>
      <c r="F50" s="30">
        <f t="shared" si="19"/>
        <v>0</v>
      </c>
      <c r="G50" s="30">
        <f t="shared" si="19"/>
        <v>0</v>
      </c>
      <c r="H50" s="30">
        <f t="shared" si="19"/>
        <v>0</v>
      </c>
      <c r="I50" s="30">
        <f t="shared" si="19"/>
        <v>0</v>
      </c>
      <c r="J50" s="30">
        <f t="shared" si="19"/>
        <v>0</v>
      </c>
      <c r="K50" s="30">
        <f t="shared" si="2"/>
        <v>0</v>
      </c>
      <c r="L50" s="30">
        <f>'2.4'!B23</f>
        <v>0</v>
      </c>
    </row>
    <row r="51" spans="1:12" x14ac:dyDescent="0.3">
      <c r="A51" s="1" t="str">
        <v>Lighting Direct Assign</v>
      </c>
      <c r="B51" s="30">
        <f t="shared" ref="B51:J51" si="20">B24*$L51</f>
        <v>0</v>
      </c>
      <c r="C51" s="30">
        <f t="shared" si="20"/>
        <v>0</v>
      </c>
      <c r="D51" s="30">
        <f t="shared" si="20"/>
        <v>0</v>
      </c>
      <c r="E51" s="30">
        <f t="shared" si="20"/>
        <v>0</v>
      </c>
      <c r="F51" s="30">
        <f t="shared" si="20"/>
        <v>0</v>
      </c>
      <c r="G51" s="30">
        <f t="shared" si="20"/>
        <v>0</v>
      </c>
      <c r="H51" s="30">
        <f t="shared" si="20"/>
        <v>0</v>
      </c>
      <c r="I51" s="30">
        <f t="shared" si="20"/>
        <v>0</v>
      </c>
      <c r="J51" s="30">
        <f t="shared" si="20"/>
        <v>0</v>
      </c>
      <c r="K51" s="30">
        <f t="shared" si="2"/>
        <v>0</v>
      </c>
      <c r="L51" s="30">
        <f>'2.4'!B24</f>
        <v>0</v>
      </c>
    </row>
    <row r="52" spans="1:12" x14ac:dyDescent="0.3">
      <c r="A52" s="1" t="str">
        <v>MECL Generation</v>
      </c>
      <c r="B52" s="30">
        <f>IFERROR(SUMPRODUCT(B$33:B$51,'2.4'!$B$33:$B$51)/$L52,0)</f>
        <v>0.64518792734536057</v>
      </c>
      <c r="C52" s="30">
        <f>IFERROR(SUMPRODUCT(C$33:C$51,'2.4'!$B$33:$B$51)/$L52,0)</f>
        <v>1.2034714879917871E-2</v>
      </c>
      <c r="D52" s="30">
        <f>IFERROR(SUMPRODUCT(D$33:D$51,'2.4'!$B$33:$B$51)/$L52,0)</f>
        <v>2.209990989307125E-2</v>
      </c>
      <c r="E52" s="30">
        <f>IFERROR(SUMPRODUCT(E$33:E$51,'2.4'!$B$33:$B$51)/$L52,0)</f>
        <v>0.19643310467189079</v>
      </c>
      <c r="F52" s="30">
        <f>IFERROR(SUMPRODUCT(F$33:F$51,'2.4'!$B$33:$B$51)/$L52,0)</f>
        <v>8.0900957699957872E-5</v>
      </c>
      <c r="G52" s="30">
        <f>IFERROR(SUMPRODUCT(G$33:G$51,'2.4'!$B$33:$B$51)/$L52,0)</f>
        <v>6.539308101533492E-2</v>
      </c>
      <c r="H52" s="30">
        <f>IFERROR(SUMPRODUCT(H$33:H$51,'2.4'!$B$33:$B$51)/$L52,0)</f>
        <v>5.4728103039923218E-2</v>
      </c>
      <c r="I52" s="30">
        <f>IFERROR(SUMPRODUCT(I$33:I$51,'2.4'!$B$33:$B$51)/$L52,0)</f>
        <v>2.9933354348984412E-3</v>
      </c>
      <c r="J52" s="30">
        <f>IFERROR(SUMPRODUCT(J$33:J$51,'2.4'!$B$33:$B$51)/$L52,0)</f>
        <v>1.0489227619029022E-3</v>
      </c>
      <c r="K52" s="30">
        <f>IFERROR(SUMPRODUCT(K$33:K$51,'2.4'!$B$33:$B$51)/$L52,0)</f>
        <v>1</v>
      </c>
      <c r="L52" s="30">
        <f>'2.4'!B25</f>
        <v>0.66190160547288346</v>
      </c>
    </row>
    <row r="53" spans="1:12" x14ac:dyDescent="0.3">
      <c r="A53" s="1" t="str">
        <v>MECL Purchases</v>
      </c>
      <c r="B53" s="30">
        <f>IFERROR(SUMPRODUCT(B$33:B$51,'2.4'!$C$33:$C$51)/$L53,0)</f>
        <v>0.67471665086426957</v>
      </c>
      <c r="C53" s="30">
        <f>IFERROR(SUMPRODUCT(C$33:C$51,'2.4'!$C$33:$C$51)/$L53,0)</f>
        <v>1.258551527970243E-2</v>
      </c>
      <c r="D53" s="30">
        <f>IFERROR(SUMPRODUCT(D$33:D$51,'2.4'!$C$33:$C$51)/$L53,0)</f>
        <v>2.3111370432499452E-2</v>
      </c>
      <c r="E53" s="30">
        <f>IFERROR(SUMPRODUCT(E$33:E$51,'2.4'!$C$33:$C$51)/$L53,0)</f>
        <v>0.20351542557070965</v>
      </c>
      <c r="F53" s="30">
        <f>IFERROR(SUMPRODUCT(F$33:F$51,'2.4'!$C$33:$C$51)/$L53,0)</f>
        <v>8.4603602946539271E-5</v>
      </c>
      <c r="G53" s="30">
        <f>IFERROR(SUMPRODUCT(G$33:G$51,'2.4'!$C$33:$C$51)/$L53,0)</f>
        <v>6.8385967471373349E-2</v>
      </c>
      <c r="H53" s="30">
        <f>IFERROR(SUMPRODUCT(H$33:H$51,'2.4'!$C$33:$C$51)/$L53,0)</f>
        <v>1.33732039967909E-2</v>
      </c>
      <c r="I53" s="30">
        <f>IFERROR(SUMPRODUCT(I$33:I$51,'2.4'!$C$33:$C$51)/$L53,0)</f>
        <v>3.1303333090219538E-3</v>
      </c>
      <c r="J53" s="30">
        <f>IFERROR(SUMPRODUCT(J$33:J$51,'2.4'!$C$33:$C$51)/$L53,0)</f>
        <v>1.0969294726861645E-3</v>
      </c>
      <c r="K53" s="30">
        <f>IFERROR(SUMPRODUCT(K$33:K$51,'2.4'!$C$33:$C$51)/$L53,0)</f>
        <v>0.99999999999999978</v>
      </c>
      <c r="L53" s="30">
        <f>'2.4'!B26</f>
        <v>0.15734495407182778</v>
      </c>
    </row>
    <row r="54" spans="1:12" x14ac:dyDescent="0.3">
      <c r="A54" s="1" t="str">
        <v>Primary System</v>
      </c>
      <c r="B54" s="30">
        <f>IFERROR(SUMPRODUCT(B$33:B$51,'2.4'!$D$33:$D$51)/$L54,0)</f>
        <v>0.61915857887743209</v>
      </c>
      <c r="C54" s="30">
        <f>IFERROR(SUMPRODUCT(C$33:C$51,'2.4'!$D$33:$D$51)/$L54,0)</f>
        <v>2.0463903039298879E-2</v>
      </c>
      <c r="D54" s="30">
        <f>IFERROR(SUMPRODUCT(D$33:D$51,'2.4'!$D$33:$D$51)/$L54,0)</f>
        <v>3.2979626138134072E-2</v>
      </c>
      <c r="E54" s="30">
        <f>IFERROR(SUMPRODUCT(E$33:E$51,'2.4'!$D$33:$D$51)/$L54,0)</f>
        <v>0.20767314508361551</v>
      </c>
      <c r="F54" s="30">
        <f>IFERROR(SUMPRODUCT(F$33:F$51,'2.4'!$D$33:$D$51)/$L54,0)</f>
        <v>1.0507532080578665E-2</v>
      </c>
      <c r="G54" s="30">
        <f>IFERROR(SUMPRODUCT(G$33:G$51,'2.4'!$D$33:$D$51)/$L54,0)</f>
        <v>7.847497537510334E-2</v>
      </c>
      <c r="H54" s="30">
        <f>IFERROR(SUMPRODUCT(H$33:H$51,'2.4'!$D$33:$D$51)/$L54,0)</f>
        <v>2.6840455226344411E-2</v>
      </c>
      <c r="I54" s="30">
        <f>IFERROR(SUMPRODUCT(I$33:I$51,'2.4'!$D$33:$D$51)/$L54,0)</f>
        <v>2.8785890275280423E-3</v>
      </c>
      <c r="J54" s="30">
        <f>IFERROR(SUMPRODUCT(J$33:J$51,'2.4'!$D$33:$D$51)/$L54,0)</f>
        <v>1.0231951519649441E-3</v>
      </c>
      <c r="K54" s="30">
        <f>IFERROR(SUMPRODUCT(K$33:K$51,'2.4'!$D$33:$D$51)/$L54,0)</f>
        <v>0.99999999999999989</v>
      </c>
      <c r="L54" s="30">
        <f>'2.4'!B27</f>
        <v>0.5</v>
      </c>
    </row>
    <row r="55" spans="1:12" x14ac:dyDescent="0.3">
      <c r="A55" s="1" t="str">
        <v>Distribution Transformers</v>
      </c>
      <c r="B55" s="30">
        <f>IFERROR(SUMPRODUCT(B$33:B$51,'2.4'!$E$33:$E$51)/$L55,0)</f>
        <v>0.61915874337798138</v>
      </c>
      <c r="C55" s="30">
        <f>IFERROR(SUMPRODUCT(C$33:C$51,'2.4'!$E$33:$E$51)/$L55,0)</f>
        <v>2.0464640155458395E-2</v>
      </c>
      <c r="D55" s="30">
        <f>IFERROR(SUMPRODUCT(D$33:D$51,'2.4'!$E$33:$E$51)/$L55,0)</f>
        <v>3.2979966224813195E-2</v>
      </c>
      <c r="E55" s="30">
        <f>IFERROR(SUMPRODUCT(E$33:E$51,'2.4'!$E$33:$E$51)/$L55,0)</f>
        <v>0.20767402317995698</v>
      </c>
      <c r="F55" s="30">
        <f>IFERROR(SUMPRODUCT(F$33:F$51,'2.4'!$E$33:$E$51)/$L55,0)</f>
        <v>1.0505586786036506E-2</v>
      </c>
      <c r="G55" s="30">
        <f>IFERROR(SUMPRODUCT(G$33:G$51,'2.4'!$E$33:$E$51)/$L55,0)</f>
        <v>7.8475258518981197E-2</v>
      </c>
      <c r="H55" s="30">
        <f>IFERROR(SUMPRODUCT(H$33:H$51,'2.4'!$E$33:$E$51)/$L55,0)</f>
        <v>2.6840863349295582E-2</v>
      </c>
      <c r="I55" s="30">
        <f>IFERROR(SUMPRODUCT(I$33:I$51,'2.4'!$E$33:$E$51)/$L55,0)</f>
        <v>2.8801443542230552E-3</v>
      </c>
      <c r="J55" s="30">
        <f>IFERROR(SUMPRODUCT(J$33:J$51,'2.4'!$E$33:$E$51)/$L55,0)</f>
        <v>1.0207740532537535E-3</v>
      </c>
      <c r="K55" s="30">
        <f>IFERROR(SUMPRODUCT(K$33:K$51,'2.4'!$E$33:$E$51)/$L55,0)</f>
        <v>0.99999999999999978</v>
      </c>
      <c r="L55" s="30">
        <f>'2.4'!B28</f>
        <v>0.6</v>
      </c>
    </row>
    <row r="56" spans="1:12" x14ac:dyDescent="0.3">
      <c r="A56" s="1" t="str">
        <v>Secondary System</v>
      </c>
      <c r="B56" s="30">
        <f>IFERROR(SUMPRODUCT(B$33:B$51,'2.4'!$F$33:$F$51)/$L56,0)</f>
        <v>0.61915874337798138</v>
      </c>
      <c r="C56" s="30">
        <f>IFERROR(SUMPRODUCT(C$33:C$51,'2.4'!$F$33:$F$51)/$L56,0)</f>
        <v>2.0464640155458395E-2</v>
      </c>
      <c r="D56" s="30">
        <f>IFERROR(SUMPRODUCT(D$33:D$51,'2.4'!$F$33:$F$51)/$L56,0)</f>
        <v>3.2979966224813195E-2</v>
      </c>
      <c r="E56" s="30">
        <f>IFERROR(SUMPRODUCT(E$33:E$51,'2.4'!$F$33:$F$51)/$L56,0)</f>
        <v>0.20767402317995698</v>
      </c>
      <c r="F56" s="30">
        <f>IFERROR(SUMPRODUCT(F$33:F$51,'2.4'!$F$33:$F$51)/$L56,0)</f>
        <v>1.0505586786036506E-2</v>
      </c>
      <c r="G56" s="30">
        <f>IFERROR(SUMPRODUCT(G$33:G$51,'2.4'!$F$33:$F$51)/$L56,0)</f>
        <v>7.8475258518981197E-2</v>
      </c>
      <c r="H56" s="30">
        <f>IFERROR(SUMPRODUCT(H$33:H$51,'2.4'!$F$33:$F$51)/$L56,0)</f>
        <v>2.6840863349295578E-2</v>
      </c>
      <c r="I56" s="30">
        <f>IFERROR(SUMPRODUCT(I$33:I$51,'2.4'!$F$33:$F$51)/$L56,0)</f>
        <v>2.8801443542230552E-3</v>
      </c>
      <c r="J56" s="30">
        <f>IFERROR(SUMPRODUCT(J$33:J$51,'2.4'!$F$33:$F$51)/$L56,0)</f>
        <v>1.0207740532537535E-3</v>
      </c>
      <c r="K56" s="30">
        <f>IFERROR(SUMPRODUCT(K$33:K$51,'2.4'!$F$33:$F$51)/$L56,0)</f>
        <v>0.99999999999999989</v>
      </c>
      <c r="L56" s="30">
        <f>'2.4'!B29</f>
        <v>0.5</v>
      </c>
    </row>
    <row r="58" spans="1:12" x14ac:dyDescent="0.3">
      <c r="A58" s="1" t="s">
        <v>530</v>
      </c>
    </row>
    <row r="59" spans="1:12" ht="40.5" x14ac:dyDescent="0.3">
      <c r="B59" s="17" t="str">
        <f t="array" ref="B59:J59">TRANSPOSE(List_Classes)</f>
        <v>Residential</v>
      </c>
      <c r="C59" s="17" t="str">
        <v>Residential (S)</v>
      </c>
      <c r="D59" s="17" t="str">
        <v>Farm</v>
      </c>
      <c r="E59" s="17" t="str">
        <v>General Service 1</v>
      </c>
      <c r="F59" s="17" t="str">
        <v>General Service 1 (S)</v>
      </c>
      <c r="G59" s="17" t="str">
        <v>Small Industrial</v>
      </c>
      <c r="H59" s="17" t="str">
        <v>Large Industrial</v>
      </c>
      <c r="I59" s="17" t="str">
        <v>Lights</v>
      </c>
      <c r="J59" s="17" t="str">
        <v>Unmetered</v>
      </c>
      <c r="K59" s="33" t="s">
        <v>214</v>
      </c>
      <c r="L59" s="33" t="s">
        <v>501</v>
      </c>
    </row>
    <row r="60" spans="1:12" x14ac:dyDescent="0.3">
      <c r="A60" s="1" t="str">
        <f t="array" ref="A60:A83">List_Allocators</f>
        <v>1CP - Input</v>
      </c>
      <c r="B60" s="30">
        <f t="shared" ref="B60:J60" si="21">B6*$L60</f>
        <v>0</v>
      </c>
      <c r="C60" s="30">
        <f t="shared" si="21"/>
        <v>0</v>
      </c>
      <c r="D60" s="30">
        <f t="shared" si="21"/>
        <v>0</v>
      </c>
      <c r="E60" s="30">
        <f t="shared" si="21"/>
        <v>0</v>
      </c>
      <c r="F60" s="30">
        <f t="shared" si="21"/>
        <v>0</v>
      </c>
      <c r="G60" s="30">
        <f t="shared" si="21"/>
        <v>0</v>
      </c>
      <c r="H60" s="30">
        <f t="shared" si="21"/>
        <v>0</v>
      </c>
      <c r="I60" s="30">
        <f t="shared" si="21"/>
        <v>0</v>
      </c>
      <c r="J60" s="30">
        <f t="shared" si="21"/>
        <v>0</v>
      </c>
      <c r="K60" s="30">
        <f t="shared" ref="K60:K83" si="22">SUM(B60:J60)</f>
        <v>0</v>
      </c>
      <c r="L60" s="30">
        <f>'2.4'!C6</f>
        <v>0</v>
      </c>
    </row>
    <row r="61" spans="1:12" x14ac:dyDescent="0.3">
      <c r="A61" s="1" t="str">
        <v>1CP - Input Firm</v>
      </c>
      <c r="B61" s="30">
        <f t="shared" ref="B61:J61" si="23">B7*$L61</f>
        <v>0</v>
      </c>
      <c r="C61" s="30">
        <f t="shared" si="23"/>
        <v>0</v>
      </c>
      <c r="D61" s="30">
        <f t="shared" si="23"/>
        <v>0</v>
      </c>
      <c r="E61" s="30">
        <f t="shared" si="23"/>
        <v>0</v>
      </c>
      <c r="F61" s="30">
        <f t="shared" si="23"/>
        <v>0</v>
      </c>
      <c r="G61" s="30">
        <f t="shared" si="23"/>
        <v>0</v>
      </c>
      <c r="H61" s="30">
        <f t="shared" si="23"/>
        <v>0</v>
      </c>
      <c r="I61" s="30">
        <f t="shared" si="23"/>
        <v>0</v>
      </c>
      <c r="J61" s="30">
        <f t="shared" si="23"/>
        <v>0</v>
      </c>
      <c r="K61" s="30">
        <f t="shared" si="22"/>
        <v>0</v>
      </c>
      <c r="L61" s="30">
        <f>'2.4'!C7</f>
        <v>0</v>
      </c>
    </row>
    <row r="62" spans="1:12" x14ac:dyDescent="0.3">
      <c r="A62" s="1" t="str">
        <v>1CP - Transmission</v>
      </c>
      <c r="B62" s="30">
        <f t="shared" ref="B62:J62" si="24">B8*$L62</f>
        <v>0</v>
      </c>
      <c r="C62" s="30">
        <f t="shared" si="24"/>
        <v>0</v>
      </c>
      <c r="D62" s="30">
        <f t="shared" si="24"/>
        <v>0</v>
      </c>
      <c r="E62" s="30">
        <f t="shared" si="24"/>
        <v>0</v>
      </c>
      <c r="F62" s="30">
        <f t="shared" si="24"/>
        <v>0</v>
      </c>
      <c r="G62" s="30">
        <f t="shared" si="24"/>
        <v>0</v>
      </c>
      <c r="H62" s="30">
        <f t="shared" si="24"/>
        <v>0</v>
      </c>
      <c r="I62" s="30">
        <f t="shared" si="24"/>
        <v>0</v>
      </c>
      <c r="J62" s="30">
        <f t="shared" si="24"/>
        <v>0</v>
      </c>
      <c r="K62" s="30">
        <f t="shared" si="22"/>
        <v>0</v>
      </c>
      <c r="L62" s="30">
        <f>'2.4'!C8</f>
        <v>0</v>
      </c>
    </row>
    <row r="63" spans="1:12" x14ac:dyDescent="0.3">
      <c r="A63" s="1" t="str">
        <v>1CP - Distribution Primary</v>
      </c>
      <c r="B63" s="30">
        <f t="shared" ref="B63:J63" si="25">B9*$L63</f>
        <v>0</v>
      </c>
      <c r="C63" s="30">
        <f t="shared" si="25"/>
        <v>0</v>
      </c>
      <c r="D63" s="30">
        <f t="shared" si="25"/>
        <v>0</v>
      </c>
      <c r="E63" s="30">
        <f t="shared" si="25"/>
        <v>0</v>
      </c>
      <c r="F63" s="30">
        <f t="shared" si="25"/>
        <v>0</v>
      </c>
      <c r="G63" s="30">
        <f t="shared" si="25"/>
        <v>0</v>
      </c>
      <c r="H63" s="30">
        <f t="shared" si="25"/>
        <v>0</v>
      </c>
      <c r="I63" s="30">
        <f t="shared" si="25"/>
        <v>0</v>
      </c>
      <c r="J63" s="30">
        <f t="shared" si="25"/>
        <v>0</v>
      </c>
      <c r="K63" s="30">
        <f t="shared" si="22"/>
        <v>0</v>
      </c>
      <c r="L63" s="30">
        <f>'2.4'!C9</f>
        <v>0</v>
      </c>
    </row>
    <row r="64" spans="1:12" x14ac:dyDescent="0.3">
      <c r="A64" s="1" t="str">
        <v>NCP - Distribution Primary</v>
      </c>
      <c r="B64" s="30">
        <f t="shared" ref="B64:J64" si="26">B10*$L64</f>
        <v>0</v>
      </c>
      <c r="C64" s="30">
        <f t="shared" si="26"/>
        <v>0</v>
      </c>
      <c r="D64" s="30">
        <f t="shared" si="26"/>
        <v>0</v>
      </c>
      <c r="E64" s="30">
        <f t="shared" si="26"/>
        <v>0</v>
      </c>
      <c r="F64" s="30">
        <f t="shared" si="26"/>
        <v>0</v>
      </c>
      <c r="G64" s="30">
        <f t="shared" si="26"/>
        <v>0</v>
      </c>
      <c r="H64" s="30">
        <f t="shared" si="26"/>
        <v>0</v>
      </c>
      <c r="I64" s="30">
        <f t="shared" si="26"/>
        <v>0</v>
      </c>
      <c r="J64" s="30">
        <f t="shared" si="26"/>
        <v>0</v>
      </c>
      <c r="K64" s="30">
        <f t="shared" si="22"/>
        <v>0</v>
      </c>
      <c r="L64" s="30">
        <f>'2.4'!C10</f>
        <v>0</v>
      </c>
    </row>
    <row r="65" spans="1:12" x14ac:dyDescent="0.3">
      <c r="A65" s="1" t="str">
        <v>NCP - Distribution Secondary</v>
      </c>
      <c r="B65" s="30">
        <f t="shared" ref="B65:J65" si="27">B11*$L65</f>
        <v>0</v>
      </c>
      <c r="C65" s="30">
        <f t="shared" si="27"/>
        <v>0</v>
      </c>
      <c r="D65" s="30">
        <f t="shared" si="27"/>
        <v>0</v>
      </c>
      <c r="E65" s="30">
        <f t="shared" si="27"/>
        <v>0</v>
      </c>
      <c r="F65" s="30">
        <f t="shared" si="27"/>
        <v>0</v>
      </c>
      <c r="G65" s="30">
        <f t="shared" si="27"/>
        <v>0</v>
      </c>
      <c r="H65" s="30">
        <f t="shared" si="27"/>
        <v>0</v>
      </c>
      <c r="I65" s="30">
        <f t="shared" si="27"/>
        <v>0</v>
      </c>
      <c r="J65" s="30">
        <f t="shared" si="27"/>
        <v>0</v>
      </c>
      <c r="K65" s="30">
        <f t="shared" si="22"/>
        <v>0</v>
      </c>
      <c r="L65" s="30">
        <f>'2.4'!C11</f>
        <v>0</v>
      </c>
    </row>
    <row r="66" spans="1:12" x14ac:dyDescent="0.3">
      <c r="A66" s="1" t="str">
        <v>Energy - Input</v>
      </c>
      <c r="B66" s="30">
        <f t="shared" ref="B66:J66" si="28">B12*$L66</f>
        <v>0.49597257366335251</v>
      </c>
      <c r="C66" s="30">
        <f t="shared" si="28"/>
        <v>1.7674931808028212E-2</v>
      </c>
      <c r="D66" s="30">
        <f t="shared" si="28"/>
        <v>3.23526214558554E-2</v>
      </c>
      <c r="E66" s="30">
        <f t="shared" si="28"/>
        <v>0.27173361868921864</v>
      </c>
      <c r="F66" s="30">
        <f t="shared" si="28"/>
        <v>6.7346837469674133E-3</v>
      </c>
      <c r="G66" s="30">
        <f t="shared" si="28"/>
        <v>6.1697947109043694E-2</v>
      </c>
      <c r="H66" s="30">
        <f t="shared" si="28"/>
        <v>0.10946782928663752</v>
      </c>
      <c r="I66" s="30">
        <f t="shared" si="28"/>
        <v>2.6390811473468124E-3</v>
      </c>
      <c r="J66" s="30">
        <f t="shared" si="28"/>
        <v>1.7267130935497716E-3</v>
      </c>
      <c r="K66" s="30">
        <f t="shared" si="22"/>
        <v>1</v>
      </c>
      <c r="L66" s="30">
        <f>'2.4'!C12</f>
        <v>1</v>
      </c>
    </row>
    <row r="67" spans="1:12" x14ac:dyDescent="0.3">
      <c r="A67" s="1" t="str">
        <v>Sites</v>
      </c>
      <c r="B67" s="30">
        <f t="shared" ref="B67:J67" si="29">B13*$L67</f>
        <v>0</v>
      </c>
      <c r="C67" s="30">
        <f t="shared" si="29"/>
        <v>0</v>
      </c>
      <c r="D67" s="30">
        <f t="shared" si="29"/>
        <v>0</v>
      </c>
      <c r="E67" s="30">
        <f t="shared" si="29"/>
        <v>0</v>
      </c>
      <c r="F67" s="30">
        <f t="shared" si="29"/>
        <v>0</v>
      </c>
      <c r="G67" s="30">
        <f t="shared" si="29"/>
        <v>0</v>
      </c>
      <c r="H67" s="30">
        <f t="shared" si="29"/>
        <v>0</v>
      </c>
      <c r="I67" s="30">
        <f t="shared" si="29"/>
        <v>0</v>
      </c>
      <c r="J67" s="30">
        <f t="shared" si="29"/>
        <v>0</v>
      </c>
      <c r="K67" s="30">
        <f t="shared" si="22"/>
        <v>0</v>
      </c>
      <c r="L67" s="30">
        <f>'2.4'!C13</f>
        <v>0</v>
      </c>
    </row>
    <row r="68" spans="1:12" x14ac:dyDescent="0.3">
      <c r="A68" s="1" t="str">
        <v>Sites - Distribution Primary</v>
      </c>
      <c r="B68" s="30">
        <f t="shared" ref="B68:J68" si="30">B14*$L68</f>
        <v>0</v>
      </c>
      <c r="C68" s="30">
        <f t="shared" si="30"/>
        <v>0</v>
      </c>
      <c r="D68" s="30">
        <f t="shared" si="30"/>
        <v>0</v>
      </c>
      <c r="E68" s="30">
        <f t="shared" si="30"/>
        <v>0</v>
      </c>
      <c r="F68" s="30">
        <f t="shared" si="30"/>
        <v>0</v>
      </c>
      <c r="G68" s="30">
        <f t="shared" si="30"/>
        <v>0</v>
      </c>
      <c r="H68" s="30">
        <f t="shared" si="30"/>
        <v>0</v>
      </c>
      <c r="I68" s="30">
        <f t="shared" si="30"/>
        <v>0</v>
      </c>
      <c r="J68" s="30">
        <f t="shared" si="30"/>
        <v>0</v>
      </c>
      <c r="K68" s="30">
        <f t="shared" si="22"/>
        <v>0</v>
      </c>
      <c r="L68" s="30">
        <f>'2.4'!C14</f>
        <v>0</v>
      </c>
    </row>
    <row r="69" spans="1:12" x14ac:dyDescent="0.3">
      <c r="A69" s="1" t="str">
        <v>Sites - Distribution Secondary</v>
      </c>
      <c r="B69" s="30">
        <f t="shared" ref="B69:J69" si="31">B15*$L69</f>
        <v>0</v>
      </c>
      <c r="C69" s="30">
        <f t="shared" si="31"/>
        <v>0</v>
      </c>
      <c r="D69" s="30">
        <f t="shared" si="31"/>
        <v>0</v>
      </c>
      <c r="E69" s="30">
        <f t="shared" si="31"/>
        <v>0</v>
      </c>
      <c r="F69" s="30">
        <f t="shared" si="31"/>
        <v>0</v>
      </c>
      <c r="G69" s="30">
        <f t="shared" si="31"/>
        <v>0</v>
      </c>
      <c r="H69" s="30">
        <f t="shared" si="31"/>
        <v>0</v>
      </c>
      <c r="I69" s="30">
        <f t="shared" si="31"/>
        <v>0</v>
      </c>
      <c r="J69" s="30">
        <f t="shared" si="31"/>
        <v>0</v>
      </c>
      <c r="K69" s="30">
        <f t="shared" si="22"/>
        <v>0</v>
      </c>
      <c r="L69" s="30">
        <f>'2.4'!C15</f>
        <v>0</v>
      </c>
    </row>
    <row r="70" spans="1:12" x14ac:dyDescent="0.3">
      <c r="A70" s="1" t="str">
        <v>Sites - Mass Market</v>
      </c>
      <c r="B70" s="30">
        <f t="shared" ref="B70:J70" si="32">B16*$L70</f>
        <v>0</v>
      </c>
      <c r="C70" s="30">
        <f t="shared" si="32"/>
        <v>0</v>
      </c>
      <c r="D70" s="30">
        <f t="shared" si="32"/>
        <v>0</v>
      </c>
      <c r="E70" s="30">
        <f t="shared" si="32"/>
        <v>0</v>
      </c>
      <c r="F70" s="30">
        <f t="shared" si="32"/>
        <v>0</v>
      </c>
      <c r="G70" s="30">
        <f t="shared" si="32"/>
        <v>0</v>
      </c>
      <c r="H70" s="30">
        <f t="shared" si="32"/>
        <v>0</v>
      </c>
      <c r="I70" s="30">
        <f t="shared" si="32"/>
        <v>0</v>
      </c>
      <c r="J70" s="30">
        <f t="shared" si="32"/>
        <v>0</v>
      </c>
      <c r="K70" s="30">
        <f t="shared" si="22"/>
        <v>0</v>
      </c>
      <c r="L70" s="30">
        <f>'2.4'!C16</f>
        <v>0</v>
      </c>
    </row>
    <row r="71" spans="1:12" x14ac:dyDescent="0.3">
      <c r="A71" s="1" t="str">
        <v>Service Lines</v>
      </c>
      <c r="B71" s="30">
        <f t="shared" ref="B71:J71" si="33">B17*$L71</f>
        <v>0</v>
      </c>
      <c r="C71" s="30">
        <f t="shared" si="33"/>
        <v>0</v>
      </c>
      <c r="D71" s="30">
        <f t="shared" si="33"/>
        <v>0</v>
      </c>
      <c r="E71" s="30">
        <f t="shared" si="33"/>
        <v>0</v>
      </c>
      <c r="F71" s="30">
        <f t="shared" si="33"/>
        <v>0</v>
      </c>
      <c r="G71" s="30">
        <f t="shared" si="33"/>
        <v>0</v>
      </c>
      <c r="H71" s="30">
        <f t="shared" si="33"/>
        <v>0</v>
      </c>
      <c r="I71" s="30">
        <f t="shared" si="33"/>
        <v>0</v>
      </c>
      <c r="J71" s="30">
        <f t="shared" si="33"/>
        <v>0</v>
      </c>
      <c r="K71" s="30">
        <f t="shared" si="22"/>
        <v>0</v>
      </c>
      <c r="L71" s="30">
        <f>'2.4'!C17</f>
        <v>0</v>
      </c>
    </row>
    <row r="72" spans="1:12" x14ac:dyDescent="0.3">
      <c r="A72" s="1" t="str">
        <v>Meter Assets</v>
      </c>
      <c r="B72" s="30">
        <f t="shared" ref="B72:J72" si="34">B18*$L72</f>
        <v>0</v>
      </c>
      <c r="C72" s="30">
        <f t="shared" si="34"/>
        <v>0</v>
      </c>
      <c r="D72" s="30">
        <f t="shared" si="34"/>
        <v>0</v>
      </c>
      <c r="E72" s="30">
        <f t="shared" si="34"/>
        <v>0</v>
      </c>
      <c r="F72" s="30">
        <f t="shared" si="34"/>
        <v>0</v>
      </c>
      <c r="G72" s="30">
        <f t="shared" si="34"/>
        <v>0</v>
      </c>
      <c r="H72" s="30">
        <f t="shared" si="34"/>
        <v>0</v>
      </c>
      <c r="I72" s="30">
        <f t="shared" si="34"/>
        <v>0</v>
      </c>
      <c r="J72" s="30">
        <f t="shared" si="34"/>
        <v>0</v>
      </c>
      <c r="K72" s="30">
        <f t="shared" si="22"/>
        <v>0</v>
      </c>
      <c r="L72" s="30">
        <f>'2.4'!C18</f>
        <v>0</v>
      </c>
    </row>
    <row r="73" spans="1:12" x14ac:dyDescent="0.3">
      <c r="A73" s="1" t="str">
        <v>Meter Reading</v>
      </c>
      <c r="B73" s="30">
        <f t="shared" ref="B73:J73" si="35">B19*$L73</f>
        <v>0</v>
      </c>
      <c r="C73" s="30">
        <f t="shared" si="35"/>
        <v>0</v>
      </c>
      <c r="D73" s="30">
        <f t="shared" si="35"/>
        <v>0</v>
      </c>
      <c r="E73" s="30">
        <f t="shared" si="35"/>
        <v>0</v>
      </c>
      <c r="F73" s="30">
        <f t="shared" si="35"/>
        <v>0</v>
      </c>
      <c r="G73" s="30">
        <f t="shared" si="35"/>
        <v>0</v>
      </c>
      <c r="H73" s="30">
        <f t="shared" si="35"/>
        <v>0</v>
      </c>
      <c r="I73" s="30">
        <f t="shared" si="35"/>
        <v>0</v>
      </c>
      <c r="J73" s="30">
        <f t="shared" si="35"/>
        <v>0</v>
      </c>
      <c r="K73" s="30">
        <f t="shared" si="22"/>
        <v>0</v>
      </c>
      <c r="L73" s="30">
        <f>'2.4'!C19</f>
        <v>0</v>
      </c>
    </row>
    <row r="74" spans="1:12" x14ac:dyDescent="0.3">
      <c r="A74" s="1" t="str">
        <v>Billing</v>
      </c>
      <c r="B74" s="30">
        <f t="shared" ref="B74:J74" si="36">B20*$L74</f>
        <v>0</v>
      </c>
      <c r="C74" s="30">
        <f t="shared" si="36"/>
        <v>0</v>
      </c>
      <c r="D74" s="30">
        <f t="shared" si="36"/>
        <v>0</v>
      </c>
      <c r="E74" s="30">
        <f t="shared" si="36"/>
        <v>0</v>
      </c>
      <c r="F74" s="30">
        <f t="shared" si="36"/>
        <v>0</v>
      </c>
      <c r="G74" s="30">
        <f t="shared" si="36"/>
        <v>0</v>
      </c>
      <c r="H74" s="30">
        <f t="shared" si="36"/>
        <v>0</v>
      </c>
      <c r="I74" s="30">
        <f t="shared" si="36"/>
        <v>0</v>
      </c>
      <c r="J74" s="30">
        <f t="shared" si="36"/>
        <v>0</v>
      </c>
      <c r="K74" s="30">
        <f t="shared" si="22"/>
        <v>0</v>
      </c>
      <c r="L74" s="30">
        <f>'2.4'!C20</f>
        <v>0</v>
      </c>
    </row>
    <row r="75" spans="1:12" x14ac:dyDescent="0.3">
      <c r="A75" s="1" t="str">
        <v>Remittance &amp; Collection</v>
      </c>
      <c r="B75" s="30">
        <f t="shared" ref="B75:J75" si="37">B21*$L75</f>
        <v>0</v>
      </c>
      <c r="C75" s="30">
        <f t="shared" si="37"/>
        <v>0</v>
      </c>
      <c r="D75" s="30">
        <f t="shared" si="37"/>
        <v>0</v>
      </c>
      <c r="E75" s="30">
        <f t="shared" si="37"/>
        <v>0</v>
      </c>
      <c r="F75" s="30">
        <f t="shared" si="37"/>
        <v>0</v>
      </c>
      <c r="G75" s="30">
        <f t="shared" si="37"/>
        <v>0</v>
      </c>
      <c r="H75" s="30">
        <f t="shared" si="37"/>
        <v>0</v>
      </c>
      <c r="I75" s="30">
        <f t="shared" si="37"/>
        <v>0</v>
      </c>
      <c r="J75" s="30">
        <f t="shared" si="37"/>
        <v>0</v>
      </c>
      <c r="K75" s="30">
        <f t="shared" si="22"/>
        <v>0</v>
      </c>
      <c r="L75" s="30">
        <f>'2.4'!C21</f>
        <v>0</v>
      </c>
    </row>
    <row r="76" spans="1:12" x14ac:dyDescent="0.3">
      <c r="A76" s="1" t="str">
        <v>Service Connection Revenue</v>
      </c>
      <c r="B76" s="30">
        <f t="shared" ref="B76:J76" si="38">B22*$L76</f>
        <v>0</v>
      </c>
      <c r="C76" s="30">
        <f t="shared" si="38"/>
        <v>0</v>
      </c>
      <c r="D76" s="30">
        <f t="shared" si="38"/>
        <v>0</v>
      </c>
      <c r="E76" s="30">
        <f t="shared" si="38"/>
        <v>0</v>
      </c>
      <c r="F76" s="30">
        <f t="shared" si="38"/>
        <v>0</v>
      </c>
      <c r="G76" s="30">
        <f t="shared" si="38"/>
        <v>0</v>
      </c>
      <c r="H76" s="30">
        <f t="shared" si="38"/>
        <v>0</v>
      </c>
      <c r="I76" s="30">
        <f t="shared" si="38"/>
        <v>0</v>
      </c>
      <c r="J76" s="30">
        <f t="shared" si="38"/>
        <v>0</v>
      </c>
      <c r="K76" s="30">
        <f t="shared" si="22"/>
        <v>0</v>
      </c>
      <c r="L76" s="30">
        <f>'2.4'!C22</f>
        <v>0</v>
      </c>
    </row>
    <row r="77" spans="1:12" x14ac:dyDescent="0.3">
      <c r="A77" s="1" t="str">
        <v>Penalty Revenue</v>
      </c>
      <c r="B77" s="30">
        <f t="shared" ref="B77:J77" si="39">B23*$L77</f>
        <v>0</v>
      </c>
      <c r="C77" s="30">
        <f t="shared" si="39"/>
        <v>0</v>
      </c>
      <c r="D77" s="30">
        <f t="shared" si="39"/>
        <v>0</v>
      </c>
      <c r="E77" s="30">
        <f t="shared" si="39"/>
        <v>0</v>
      </c>
      <c r="F77" s="30">
        <f t="shared" si="39"/>
        <v>0</v>
      </c>
      <c r="G77" s="30">
        <f t="shared" si="39"/>
        <v>0</v>
      </c>
      <c r="H77" s="30">
        <f t="shared" si="39"/>
        <v>0</v>
      </c>
      <c r="I77" s="30">
        <f t="shared" si="39"/>
        <v>0</v>
      </c>
      <c r="J77" s="30">
        <f t="shared" si="39"/>
        <v>0</v>
      </c>
      <c r="K77" s="30">
        <f t="shared" si="22"/>
        <v>0</v>
      </c>
      <c r="L77" s="30">
        <f>'2.4'!C23</f>
        <v>0</v>
      </c>
    </row>
    <row r="78" spans="1:12" x14ac:dyDescent="0.3">
      <c r="A78" s="1" t="str">
        <v>Lighting Direct Assign</v>
      </c>
      <c r="B78" s="30">
        <f t="shared" ref="B78:J78" si="40">B24*$L78</f>
        <v>0</v>
      </c>
      <c r="C78" s="30">
        <f t="shared" si="40"/>
        <v>0</v>
      </c>
      <c r="D78" s="30">
        <f t="shared" si="40"/>
        <v>0</v>
      </c>
      <c r="E78" s="30">
        <f t="shared" si="40"/>
        <v>0</v>
      </c>
      <c r="F78" s="30">
        <f t="shared" si="40"/>
        <v>0</v>
      </c>
      <c r="G78" s="30">
        <f t="shared" si="40"/>
        <v>0</v>
      </c>
      <c r="H78" s="30">
        <f t="shared" si="40"/>
        <v>0</v>
      </c>
      <c r="I78" s="30">
        <f t="shared" si="40"/>
        <v>0</v>
      </c>
      <c r="J78" s="30">
        <f t="shared" si="40"/>
        <v>0</v>
      </c>
      <c r="K78" s="30">
        <f t="shared" si="22"/>
        <v>0</v>
      </c>
      <c r="L78" s="30">
        <f>'2.4'!C24</f>
        <v>0</v>
      </c>
    </row>
    <row r="79" spans="1:12" x14ac:dyDescent="0.3">
      <c r="A79" s="1" t="str">
        <v>MECL Generation</v>
      </c>
      <c r="B79" s="30">
        <f>IFERROR(SUMPRODUCT(B$60:B$78,'2.4'!$B$33:$B$51)/$L79,0)</f>
        <v>0.49597257366335251</v>
      </c>
      <c r="C79" s="30">
        <f>IFERROR(SUMPRODUCT(C$60:C$78,'2.4'!$B$33:$B$51)/$L79,0)</f>
        <v>1.7674931808028212E-2</v>
      </c>
      <c r="D79" s="30">
        <f>IFERROR(SUMPRODUCT(D$60:D$78,'2.4'!$B$33:$B$51)/$L79,0)</f>
        <v>3.23526214558554E-2</v>
      </c>
      <c r="E79" s="30">
        <f>IFERROR(SUMPRODUCT(E$60:E$78,'2.4'!$B$33:$B$51)/$L79,0)</f>
        <v>0.27173361868921864</v>
      </c>
      <c r="F79" s="30">
        <f>IFERROR(SUMPRODUCT(F$60:F$78,'2.4'!$B$33:$B$51)/$L79,0)</f>
        <v>6.7346837469674141E-3</v>
      </c>
      <c r="G79" s="30">
        <f>IFERROR(SUMPRODUCT(G$60:G$78,'2.4'!$B$33:$B$51)/$L79,0)</f>
        <v>6.1697947109043694E-2</v>
      </c>
      <c r="H79" s="30">
        <f>IFERROR(SUMPRODUCT(H$60:H$78,'2.4'!$B$33:$B$51)/$L79,0)</f>
        <v>0.10946782928663752</v>
      </c>
      <c r="I79" s="30">
        <f>IFERROR(SUMPRODUCT(I$60:I$78,'2.4'!$B$33:$B$51)/$L79,0)</f>
        <v>2.6390811473468124E-3</v>
      </c>
      <c r="J79" s="30">
        <f>IFERROR(SUMPRODUCT(J$60:J$78,'2.4'!$B$33:$B$51)/$L79,0)</f>
        <v>1.7267130935497716E-3</v>
      </c>
      <c r="K79" s="30">
        <f t="shared" si="22"/>
        <v>1</v>
      </c>
      <c r="L79" s="30">
        <f>'2.4'!C25</f>
        <v>0.33809839452711654</v>
      </c>
    </row>
    <row r="80" spans="1:12" x14ac:dyDescent="0.3">
      <c r="A80" s="1" t="str">
        <v>MECL Purchases</v>
      </c>
      <c r="B80" s="30">
        <f>IFERROR(SUMPRODUCT(B$60:B$78,'2.4'!$C$33:$C$51)/$L80,0)</f>
        <v>0.49597257366335251</v>
      </c>
      <c r="C80" s="30">
        <f>IFERROR(SUMPRODUCT(C$60:C$78,'2.4'!$C$33:$C$51)/$L80,0)</f>
        <v>1.7674931808028212E-2</v>
      </c>
      <c r="D80" s="30">
        <f>IFERROR(SUMPRODUCT(D$60:D$78,'2.4'!$C$33:$C$51)/$L80,0)</f>
        <v>3.23526214558554E-2</v>
      </c>
      <c r="E80" s="30">
        <f>IFERROR(SUMPRODUCT(E$60:E$78,'2.4'!$C$33:$C$51)/$L80,0)</f>
        <v>0.27173361868921864</v>
      </c>
      <c r="F80" s="30">
        <f>IFERROR(SUMPRODUCT(F$60:F$78,'2.4'!$C$33:$C$51)/$L80,0)</f>
        <v>6.7346837469674133E-3</v>
      </c>
      <c r="G80" s="30">
        <f>IFERROR(SUMPRODUCT(G$60:G$78,'2.4'!$C$33:$C$51)/$L80,0)</f>
        <v>6.1697947109043694E-2</v>
      </c>
      <c r="H80" s="30">
        <f>IFERROR(SUMPRODUCT(H$60:H$78,'2.4'!$C$33:$C$51)/$L80,0)</f>
        <v>0.10946782928663752</v>
      </c>
      <c r="I80" s="30">
        <f>IFERROR(SUMPRODUCT(I$60:I$78,'2.4'!$C$33:$C$51)/$L80,0)</f>
        <v>2.6390811473468129E-3</v>
      </c>
      <c r="J80" s="30">
        <f>IFERROR(SUMPRODUCT(J$60:J$78,'2.4'!$C$33:$C$51)/$L80,0)</f>
        <v>1.7267130935497716E-3</v>
      </c>
      <c r="K80" s="30">
        <f t="shared" si="22"/>
        <v>1</v>
      </c>
      <c r="L80" s="30">
        <f>'2.4'!C26</f>
        <v>0.8426550459281722</v>
      </c>
    </row>
    <row r="81" spans="1:12" x14ac:dyDescent="0.3">
      <c r="A81" s="1" t="str">
        <v>Primary System</v>
      </c>
      <c r="B81" s="30">
        <f>IFERROR(SUMPRODUCT(B$60:B$78,'2.4'!$D$33:$D$51)/$L81,0)</f>
        <v>0</v>
      </c>
      <c r="C81" s="30">
        <f>IFERROR(SUMPRODUCT(C$60:C$78,'2.4'!$D$33:$D$51)/$L81,0)</f>
        <v>0</v>
      </c>
      <c r="D81" s="30">
        <f>IFERROR(SUMPRODUCT(D$60:D$78,'2.4'!$D$33:$D$51)/$L81,0)</f>
        <v>0</v>
      </c>
      <c r="E81" s="30">
        <f>IFERROR(SUMPRODUCT(E$60:E$78,'2.4'!$D$33:$D$51)/$L81,0)</f>
        <v>0</v>
      </c>
      <c r="F81" s="30">
        <f>IFERROR(SUMPRODUCT(F$60:F$78,'2.4'!$D$33:$D$51)/$L81,0)</f>
        <v>0</v>
      </c>
      <c r="G81" s="30">
        <f>IFERROR(SUMPRODUCT(G$60:G$78,'2.4'!$D$33:$D$51)/$L81,0)</f>
        <v>0</v>
      </c>
      <c r="H81" s="30">
        <f>IFERROR(SUMPRODUCT(H$60:H$78,'2.4'!$D$33:$D$51)/$L81,0)</f>
        <v>0</v>
      </c>
      <c r="I81" s="30">
        <f>IFERROR(SUMPRODUCT(I$60:I$78,'2.4'!$D$33:$D$51)/$L81,0)</f>
        <v>0</v>
      </c>
      <c r="J81" s="30">
        <f>IFERROR(SUMPRODUCT(J$60:J$78,'2.4'!$D$33:$D$51)/$L81,0)</f>
        <v>0</v>
      </c>
      <c r="K81" s="30">
        <f t="shared" si="22"/>
        <v>0</v>
      </c>
      <c r="L81" s="30">
        <f>'2.4'!C27</f>
        <v>0</v>
      </c>
    </row>
    <row r="82" spans="1:12" x14ac:dyDescent="0.3">
      <c r="A82" s="1" t="str">
        <v>Distribution Transformers</v>
      </c>
      <c r="B82" s="30">
        <f>IFERROR(SUMPRODUCT(B$60:B$78,'2.4'!$E$33:$E$51)/$L82,0)</f>
        <v>0</v>
      </c>
      <c r="C82" s="30">
        <f>IFERROR(SUMPRODUCT(C$60:C$78,'2.4'!$E$33:$E$51)/$L82,0)</f>
        <v>0</v>
      </c>
      <c r="D82" s="30">
        <f>IFERROR(SUMPRODUCT(D$60:D$78,'2.4'!$E$33:$E$51)/$L82,0)</f>
        <v>0</v>
      </c>
      <c r="E82" s="30">
        <f>IFERROR(SUMPRODUCT(E$60:E$78,'2.4'!$E$33:$E$51)/$L82,0)</f>
        <v>0</v>
      </c>
      <c r="F82" s="30">
        <f>IFERROR(SUMPRODUCT(F$60:F$78,'2.4'!$E$33:$E$51)/$L82,0)</f>
        <v>0</v>
      </c>
      <c r="G82" s="30">
        <f>IFERROR(SUMPRODUCT(G$60:G$78,'2.4'!$E$33:$E$51)/$L82,0)</f>
        <v>0</v>
      </c>
      <c r="H82" s="30">
        <f>IFERROR(SUMPRODUCT(H$60:H$78,'2.4'!$E$33:$E$51)/$L82,0)</f>
        <v>0</v>
      </c>
      <c r="I82" s="30">
        <f>IFERROR(SUMPRODUCT(I$60:I$78,'2.4'!$E$33:$E$51)/$L82,0)</f>
        <v>0</v>
      </c>
      <c r="J82" s="30">
        <f>IFERROR(SUMPRODUCT(J$60:J$78,'2.4'!$E$33:$E$51)/$L82,0)</f>
        <v>0</v>
      </c>
      <c r="K82" s="30">
        <f t="shared" si="22"/>
        <v>0</v>
      </c>
      <c r="L82" s="30">
        <f>'2.4'!C28</f>
        <v>0</v>
      </c>
    </row>
    <row r="83" spans="1:12" x14ac:dyDescent="0.3">
      <c r="A83" s="1" t="str">
        <v>Secondary System</v>
      </c>
      <c r="B83" s="30">
        <f>IFERROR(SUMPRODUCT(B$60:B$78,'2.4'!$F$33:$F$51)/$L83,0)</f>
        <v>0</v>
      </c>
      <c r="C83" s="30">
        <f>IFERROR(SUMPRODUCT(C$60:C$78,'2.4'!$F$33:$F$51)/$L83,0)</f>
        <v>0</v>
      </c>
      <c r="D83" s="30">
        <f>IFERROR(SUMPRODUCT(D$60:D$78,'2.4'!$F$33:$F$51)/$L83,0)</f>
        <v>0</v>
      </c>
      <c r="E83" s="30">
        <f>IFERROR(SUMPRODUCT(E$60:E$78,'2.4'!$F$33:$F$51)/$L83,0)</f>
        <v>0</v>
      </c>
      <c r="F83" s="30">
        <f>IFERROR(SUMPRODUCT(F$60:F$78,'2.4'!$F$33:$F$51)/$L83,0)</f>
        <v>0</v>
      </c>
      <c r="G83" s="30">
        <f>IFERROR(SUMPRODUCT(G$60:G$78,'2.4'!$F$33:$F$51)/$L83,0)</f>
        <v>0</v>
      </c>
      <c r="H83" s="30">
        <f>IFERROR(SUMPRODUCT(H$60:H$78,'2.4'!$F$33:$F$51)/$L83,0)</f>
        <v>0</v>
      </c>
      <c r="I83" s="30">
        <f>IFERROR(SUMPRODUCT(I$60:I$78,'2.4'!$F$33:$F$51)/$L83,0)</f>
        <v>0</v>
      </c>
      <c r="J83" s="30">
        <f>IFERROR(SUMPRODUCT(J$60:J$78,'2.4'!$F$33:$F$51)/$L83,0)</f>
        <v>0</v>
      </c>
      <c r="K83" s="30">
        <f t="shared" si="22"/>
        <v>0</v>
      </c>
      <c r="L83" s="30">
        <f>'2.4'!C29</f>
        <v>0</v>
      </c>
    </row>
    <row r="85" spans="1:12" x14ac:dyDescent="0.3">
      <c r="A85" s="1" t="s">
        <v>531</v>
      </c>
    </row>
    <row r="86" spans="1:12" ht="40.5" x14ac:dyDescent="0.3">
      <c r="B86" s="17" t="str">
        <f t="array" ref="B86:J86">TRANSPOSE(List_Classes)</f>
        <v>Residential</v>
      </c>
      <c r="C86" s="17" t="str">
        <v>Residential (S)</v>
      </c>
      <c r="D86" s="17" t="str">
        <v>Farm</v>
      </c>
      <c r="E86" s="17" t="str">
        <v>General Service 1</v>
      </c>
      <c r="F86" s="17" t="str">
        <v>General Service 1 (S)</v>
      </c>
      <c r="G86" s="17" t="str">
        <v>Small Industrial</v>
      </c>
      <c r="H86" s="17" t="str">
        <v>Large Industrial</v>
      </c>
      <c r="I86" s="17" t="str">
        <v>Lights</v>
      </c>
      <c r="J86" s="17" t="str">
        <v>Unmetered</v>
      </c>
      <c r="K86" s="33" t="s">
        <v>214</v>
      </c>
      <c r="L86" s="33" t="s">
        <v>501</v>
      </c>
    </row>
    <row r="87" spans="1:12" x14ac:dyDescent="0.3">
      <c r="A87" s="1" t="str">
        <f t="array" ref="A87:A110">List_Allocators</f>
        <v>1CP - Input</v>
      </c>
      <c r="B87" s="30">
        <f t="shared" ref="B87:J87" si="41">B6*$L87</f>
        <v>0</v>
      </c>
      <c r="C87" s="30">
        <f t="shared" si="41"/>
        <v>0</v>
      </c>
      <c r="D87" s="30">
        <f t="shared" si="41"/>
        <v>0</v>
      </c>
      <c r="E87" s="30">
        <f t="shared" si="41"/>
        <v>0</v>
      </c>
      <c r="F87" s="30">
        <f t="shared" si="41"/>
        <v>0</v>
      </c>
      <c r="G87" s="30">
        <f t="shared" si="41"/>
        <v>0</v>
      </c>
      <c r="H87" s="30">
        <f t="shared" si="41"/>
        <v>0</v>
      </c>
      <c r="I87" s="30">
        <f t="shared" si="41"/>
        <v>0</v>
      </c>
      <c r="J87" s="30">
        <f t="shared" si="41"/>
        <v>0</v>
      </c>
      <c r="K87" s="30">
        <f t="shared" ref="K87:K110" si="42">SUM(B87:J87)</f>
        <v>0</v>
      </c>
      <c r="L87" s="30">
        <f>'2.4'!D6</f>
        <v>0</v>
      </c>
    </row>
    <row r="88" spans="1:12" x14ac:dyDescent="0.3">
      <c r="A88" s="1" t="str">
        <v>1CP - Input Firm</v>
      </c>
      <c r="B88" s="30">
        <f t="shared" ref="B88:J88" si="43">B7*$L88</f>
        <v>0</v>
      </c>
      <c r="C88" s="30">
        <f t="shared" si="43"/>
        <v>0</v>
      </c>
      <c r="D88" s="30">
        <f t="shared" si="43"/>
        <v>0</v>
      </c>
      <c r="E88" s="30">
        <f t="shared" si="43"/>
        <v>0</v>
      </c>
      <c r="F88" s="30">
        <f t="shared" si="43"/>
        <v>0</v>
      </c>
      <c r="G88" s="30">
        <f t="shared" si="43"/>
        <v>0</v>
      </c>
      <c r="H88" s="30">
        <f t="shared" si="43"/>
        <v>0</v>
      </c>
      <c r="I88" s="30">
        <f t="shared" si="43"/>
        <v>0</v>
      </c>
      <c r="J88" s="30">
        <f t="shared" si="43"/>
        <v>0</v>
      </c>
      <c r="K88" s="30">
        <f t="shared" si="42"/>
        <v>0</v>
      </c>
      <c r="L88" s="30">
        <f>'2.4'!D7</f>
        <v>0</v>
      </c>
    </row>
    <row r="89" spans="1:12" x14ac:dyDescent="0.3">
      <c r="A89" s="1" t="str">
        <v>1CP - Transmission</v>
      </c>
      <c r="B89" s="30">
        <f t="shared" ref="B89:J89" si="44">B8*$L89</f>
        <v>0</v>
      </c>
      <c r="C89" s="30">
        <f t="shared" si="44"/>
        <v>0</v>
      </c>
      <c r="D89" s="30">
        <f t="shared" si="44"/>
        <v>0</v>
      </c>
      <c r="E89" s="30">
        <f t="shared" si="44"/>
        <v>0</v>
      </c>
      <c r="F89" s="30">
        <f t="shared" si="44"/>
        <v>0</v>
      </c>
      <c r="G89" s="30">
        <f t="shared" si="44"/>
        <v>0</v>
      </c>
      <c r="H89" s="30">
        <f t="shared" si="44"/>
        <v>0</v>
      </c>
      <c r="I89" s="30">
        <f t="shared" si="44"/>
        <v>0</v>
      </c>
      <c r="J89" s="30">
        <f t="shared" si="44"/>
        <v>0</v>
      </c>
      <c r="K89" s="30">
        <f t="shared" si="42"/>
        <v>0</v>
      </c>
      <c r="L89" s="30">
        <f>'2.4'!D8</f>
        <v>0</v>
      </c>
    </row>
    <row r="90" spans="1:12" x14ac:dyDescent="0.3">
      <c r="A90" s="1" t="str">
        <v>1CP - Distribution Primary</v>
      </c>
      <c r="B90" s="30">
        <f t="shared" ref="B90:J90" si="45">B9*$L90</f>
        <v>0</v>
      </c>
      <c r="C90" s="30">
        <f t="shared" si="45"/>
        <v>0</v>
      </c>
      <c r="D90" s="30">
        <f t="shared" si="45"/>
        <v>0</v>
      </c>
      <c r="E90" s="30">
        <f t="shared" si="45"/>
        <v>0</v>
      </c>
      <c r="F90" s="30">
        <f t="shared" si="45"/>
        <v>0</v>
      </c>
      <c r="G90" s="30">
        <f t="shared" si="45"/>
        <v>0</v>
      </c>
      <c r="H90" s="30">
        <f t="shared" si="45"/>
        <v>0</v>
      </c>
      <c r="I90" s="30">
        <f t="shared" si="45"/>
        <v>0</v>
      </c>
      <c r="J90" s="30">
        <f t="shared" si="45"/>
        <v>0</v>
      </c>
      <c r="K90" s="30">
        <f t="shared" si="42"/>
        <v>0</v>
      </c>
      <c r="L90" s="30">
        <f>'2.4'!D9</f>
        <v>0</v>
      </c>
    </row>
    <row r="91" spans="1:12" x14ac:dyDescent="0.3">
      <c r="A91" s="1" t="str">
        <v>NCP - Distribution Primary</v>
      </c>
      <c r="B91" s="30">
        <f t="shared" ref="B91:J91" si="46">B10*$L91</f>
        <v>0</v>
      </c>
      <c r="C91" s="30">
        <f t="shared" si="46"/>
        <v>0</v>
      </c>
      <c r="D91" s="30">
        <f t="shared" si="46"/>
        <v>0</v>
      </c>
      <c r="E91" s="30">
        <f t="shared" si="46"/>
        <v>0</v>
      </c>
      <c r="F91" s="30">
        <f t="shared" si="46"/>
        <v>0</v>
      </c>
      <c r="G91" s="30">
        <f t="shared" si="46"/>
        <v>0</v>
      </c>
      <c r="H91" s="30">
        <f t="shared" si="46"/>
        <v>0</v>
      </c>
      <c r="I91" s="30">
        <f t="shared" si="46"/>
        <v>0</v>
      </c>
      <c r="J91" s="30">
        <f t="shared" si="46"/>
        <v>0</v>
      </c>
      <c r="K91" s="30">
        <f t="shared" si="42"/>
        <v>0</v>
      </c>
      <c r="L91" s="30">
        <f>'2.4'!D10</f>
        <v>0</v>
      </c>
    </row>
    <row r="92" spans="1:12" x14ac:dyDescent="0.3">
      <c r="A92" s="1" t="str">
        <v>NCP - Distribution Secondary</v>
      </c>
      <c r="B92" s="30">
        <f t="shared" ref="B92:J92" si="47">B11*$L92</f>
        <v>0</v>
      </c>
      <c r="C92" s="30">
        <f t="shared" si="47"/>
        <v>0</v>
      </c>
      <c r="D92" s="30">
        <f t="shared" si="47"/>
        <v>0</v>
      </c>
      <c r="E92" s="30">
        <f t="shared" si="47"/>
        <v>0</v>
      </c>
      <c r="F92" s="30">
        <f t="shared" si="47"/>
        <v>0</v>
      </c>
      <c r="G92" s="30">
        <f t="shared" si="47"/>
        <v>0</v>
      </c>
      <c r="H92" s="30">
        <f t="shared" si="47"/>
        <v>0</v>
      </c>
      <c r="I92" s="30">
        <f t="shared" si="47"/>
        <v>0</v>
      </c>
      <c r="J92" s="30">
        <f t="shared" si="47"/>
        <v>0</v>
      </c>
      <c r="K92" s="30">
        <f t="shared" si="42"/>
        <v>0</v>
      </c>
      <c r="L92" s="30">
        <f>'2.4'!D11</f>
        <v>0</v>
      </c>
    </row>
    <row r="93" spans="1:12" x14ac:dyDescent="0.3">
      <c r="A93" s="1" t="str">
        <v>Energy - Input</v>
      </c>
      <c r="B93" s="30">
        <f t="shared" ref="B93:J93" si="48">B12*$L93</f>
        <v>0</v>
      </c>
      <c r="C93" s="30">
        <f t="shared" si="48"/>
        <v>0</v>
      </c>
      <c r="D93" s="30">
        <f t="shared" si="48"/>
        <v>0</v>
      </c>
      <c r="E93" s="30">
        <f t="shared" si="48"/>
        <v>0</v>
      </c>
      <c r="F93" s="30">
        <f t="shared" si="48"/>
        <v>0</v>
      </c>
      <c r="G93" s="30">
        <f t="shared" si="48"/>
        <v>0</v>
      </c>
      <c r="H93" s="30">
        <f t="shared" si="48"/>
        <v>0</v>
      </c>
      <c r="I93" s="30">
        <f t="shared" si="48"/>
        <v>0</v>
      </c>
      <c r="J93" s="30">
        <f t="shared" si="48"/>
        <v>0</v>
      </c>
      <c r="K93" s="30">
        <f t="shared" si="42"/>
        <v>0</v>
      </c>
      <c r="L93" s="30">
        <f>'2.4'!D12</f>
        <v>0</v>
      </c>
    </row>
    <row r="94" spans="1:12" x14ac:dyDescent="0.3">
      <c r="A94" s="1" t="str">
        <v>Sites</v>
      </c>
      <c r="B94" s="30">
        <f t="shared" ref="B94:J94" si="49">B13*$L94</f>
        <v>0.73897168372225408</v>
      </c>
      <c r="C94" s="30">
        <f t="shared" si="49"/>
        <v>8.6022868273938971E-2</v>
      </c>
      <c r="D94" s="30">
        <f t="shared" si="49"/>
        <v>5.7481999350686899E-3</v>
      </c>
      <c r="E94" s="30">
        <f t="shared" si="49"/>
        <v>8.7901873668574576E-2</v>
      </c>
      <c r="F94" s="30">
        <f t="shared" si="49"/>
        <v>1.8256371940779087E-2</v>
      </c>
      <c r="G94" s="30">
        <f t="shared" si="49"/>
        <v>3.1687369081133008E-3</v>
      </c>
      <c r="H94" s="30">
        <f t="shared" si="49"/>
        <v>7.7828625813309148E-5</v>
      </c>
      <c r="I94" s="30">
        <f t="shared" si="49"/>
        <v>5.6561397891066616E-2</v>
      </c>
      <c r="J94" s="30">
        <f t="shared" si="49"/>
        <v>3.2910390343913582E-3</v>
      </c>
      <c r="K94" s="30">
        <f t="shared" si="42"/>
        <v>1</v>
      </c>
      <c r="L94" s="30">
        <f>'2.4'!D13</f>
        <v>1</v>
      </c>
    </row>
    <row r="95" spans="1:12" x14ac:dyDescent="0.3">
      <c r="A95" s="1" t="str">
        <v>Sites - Distribution Primary</v>
      </c>
      <c r="B95" s="30">
        <f t="shared" ref="B95:J95" si="50">B14*$L95</f>
        <v>0.73897168372225408</v>
      </c>
      <c r="C95" s="30">
        <f t="shared" si="50"/>
        <v>8.6022868273938971E-2</v>
      </c>
      <c r="D95" s="30">
        <f t="shared" si="50"/>
        <v>5.7481999350686899E-3</v>
      </c>
      <c r="E95" s="30">
        <f t="shared" si="50"/>
        <v>8.7901873668574576E-2</v>
      </c>
      <c r="F95" s="30">
        <f t="shared" si="50"/>
        <v>1.8256371940779087E-2</v>
      </c>
      <c r="G95" s="30">
        <f t="shared" si="50"/>
        <v>3.1687369081133008E-3</v>
      </c>
      <c r="H95" s="30">
        <f t="shared" si="50"/>
        <v>7.7828625813309148E-5</v>
      </c>
      <c r="I95" s="30">
        <f t="shared" si="50"/>
        <v>5.6561397891066616E-2</v>
      </c>
      <c r="J95" s="30">
        <f t="shared" si="50"/>
        <v>3.2910390343913582E-3</v>
      </c>
      <c r="K95" s="30">
        <f t="shared" si="42"/>
        <v>1</v>
      </c>
      <c r="L95" s="30">
        <f>'2.4'!D14</f>
        <v>1</v>
      </c>
    </row>
    <row r="96" spans="1:12" x14ac:dyDescent="0.3">
      <c r="A96" s="1" t="str">
        <v>Sites - Distribution Secondary</v>
      </c>
      <c r="B96" s="30">
        <f t="shared" ref="B96:J96" si="51">B15*$L96</f>
        <v>0.73897989997798541</v>
      </c>
      <c r="C96" s="30">
        <f t="shared" si="51"/>
        <v>8.6023824719091133E-2</v>
      </c>
      <c r="D96" s="30">
        <f t="shared" si="51"/>
        <v>5.7482638464224009E-3</v>
      </c>
      <c r="E96" s="30">
        <f t="shared" si="51"/>
        <v>8.7902851005445842E-2</v>
      </c>
      <c r="F96" s="30">
        <f t="shared" si="51"/>
        <v>1.8256574924227432E-2</v>
      </c>
      <c r="G96" s="30">
        <f t="shared" si="51"/>
        <v>3.1687721397106079E-3</v>
      </c>
      <c r="H96" s="30">
        <f t="shared" si="51"/>
        <v>6.6710992414960164E-5</v>
      </c>
      <c r="I96" s="30">
        <f t="shared" si="51"/>
        <v>5.6562026768897565E-2</v>
      </c>
      <c r="J96" s="30">
        <f t="shared" si="51"/>
        <v>3.2910756258047015E-3</v>
      </c>
      <c r="K96" s="30">
        <f t="shared" si="42"/>
        <v>0.99999999999999978</v>
      </c>
      <c r="L96" s="30">
        <f>'2.4'!D15</f>
        <v>1</v>
      </c>
    </row>
    <row r="97" spans="1:12" x14ac:dyDescent="0.3">
      <c r="A97" s="1" t="str">
        <v>Sites - Mass Market</v>
      </c>
      <c r="B97" s="30">
        <f t="shared" ref="B97:J97" si="52">B16*$L97</f>
        <v>0.78874041725013644</v>
      </c>
      <c r="C97" s="30">
        <f t="shared" si="52"/>
        <v>9.1816390952460067E-2</v>
      </c>
      <c r="D97" s="30">
        <f t="shared" si="52"/>
        <v>6.1353333491562436E-3</v>
      </c>
      <c r="E97" s="30">
        <f t="shared" si="52"/>
        <v>9.3821944793867046E-2</v>
      </c>
      <c r="F97" s="30">
        <f t="shared" si="52"/>
        <v>1.9485913654380176E-2</v>
      </c>
      <c r="G97" s="30">
        <f t="shared" si="52"/>
        <v>0</v>
      </c>
      <c r="H97" s="30">
        <f t="shared" si="52"/>
        <v>0</v>
      </c>
      <c r="I97" s="30">
        <f t="shared" si="52"/>
        <v>0</v>
      </c>
      <c r="J97" s="30">
        <f t="shared" si="52"/>
        <v>0</v>
      </c>
      <c r="K97" s="30">
        <f t="shared" si="42"/>
        <v>1</v>
      </c>
      <c r="L97" s="30">
        <f>'2.4'!D16</f>
        <v>1</v>
      </c>
    </row>
    <row r="98" spans="1:12" x14ac:dyDescent="0.3">
      <c r="A98" s="1" t="str">
        <v>Service Lines</v>
      </c>
      <c r="B98" s="30">
        <f t="shared" ref="B98:J98" si="53">B17*$L98</f>
        <v>0.72430098684210531</v>
      </c>
      <c r="C98" s="30">
        <f t="shared" si="53"/>
        <v>9.9352384868421059E-2</v>
      </c>
      <c r="D98" s="30">
        <f t="shared" si="53"/>
        <v>6.6303453947368423E-3</v>
      </c>
      <c r="E98" s="30">
        <f t="shared" si="53"/>
        <v>9.5574629934210523E-2</v>
      </c>
      <c r="F98" s="30">
        <f t="shared" si="53"/>
        <v>2.3720189144736843E-2</v>
      </c>
      <c r="G98" s="30">
        <f t="shared" si="53"/>
        <v>9.5343338815789477E-3</v>
      </c>
      <c r="H98" s="30">
        <f t="shared" si="53"/>
        <v>8.4806743421052635E-4</v>
      </c>
      <c r="I98" s="30">
        <f t="shared" si="53"/>
        <v>3.7828947368421052E-2</v>
      </c>
      <c r="J98" s="30">
        <f t="shared" si="53"/>
        <v>2.2101151315789473E-3</v>
      </c>
      <c r="K98" s="30">
        <f t="shared" si="42"/>
        <v>1</v>
      </c>
      <c r="L98" s="30">
        <f>'2.4'!D17</f>
        <v>1</v>
      </c>
    </row>
    <row r="99" spans="1:12" x14ac:dyDescent="0.3">
      <c r="A99" s="1" t="str">
        <v>Meter Assets</v>
      </c>
      <c r="B99" s="30">
        <f t="shared" ref="B99:J99" si="54">B18*$L99</f>
        <v>0.53210865127963569</v>
      </c>
      <c r="C99" s="30">
        <f t="shared" si="54"/>
        <v>6.1862144763699167E-2</v>
      </c>
      <c r="D99" s="30">
        <f t="shared" si="54"/>
        <v>4.0822735123253254E-3</v>
      </c>
      <c r="E99" s="30">
        <f t="shared" si="54"/>
        <v>0.31841733396137539</v>
      </c>
      <c r="F99" s="30">
        <f t="shared" si="54"/>
        <v>6.610142879572932E-2</v>
      </c>
      <c r="G99" s="30">
        <f t="shared" si="54"/>
        <v>1.1461767938451876E-2</v>
      </c>
      <c r="H99" s="30">
        <f t="shared" si="54"/>
        <v>5.9663997487831681E-3</v>
      </c>
      <c r="I99" s="30">
        <f t="shared" si="54"/>
        <v>0</v>
      </c>
      <c r="J99" s="30">
        <f t="shared" si="54"/>
        <v>0</v>
      </c>
      <c r="K99" s="30">
        <f t="shared" si="42"/>
        <v>1</v>
      </c>
      <c r="L99" s="30">
        <f>'2.4'!D18</f>
        <v>1</v>
      </c>
    </row>
    <row r="100" spans="1:12" x14ac:dyDescent="0.3">
      <c r="A100" s="1" t="str">
        <v>Meter Reading</v>
      </c>
      <c r="B100" s="30">
        <f t="shared" ref="B100:J100" si="55">B19*$L100</f>
        <v>0.82521689196529724</v>
      </c>
      <c r="C100" s="30">
        <f t="shared" si="55"/>
        <v>5.6036503034159517E-2</v>
      </c>
      <c r="D100" s="30">
        <f t="shared" si="55"/>
        <v>6.4190709729486442E-3</v>
      </c>
      <c r="E100" s="30">
        <f t="shared" si="55"/>
        <v>9.8160880294259151E-2</v>
      </c>
      <c r="F100" s="30">
        <f t="shared" si="55"/>
        <v>1.0193534369034501E-2</v>
      </c>
      <c r="G100" s="30">
        <f t="shared" si="55"/>
        <v>3.5385594338304908E-3</v>
      </c>
      <c r="H100" s="30">
        <f t="shared" si="55"/>
        <v>4.3455993047041111E-4</v>
      </c>
      <c r="I100" s="30">
        <f t="shared" si="55"/>
        <v>0</v>
      </c>
      <c r="J100" s="30">
        <f t="shared" si="55"/>
        <v>0</v>
      </c>
      <c r="K100" s="30">
        <f t="shared" si="42"/>
        <v>1</v>
      </c>
      <c r="L100" s="30">
        <f>'2.4'!D19</f>
        <v>1</v>
      </c>
    </row>
    <row r="101" spans="1:12" x14ac:dyDescent="0.3">
      <c r="A101" s="1" t="str">
        <v>Billing</v>
      </c>
      <c r="B101" s="30">
        <f t="shared" ref="B101:J101" si="56">B20*$L101</f>
        <v>0.78337712340943799</v>
      </c>
      <c r="C101" s="30">
        <f t="shared" si="56"/>
        <v>5.3195365945890201E-2</v>
      </c>
      <c r="D101" s="30">
        <f t="shared" si="56"/>
        <v>6.0936141791447917E-3</v>
      </c>
      <c r="E101" s="30">
        <f t="shared" si="56"/>
        <v>9.3183972341042018E-2</v>
      </c>
      <c r="F101" s="30">
        <f t="shared" si="56"/>
        <v>9.6767064624330261E-3</v>
      </c>
      <c r="G101" s="30">
        <f t="shared" si="56"/>
        <v>3.3591490155827192E-3</v>
      </c>
      <c r="H101" s="30">
        <f t="shared" si="56"/>
        <v>2.0626353604455291E-3</v>
      </c>
      <c r="I101" s="30">
        <f t="shared" si="56"/>
        <v>3.6734553562220379E-3</v>
      </c>
      <c r="J101" s="30">
        <f t="shared" si="56"/>
        <v>4.5377977929801645E-2</v>
      </c>
      <c r="K101" s="30">
        <f t="shared" si="42"/>
        <v>1</v>
      </c>
      <c r="L101" s="30">
        <f>'2.4'!D20</f>
        <v>1</v>
      </c>
    </row>
    <row r="102" spans="1:12" x14ac:dyDescent="0.3">
      <c r="A102" s="1" t="str">
        <v>Remittance &amp; Collection</v>
      </c>
      <c r="B102" s="30">
        <f t="shared" ref="B102:J102" si="57">B21*$L102</f>
        <v>0.81818780543501213</v>
      </c>
      <c r="C102" s="30">
        <f t="shared" si="57"/>
        <v>5.555919163576626E-2</v>
      </c>
      <c r="D102" s="30">
        <f t="shared" si="57"/>
        <v>6.364394189484552E-3</v>
      </c>
      <c r="E102" s="30">
        <f t="shared" si="57"/>
        <v>9.7324759114245388E-2</v>
      </c>
      <c r="F102" s="30">
        <f t="shared" si="57"/>
        <v>1.0106707213862316E-2</v>
      </c>
      <c r="G102" s="30">
        <f t="shared" si="57"/>
        <v>3.5084184603541534E-3</v>
      </c>
      <c r="H102" s="30">
        <f t="shared" si="57"/>
        <v>8.6171681482382717E-5</v>
      </c>
      <c r="I102" s="30">
        <f t="shared" si="57"/>
        <v>5.2187211671092552E-3</v>
      </c>
      <c r="J102" s="30">
        <f t="shared" si="57"/>
        <v>3.6438311026836122E-3</v>
      </c>
      <c r="K102" s="30">
        <f t="shared" si="42"/>
        <v>1</v>
      </c>
      <c r="L102" s="30">
        <f>'2.4'!D21</f>
        <v>1</v>
      </c>
    </row>
    <row r="103" spans="1:12" x14ac:dyDescent="0.3">
      <c r="A103" s="1" t="str">
        <v>Service Connection Revenue</v>
      </c>
      <c r="B103" s="30">
        <f t="shared" ref="B103:J103" si="58">B22*$L103</f>
        <v>0.85224839400428265</v>
      </c>
      <c r="C103" s="30">
        <f t="shared" si="58"/>
        <v>6.852248394004283E-2</v>
      </c>
      <c r="D103" s="30">
        <f t="shared" si="58"/>
        <v>0</v>
      </c>
      <c r="E103" s="30">
        <f t="shared" si="58"/>
        <v>6.638115631691649E-2</v>
      </c>
      <c r="F103" s="30">
        <f t="shared" si="58"/>
        <v>1.284796573875803E-2</v>
      </c>
      <c r="G103" s="30">
        <f t="shared" si="58"/>
        <v>0</v>
      </c>
      <c r="H103" s="30">
        <f t="shared" si="58"/>
        <v>0</v>
      </c>
      <c r="I103" s="30">
        <f t="shared" si="58"/>
        <v>0</v>
      </c>
      <c r="J103" s="30">
        <f t="shared" si="58"/>
        <v>0</v>
      </c>
      <c r="K103" s="30">
        <f t="shared" si="42"/>
        <v>0.99999999999999989</v>
      </c>
      <c r="L103" s="30">
        <f>'2.4'!D22</f>
        <v>1</v>
      </c>
    </row>
    <row r="104" spans="1:12" x14ac:dyDescent="0.3">
      <c r="A104" s="1" t="str">
        <v>Penalty Revenue</v>
      </c>
      <c r="B104" s="30">
        <f t="shared" ref="B104:J104" si="59">B23*$L104</f>
        <v>0.7752808988764045</v>
      </c>
      <c r="C104" s="30">
        <f t="shared" si="59"/>
        <v>2.5682182985553772E-2</v>
      </c>
      <c r="D104" s="30">
        <f t="shared" si="59"/>
        <v>1.6051364365971106E-2</v>
      </c>
      <c r="E104" s="30">
        <f t="shared" si="59"/>
        <v>0.13001605136436598</v>
      </c>
      <c r="F104" s="30">
        <f t="shared" si="59"/>
        <v>8.0256821829855531E-3</v>
      </c>
      <c r="G104" s="30">
        <f t="shared" si="59"/>
        <v>4.3338683788121987E-2</v>
      </c>
      <c r="H104" s="30">
        <f t="shared" si="59"/>
        <v>0</v>
      </c>
      <c r="I104" s="30">
        <f t="shared" si="59"/>
        <v>1.6051364365971107E-3</v>
      </c>
      <c r="J104" s="30">
        <f t="shared" si="59"/>
        <v>0</v>
      </c>
      <c r="K104" s="30">
        <f t="shared" si="42"/>
        <v>1.0000000000000002</v>
      </c>
      <c r="L104" s="30">
        <f>'2.4'!D23</f>
        <v>1</v>
      </c>
    </row>
    <row r="105" spans="1:12" x14ac:dyDescent="0.3">
      <c r="A105" s="1" t="str">
        <v>Lighting Direct Assign</v>
      </c>
      <c r="B105" s="30">
        <f t="shared" ref="B105:J105" si="60">B24*$L105</f>
        <v>0</v>
      </c>
      <c r="C105" s="30">
        <f t="shared" si="60"/>
        <v>0</v>
      </c>
      <c r="D105" s="30">
        <f t="shared" si="60"/>
        <v>0</v>
      </c>
      <c r="E105" s="30">
        <f t="shared" si="60"/>
        <v>0</v>
      </c>
      <c r="F105" s="30">
        <f t="shared" si="60"/>
        <v>0</v>
      </c>
      <c r="G105" s="30">
        <f t="shared" si="60"/>
        <v>0</v>
      </c>
      <c r="H105" s="30">
        <f t="shared" si="60"/>
        <v>0</v>
      </c>
      <c r="I105" s="30">
        <f t="shared" si="60"/>
        <v>1</v>
      </c>
      <c r="J105" s="30">
        <f t="shared" si="60"/>
        <v>0</v>
      </c>
      <c r="K105" s="30">
        <f t="shared" si="42"/>
        <v>1</v>
      </c>
      <c r="L105" s="30">
        <f>'2.4'!D24</f>
        <v>1</v>
      </c>
    </row>
    <row r="106" spans="1:12" x14ac:dyDescent="0.3">
      <c r="A106" s="1" t="str">
        <v>MECL Generation</v>
      </c>
      <c r="B106" s="30">
        <f>IFERROR(SUMPRODUCT(B$87:B$105,'2.4'!$B$33:$B$51)/$L106,0)</f>
        <v>0</v>
      </c>
      <c r="C106" s="30">
        <f>IFERROR(SUMPRODUCT(C$87:C$105,'2.4'!$B$33:$B$51)/$L106,0)</f>
        <v>0</v>
      </c>
      <c r="D106" s="30">
        <f>IFERROR(SUMPRODUCT(D$87:D$105,'2.4'!$B$33:$B$51)/$L106,0)</f>
        <v>0</v>
      </c>
      <c r="E106" s="30">
        <f>IFERROR(SUMPRODUCT(E$87:E$105,'2.4'!$B$33:$B$51)/$L106,0)</f>
        <v>0</v>
      </c>
      <c r="F106" s="30">
        <f>IFERROR(SUMPRODUCT(F$87:F$105,'2.4'!$B$33:$B$51)/$L106,0)</f>
        <v>0</v>
      </c>
      <c r="G106" s="30">
        <f>IFERROR(SUMPRODUCT(G$87:G$105,'2.4'!$B$33:$B$51)/$L106,0)</f>
        <v>0</v>
      </c>
      <c r="H106" s="30">
        <f>IFERROR(SUMPRODUCT(H$87:H$105,'2.4'!$B$33:$B$51)/$L106,0)</f>
        <v>0</v>
      </c>
      <c r="I106" s="30">
        <f>IFERROR(SUMPRODUCT(I$87:I$105,'2.4'!$B$33:$B$51)/$L106,0)</f>
        <v>0</v>
      </c>
      <c r="J106" s="30">
        <f>IFERROR(SUMPRODUCT(J$87:J$105,'2.4'!$B$33:$B$51)/$L106,0)</f>
        <v>0</v>
      </c>
      <c r="K106" s="30">
        <f t="shared" si="42"/>
        <v>0</v>
      </c>
      <c r="L106" s="30">
        <f>'2.4'!D25</f>
        <v>0</v>
      </c>
    </row>
    <row r="107" spans="1:12" x14ac:dyDescent="0.3">
      <c r="A107" s="1" t="str">
        <v>MECL Purchases</v>
      </c>
      <c r="B107" s="30">
        <f>IFERROR(SUMPRODUCT(B$87:B$105,'2.4'!$C$33:$C$51)/$L107,0)</f>
        <v>0</v>
      </c>
      <c r="C107" s="30">
        <f>IFERROR(SUMPRODUCT(C$87:C$105,'2.4'!$C$33:$C$51)/$L107,0)</f>
        <v>0</v>
      </c>
      <c r="D107" s="30">
        <f>IFERROR(SUMPRODUCT(D$87:D$105,'2.4'!$C$33:$C$51)/$L107,0)</f>
        <v>0</v>
      </c>
      <c r="E107" s="30">
        <f>IFERROR(SUMPRODUCT(E$87:E$105,'2.4'!$C$33:$C$51)/$L107,0)</f>
        <v>0</v>
      </c>
      <c r="F107" s="30">
        <f>IFERROR(SUMPRODUCT(F$87:F$105,'2.4'!$C$33:$C$51)/$L107,0)</f>
        <v>0</v>
      </c>
      <c r="G107" s="30">
        <f>IFERROR(SUMPRODUCT(G$87:G$105,'2.4'!$C$33:$C$51)/$L107,0)</f>
        <v>0</v>
      </c>
      <c r="H107" s="30">
        <f>IFERROR(SUMPRODUCT(H$87:H$105,'2.4'!$C$33:$C$51)/$L107,0)</f>
        <v>0</v>
      </c>
      <c r="I107" s="30">
        <f>IFERROR(SUMPRODUCT(I$87:I$105,'2.4'!$C$33:$C$51)/$L107,0)</f>
        <v>0</v>
      </c>
      <c r="J107" s="30">
        <f>IFERROR(SUMPRODUCT(J$87:J$105,'2.4'!$C$33:$C$51)/$L107,0)</f>
        <v>0</v>
      </c>
      <c r="K107" s="30">
        <f t="shared" si="42"/>
        <v>0</v>
      </c>
      <c r="L107" s="30">
        <f>'2.4'!D26</f>
        <v>0</v>
      </c>
    </row>
    <row r="108" spans="1:12" x14ac:dyDescent="0.3">
      <c r="A108" s="1" t="str">
        <v>Primary System</v>
      </c>
      <c r="B108" s="30">
        <f>IFERROR(SUMPRODUCT(B$87:B$105,'2.4'!$D$33:$D$51)/$L108,0)</f>
        <v>0.73897168372225408</v>
      </c>
      <c r="C108" s="30">
        <f>IFERROR(SUMPRODUCT(C$87:C$105,'2.4'!$D$33:$D$51)/$L108,0)</f>
        <v>8.6022868273938971E-2</v>
      </c>
      <c r="D108" s="30">
        <f>IFERROR(SUMPRODUCT(D$87:D$105,'2.4'!$D$33:$D$51)/$L108,0)</f>
        <v>5.7481999350686899E-3</v>
      </c>
      <c r="E108" s="30">
        <f>IFERROR(SUMPRODUCT(E$87:E$105,'2.4'!$D$33:$D$51)/$L108,0)</f>
        <v>8.7901873668574576E-2</v>
      </c>
      <c r="F108" s="30">
        <f>IFERROR(SUMPRODUCT(F$87:F$105,'2.4'!$D$33:$D$51)/$L108,0)</f>
        <v>1.8256371940779087E-2</v>
      </c>
      <c r="G108" s="30">
        <f>IFERROR(SUMPRODUCT(G$87:G$105,'2.4'!$D$33:$D$51)/$L108,0)</f>
        <v>3.1687369081133008E-3</v>
      </c>
      <c r="H108" s="30">
        <f>IFERROR(SUMPRODUCT(H$87:H$105,'2.4'!$D$33:$D$51)/$L108,0)</f>
        <v>7.7828625813309148E-5</v>
      </c>
      <c r="I108" s="30">
        <f>IFERROR(SUMPRODUCT(I$87:I$105,'2.4'!$D$33:$D$51)/$L108,0)</f>
        <v>5.6561397891066616E-2</v>
      </c>
      <c r="J108" s="30">
        <f>IFERROR(SUMPRODUCT(J$87:J$105,'2.4'!$D$33:$D$51)/$L108,0)</f>
        <v>3.2910390343913582E-3</v>
      </c>
      <c r="K108" s="30">
        <f t="shared" si="42"/>
        <v>1</v>
      </c>
      <c r="L108" s="30">
        <f>'2.4'!D27</f>
        <v>0.5</v>
      </c>
    </row>
    <row r="109" spans="1:12" x14ac:dyDescent="0.3">
      <c r="A109" s="1" t="str">
        <v>Distribution Transformers</v>
      </c>
      <c r="B109" s="30">
        <f>IFERROR(SUMPRODUCT(B$87:B$105,'2.4'!$E$33:$E$51)/$L109,0)</f>
        <v>0.73897989997798541</v>
      </c>
      <c r="C109" s="30">
        <f>IFERROR(SUMPRODUCT(C$87:C$105,'2.4'!$E$33:$E$51)/$L109,0)</f>
        <v>8.6023824719091119E-2</v>
      </c>
      <c r="D109" s="30">
        <f>IFERROR(SUMPRODUCT(D$87:D$105,'2.4'!$E$33:$E$51)/$L109,0)</f>
        <v>5.7482638464224009E-3</v>
      </c>
      <c r="E109" s="30">
        <f>IFERROR(SUMPRODUCT(E$87:E$105,'2.4'!$E$33:$E$51)/$L109,0)</f>
        <v>8.7902851005445842E-2</v>
      </c>
      <c r="F109" s="30">
        <f>IFERROR(SUMPRODUCT(F$87:F$105,'2.4'!$E$33:$E$51)/$L109,0)</f>
        <v>1.8256574924227432E-2</v>
      </c>
      <c r="G109" s="30">
        <f>IFERROR(SUMPRODUCT(G$87:G$105,'2.4'!$E$33:$E$51)/$L109,0)</f>
        <v>3.1687721397106084E-3</v>
      </c>
      <c r="H109" s="30">
        <f>IFERROR(SUMPRODUCT(H$87:H$105,'2.4'!$E$33:$E$51)/$L109,0)</f>
        <v>6.6710992414960164E-5</v>
      </c>
      <c r="I109" s="30">
        <f>IFERROR(SUMPRODUCT(I$87:I$105,'2.4'!$E$33:$E$51)/$L109,0)</f>
        <v>5.6562026768897565E-2</v>
      </c>
      <c r="J109" s="30">
        <f>IFERROR(SUMPRODUCT(J$87:J$105,'2.4'!$E$33:$E$51)/$L109,0)</f>
        <v>3.291075625804702E-3</v>
      </c>
      <c r="K109" s="30">
        <f t="shared" si="42"/>
        <v>0.99999999999999978</v>
      </c>
      <c r="L109" s="30">
        <f>'2.4'!D28</f>
        <v>0.4</v>
      </c>
    </row>
    <row r="110" spans="1:12" x14ac:dyDescent="0.3">
      <c r="A110" s="1" t="str">
        <v>Secondary System</v>
      </c>
      <c r="B110" s="30">
        <f>IFERROR(SUMPRODUCT(B$87:B$105,'2.4'!$F$33:$F$51)/$L110,0)</f>
        <v>0.73897989997798541</v>
      </c>
      <c r="C110" s="30">
        <f>IFERROR(SUMPRODUCT(C$87:C$105,'2.4'!$F$33:$F$51)/$L110,0)</f>
        <v>8.6023824719091133E-2</v>
      </c>
      <c r="D110" s="30">
        <f>IFERROR(SUMPRODUCT(D$87:D$105,'2.4'!$F$33:$F$51)/$L110,0)</f>
        <v>5.7482638464224009E-3</v>
      </c>
      <c r="E110" s="30">
        <f>IFERROR(SUMPRODUCT(E$87:E$105,'2.4'!$F$33:$F$51)/$L110,0)</f>
        <v>8.7902851005445842E-2</v>
      </c>
      <c r="F110" s="30">
        <f>IFERROR(SUMPRODUCT(F$87:F$105,'2.4'!$F$33:$F$51)/$L110,0)</f>
        <v>1.8256574924227432E-2</v>
      </c>
      <c r="G110" s="30">
        <f>IFERROR(SUMPRODUCT(G$87:G$105,'2.4'!$F$33:$F$51)/$L110,0)</f>
        <v>3.1687721397106079E-3</v>
      </c>
      <c r="H110" s="30">
        <f>IFERROR(SUMPRODUCT(H$87:H$105,'2.4'!$F$33:$F$51)/$L110,0)</f>
        <v>6.6710992414960164E-5</v>
      </c>
      <c r="I110" s="30">
        <f>IFERROR(SUMPRODUCT(I$87:I$105,'2.4'!$F$33:$F$51)/$L110,0)</f>
        <v>5.6562026768897565E-2</v>
      </c>
      <c r="J110" s="30">
        <f>IFERROR(SUMPRODUCT(J$87:J$105,'2.4'!$F$33:$F$51)/$L110,0)</f>
        <v>3.2910756258047015E-3</v>
      </c>
      <c r="K110" s="30">
        <f t="shared" si="42"/>
        <v>0.99999999999999978</v>
      </c>
      <c r="L110" s="30">
        <f>'2.4'!D29</f>
        <v>0.5</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30" max="16383" man="1"/>
    <brk id="57" max="16383" man="1"/>
    <brk id="8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P46"/>
  <sheetViews>
    <sheetView topLeftCell="A21" zoomScale="80" zoomScaleNormal="80" zoomScaleSheetLayoutView="40" workbookViewId="0">
      <selection activeCell="E21" sqref="E21"/>
    </sheetView>
  </sheetViews>
  <sheetFormatPr defaultColWidth="8.7109375" defaultRowHeight="13.5" x14ac:dyDescent="0.3"/>
  <cols>
    <col min="1" max="1" width="25.7109375" style="5" customWidth="1"/>
    <col min="2" max="11" width="9.7109375" style="5" customWidth="1"/>
    <col min="12" max="16384" width="8.7109375" style="5"/>
  </cols>
  <sheetData>
    <row r="1" spans="1:12" x14ac:dyDescent="0.3">
      <c r="A1" s="5" t="s">
        <v>516</v>
      </c>
    </row>
    <row r="2" spans="1:12" x14ac:dyDescent="0.3">
      <c r="A2" s="44" t="s">
        <v>705</v>
      </c>
    </row>
    <row r="4" spans="1:12" x14ac:dyDescent="0.3">
      <c r="A4" s="5" t="s">
        <v>518</v>
      </c>
    </row>
    <row r="5" spans="1:12" ht="33" customHeight="1" x14ac:dyDescent="0.3">
      <c r="B5" s="17" t="str">
        <f t="array" ref="B5:J5">TRANSPOSE(List_Classes)</f>
        <v>Residential</v>
      </c>
      <c r="C5" s="17" t="str">
        <v>Residential (S)</v>
      </c>
      <c r="D5" s="17" t="str">
        <v>Farm</v>
      </c>
      <c r="E5" s="17" t="str">
        <v>General Service 1</v>
      </c>
      <c r="F5" s="17" t="str">
        <v>General Service 1 (S)</v>
      </c>
      <c r="G5" s="17" t="str">
        <v>Small Industrial</v>
      </c>
      <c r="H5" s="17" t="str">
        <v>Large Industrial</v>
      </c>
      <c r="I5" s="17" t="str">
        <v>Lights</v>
      </c>
      <c r="J5" s="17" t="str">
        <v>Unmetered</v>
      </c>
      <c r="K5" s="12" t="s">
        <v>214</v>
      </c>
    </row>
    <row r="6" spans="1:12" ht="14" x14ac:dyDescent="0.3">
      <c r="A6" s="5" t="s">
        <v>17</v>
      </c>
      <c r="B6">
        <v>424</v>
      </c>
      <c r="C6">
        <v>500</v>
      </c>
      <c r="D6">
        <v>500</v>
      </c>
      <c r="E6">
        <v>470</v>
      </c>
      <c r="F6">
        <v>562</v>
      </c>
      <c r="G6" s="60">
        <v>1304</v>
      </c>
      <c r="H6" s="60">
        <v>4739</v>
      </c>
      <c r="I6">
        <v>289</v>
      </c>
      <c r="J6">
        <v>289</v>
      </c>
      <c r="K6" s="5">
        <f>SUM(B6:J6)</f>
        <v>9077</v>
      </c>
      <c r="L6" s="44"/>
    </row>
    <row r="7" spans="1:12" ht="14" x14ac:dyDescent="0.3">
      <c r="A7" s="5" t="s">
        <v>18</v>
      </c>
      <c r="B7">
        <v>51</v>
      </c>
      <c r="C7">
        <v>51</v>
      </c>
      <c r="D7">
        <v>51</v>
      </c>
      <c r="E7">
        <v>257</v>
      </c>
      <c r="F7">
        <v>257</v>
      </c>
      <c r="G7">
        <v>257</v>
      </c>
      <c r="H7" s="60">
        <v>5388</v>
      </c>
      <c r="I7">
        <v>0</v>
      </c>
      <c r="J7">
        <v>0</v>
      </c>
      <c r="K7" s="5">
        <f t="shared" ref="K7:K10" si="0">SUM(B7:J7)</f>
        <v>6312</v>
      </c>
      <c r="L7" s="44"/>
    </row>
    <row r="8" spans="1:12" ht="14" x14ac:dyDescent="0.3">
      <c r="A8" s="5" t="s">
        <v>19</v>
      </c>
      <c r="B8">
        <v>12</v>
      </c>
      <c r="C8">
        <v>7</v>
      </c>
      <c r="D8">
        <v>12</v>
      </c>
      <c r="E8">
        <v>12</v>
      </c>
      <c r="F8">
        <v>6</v>
      </c>
      <c r="G8">
        <v>12</v>
      </c>
      <c r="H8">
        <v>60</v>
      </c>
      <c r="I8">
        <v>0</v>
      </c>
      <c r="J8">
        <v>0</v>
      </c>
      <c r="K8" s="5">
        <f t="shared" si="0"/>
        <v>121</v>
      </c>
    </row>
    <row r="9" spans="1:12" ht="14" x14ac:dyDescent="0.3">
      <c r="A9" s="5" t="s">
        <v>20</v>
      </c>
      <c r="B9">
        <v>12</v>
      </c>
      <c r="C9">
        <v>7</v>
      </c>
      <c r="D9">
        <v>12</v>
      </c>
      <c r="E9">
        <v>12</v>
      </c>
      <c r="F9">
        <v>6</v>
      </c>
      <c r="G9">
        <v>12</v>
      </c>
      <c r="H9">
        <v>300</v>
      </c>
      <c r="I9">
        <v>1</v>
      </c>
      <c r="J9">
        <v>300</v>
      </c>
      <c r="K9" s="5">
        <f t="shared" si="0"/>
        <v>662</v>
      </c>
    </row>
    <row r="10" spans="1:12" ht="14" x14ac:dyDescent="0.3">
      <c r="A10" s="5" t="s">
        <v>21</v>
      </c>
      <c r="B10">
        <v>12</v>
      </c>
      <c r="C10">
        <v>7</v>
      </c>
      <c r="D10">
        <v>12</v>
      </c>
      <c r="E10">
        <v>12</v>
      </c>
      <c r="F10">
        <v>6</v>
      </c>
      <c r="G10">
        <v>12</v>
      </c>
      <c r="H10">
        <v>12</v>
      </c>
      <c r="I10">
        <v>1</v>
      </c>
      <c r="J10">
        <v>12</v>
      </c>
      <c r="K10" s="5">
        <f t="shared" si="0"/>
        <v>86</v>
      </c>
    </row>
    <row r="11" spans="1:12" ht="14" x14ac:dyDescent="0.3">
      <c r="A11" s="5" t="s">
        <v>603</v>
      </c>
      <c r="B11"/>
      <c r="C11"/>
      <c r="D11"/>
      <c r="E11"/>
      <c r="F11"/>
      <c r="G11"/>
      <c r="H11"/>
      <c r="I11">
        <v>0.4</v>
      </c>
      <c r="J11">
        <v>0.4</v>
      </c>
    </row>
    <row r="13" spans="1:12" x14ac:dyDescent="0.3">
      <c r="A13" s="5" t="s">
        <v>517</v>
      </c>
    </row>
    <row r="14" spans="1:12" ht="40.5" x14ac:dyDescent="0.3">
      <c r="B14" s="17" t="str">
        <f t="array" ref="B14:J14">TRANSPOSE(List_Classes)</f>
        <v>Residential</v>
      </c>
      <c r="C14" s="17" t="str">
        <v>Residential (S)</v>
      </c>
      <c r="D14" s="17" t="str">
        <v>Farm</v>
      </c>
      <c r="E14" s="17" t="str">
        <v>General Service 1</v>
      </c>
      <c r="F14" s="17" t="str">
        <v>General Service 1 (S)</v>
      </c>
      <c r="G14" s="17" t="str">
        <v>Small Industrial</v>
      </c>
      <c r="H14" s="17" t="str">
        <v>Large Industrial</v>
      </c>
      <c r="I14" s="17" t="str">
        <v>Lights</v>
      </c>
      <c r="J14" s="17" t="str">
        <v>Unmetered</v>
      </c>
      <c r="K14" s="12" t="s">
        <v>214</v>
      </c>
    </row>
    <row r="15" spans="1:12" x14ac:dyDescent="0.3">
      <c r="A15" s="5" t="s">
        <v>524</v>
      </c>
      <c r="B15" s="6">
        <v>231276</v>
      </c>
      <c r="C15" s="6">
        <v>4314</v>
      </c>
      <c r="D15" s="6">
        <v>7922</v>
      </c>
      <c r="E15" s="6">
        <v>70414</v>
      </c>
      <c r="F15" s="6">
        <v>29</v>
      </c>
      <c r="G15" s="6">
        <v>23441</v>
      </c>
      <c r="H15" s="6">
        <v>19618</v>
      </c>
      <c r="I15" s="6">
        <v>1073</v>
      </c>
      <c r="J15" s="6">
        <v>376</v>
      </c>
      <c r="K15" s="5">
        <f t="shared" ref="K15:K33" si="1">SUM(B15:J15)</f>
        <v>358463</v>
      </c>
      <c r="L15" s="1"/>
    </row>
    <row r="16" spans="1:12" x14ac:dyDescent="0.3">
      <c r="A16" s="5" t="s">
        <v>663</v>
      </c>
      <c r="B16" s="6">
        <v>231276</v>
      </c>
      <c r="C16" s="6">
        <v>4314</v>
      </c>
      <c r="D16" s="6">
        <v>7922</v>
      </c>
      <c r="E16" s="6">
        <v>69760</v>
      </c>
      <c r="F16" s="6">
        <v>29</v>
      </c>
      <c r="G16" s="6">
        <v>23441</v>
      </c>
      <c r="H16" s="6">
        <v>4584</v>
      </c>
      <c r="I16" s="6">
        <v>1073</v>
      </c>
      <c r="J16" s="6">
        <v>376</v>
      </c>
      <c r="K16" s="5">
        <f t="shared" si="1"/>
        <v>342775</v>
      </c>
      <c r="L16" s="1"/>
    </row>
    <row r="17" spans="1:16" x14ac:dyDescent="0.3">
      <c r="A17" s="5" t="s">
        <v>525</v>
      </c>
      <c r="B17" s="6">
        <v>226921</v>
      </c>
      <c r="C17" s="6">
        <v>4233</v>
      </c>
      <c r="D17" s="6">
        <v>7773</v>
      </c>
      <c r="E17" s="6">
        <v>69088</v>
      </c>
      <c r="F17" s="6">
        <v>29</v>
      </c>
      <c r="G17" s="6">
        <v>23000</v>
      </c>
      <c r="H17" s="6">
        <v>19249</v>
      </c>
      <c r="I17" s="6">
        <v>1053</v>
      </c>
      <c r="J17" s="6">
        <v>369</v>
      </c>
      <c r="K17" s="5">
        <f t="shared" si="1"/>
        <v>351715</v>
      </c>
      <c r="L17" s="1"/>
    </row>
    <row r="18" spans="1:16" x14ac:dyDescent="0.3">
      <c r="A18" s="5" t="s">
        <v>526</v>
      </c>
      <c r="B18" s="6">
        <v>226921</v>
      </c>
      <c r="C18" s="6">
        <v>4233</v>
      </c>
      <c r="D18" s="6">
        <v>7773</v>
      </c>
      <c r="E18" s="6">
        <v>69088</v>
      </c>
      <c r="F18" s="6">
        <v>29</v>
      </c>
      <c r="G18" s="6">
        <v>23000</v>
      </c>
      <c r="H18" s="6">
        <v>4794</v>
      </c>
      <c r="I18" s="6">
        <v>1053</v>
      </c>
      <c r="J18" s="6">
        <v>369</v>
      </c>
      <c r="K18" s="5">
        <f t="shared" si="1"/>
        <v>337260</v>
      </c>
      <c r="L18" s="1"/>
    </row>
    <row r="19" spans="1:16" ht="14" x14ac:dyDescent="0.3">
      <c r="A19" s="5" t="s">
        <v>527</v>
      </c>
      <c r="B19" s="60">
        <v>226921</v>
      </c>
      <c r="C19" s="60">
        <v>7500</v>
      </c>
      <c r="D19" s="60">
        <v>12087</v>
      </c>
      <c r="E19" s="60">
        <v>76112</v>
      </c>
      <c r="F19" s="60">
        <v>3851</v>
      </c>
      <c r="G19" s="60">
        <v>28761</v>
      </c>
      <c r="H19" s="60">
        <v>9837</v>
      </c>
      <c r="I19" s="60">
        <v>1055</v>
      </c>
      <c r="J19">
        <v>375</v>
      </c>
      <c r="K19" s="5">
        <f t="shared" si="1"/>
        <v>366499</v>
      </c>
      <c r="L19" s="1"/>
    </row>
    <row r="20" spans="1:16" ht="14" x14ac:dyDescent="0.3">
      <c r="A20" s="5" t="s">
        <v>528</v>
      </c>
      <c r="B20" s="60">
        <v>214115</v>
      </c>
      <c r="C20" s="60">
        <v>7077</v>
      </c>
      <c r="D20" s="60">
        <v>11405</v>
      </c>
      <c r="E20" s="60">
        <v>71817</v>
      </c>
      <c r="F20" s="60">
        <v>3633</v>
      </c>
      <c r="G20" s="60">
        <v>27138</v>
      </c>
      <c r="H20" s="60">
        <v>9282</v>
      </c>
      <c r="I20">
        <v>996</v>
      </c>
      <c r="J20">
        <v>353</v>
      </c>
      <c r="K20" s="5">
        <f t="shared" si="1"/>
        <v>345816</v>
      </c>
      <c r="L20" s="1"/>
    </row>
    <row r="21" spans="1:16" s="1" customFormat="1" ht="14" x14ac:dyDescent="0.3">
      <c r="A21" s="1" t="s">
        <v>519</v>
      </c>
      <c r="B21" s="60">
        <v>789322</v>
      </c>
      <c r="C21" s="60">
        <v>28129</v>
      </c>
      <c r="D21" s="60">
        <v>51488</v>
      </c>
      <c r="E21" s="60">
        <v>432454</v>
      </c>
      <c r="F21" s="60">
        <v>10718</v>
      </c>
      <c r="G21" s="60">
        <v>98190</v>
      </c>
      <c r="H21" s="60">
        <v>174214</v>
      </c>
      <c r="I21" s="60">
        <v>4200</v>
      </c>
      <c r="J21" s="60">
        <v>2748</v>
      </c>
      <c r="K21" s="5">
        <f t="shared" si="1"/>
        <v>1591463</v>
      </c>
      <c r="P21" s="5"/>
    </row>
    <row r="22" spans="1:16" x14ac:dyDescent="0.3">
      <c r="A22" s="5" t="s">
        <v>32</v>
      </c>
      <c r="B22" s="8">
        <f t="shared" ref="B22:H25" si="2">B$39</f>
        <v>66464</v>
      </c>
      <c r="C22" s="8">
        <f t="shared" si="2"/>
        <v>7737</v>
      </c>
      <c r="D22" s="8">
        <f t="shared" si="2"/>
        <v>517</v>
      </c>
      <c r="E22" s="8">
        <f t="shared" si="2"/>
        <v>7906</v>
      </c>
      <c r="F22" s="8">
        <f t="shared" si="2"/>
        <v>1642</v>
      </c>
      <c r="G22" s="8">
        <f t="shared" si="2"/>
        <v>285</v>
      </c>
      <c r="H22" s="8">
        <f t="shared" si="2"/>
        <v>7</v>
      </c>
      <c r="I22" s="8">
        <f t="shared" ref="I22:J24" si="3">I$41*I$11</f>
        <v>5087.2000000000007</v>
      </c>
      <c r="J22" s="8">
        <f t="shared" si="3"/>
        <v>296</v>
      </c>
      <c r="K22" s="5">
        <f t="shared" si="1"/>
        <v>89941.2</v>
      </c>
    </row>
    <row r="23" spans="1:16" ht="14" x14ac:dyDescent="0.3">
      <c r="A23" s="5" t="s">
        <v>33</v>
      </c>
      <c r="B23" s="8">
        <f t="shared" si="2"/>
        <v>66464</v>
      </c>
      <c r="C23" s="8">
        <f t="shared" si="2"/>
        <v>7737</v>
      </c>
      <c r="D23" s="8">
        <f t="shared" si="2"/>
        <v>517</v>
      </c>
      <c r="E23" s="60">
        <v>7906</v>
      </c>
      <c r="F23" s="8">
        <f t="shared" si="2"/>
        <v>1642</v>
      </c>
      <c r="G23" s="8">
        <f t="shared" si="2"/>
        <v>285</v>
      </c>
      <c r="H23">
        <v>7</v>
      </c>
      <c r="I23" s="8">
        <f t="shared" si="3"/>
        <v>5087.2000000000007</v>
      </c>
      <c r="J23" s="8">
        <f t="shared" si="3"/>
        <v>296</v>
      </c>
      <c r="K23" s="5">
        <f t="shared" si="1"/>
        <v>89941.2</v>
      </c>
    </row>
    <row r="24" spans="1:16" ht="14" x14ac:dyDescent="0.3">
      <c r="A24" s="5" t="s">
        <v>34</v>
      </c>
      <c r="B24" s="8">
        <f t="shared" si="2"/>
        <v>66464</v>
      </c>
      <c r="C24" s="8">
        <f t="shared" si="2"/>
        <v>7737</v>
      </c>
      <c r="D24" s="8">
        <f t="shared" si="2"/>
        <v>517</v>
      </c>
      <c r="E24" s="60">
        <v>7906</v>
      </c>
      <c r="F24" s="8">
        <f t="shared" si="2"/>
        <v>1642</v>
      </c>
      <c r="G24" s="8">
        <f t="shared" si="2"/>
        <v>285</v>
      </c>
      <c r="H24">
        <v>6</v>
      </c>
      <c r="I24" s="8">
        <f t="shared" si="3"/>
        <v>5087.2000000000007</v>
      </c>
      <c r="J24" s="8">
        <f t="shared" si="3"/>
        <v>296</v>
      </c>
      <c r="K24" s="5">
        <f t="shared" si="1"/>
        <v>89940.2</v>
      </c>
    </row>
    <row r="25" spans="1:16" ht="14" x14ac:dyDescent="0.3">
      <c r="A25" s="5" t="s">
        <v>35</v>
      </c>
      <c r="B25" s="8">
        <f t="shared" si="2"/>
        <v>66464</v>
      </c>
      <c r="C25" s="8">
        <f t="shared" si="2"/>
        <v>7737</v>
      </c>
      <c r="D25" s="8">
        <f t="shared" si="2"/>
        <v>517</v>
      </c>
      <c r="E25" s="8">
        <f t="shared" si="2"/>
        <v>7906</v>
      </c>
      <c r="F25" s="8">
        <f t="shared" si="2"/>
        <v>1642</v>
      </c>
      <c r="G25" s="6">
        <v>0</v>
      </c>
      <c r="H25">
        <v>0</v>
      </c>
      <c r="I25" s="6">
        <v>0</v>
      </c>
      <c r="J25" s="6">
        <v>0</v>
      </c>
      <c r="K25" s="5">
        <f t="shared" si="1"/>
        <v>84266</v>
      </c>
    </row>
    <row r="26" spans="1:16" s="10" customFormat="1" ht="14" x14ac:dyDescent="0.3">
      <c r="A26" s="10" t="s">
        <v>520</v>
      </c>
      <c r="B26" s="60">
        <v>28184</v>
      </c>
      <c r="C26" s="60">
        <v>3866</v>
      </c>
      <c r="D26">
        <v>258</v>
      </c>
      <c r="E26" s="60">
        <v>3719</v>
      </c>
      <c r="F26">
        <v>923</v>
      </c>
      <c r="G26">
        <v>371</v>
      </c>
      <c r="H26">
        <v>33</v>
      </c>
      <c r="I26" s="60">
        <v>1472</v>
      </c>
      <c r="J26">
        <v>86</v>
      </c>
      <c r="K26" s="5">
        <f t="shared" si="1"/>
        <v>38912</v>
      </c>
      <c r="L26" s="5"/>
      <c r="P26" s="5"/>
    </row>
    <row r="27" spans="1:16" s="10" customFormat="1" ht="14" x14ac:dyDescent="0.3">
      <c r="A27" s="10" t="s">
        <v>521</v>
      </c>
      <c r="B27" s="60">
        <v>3389</v>
      </c>
      <c r="C27">
        <v>394</v>
      </c>
      <c r="D27">
        <v>26</v>
      </c>
      <c r="E27" s="60">
        <v>2028</v>
      </c>
      <c r="F27">
        <v>421</v>
      </c>
      <c r="G27">
        <v>73</v>
      </c>
      <c r="H27">
        <v>38</v>
      </c>
      <c r="I27">
        <v>0</v>
      </c>
      <c r="J27">
        <v>0</v>
      </c>
      <c r="K27" s="5">
        <f t="shared" si="1"/>
        <v>6369</v>
      </c>
      <c r="L27" s="5"/>
      <c r="P27" s="5"/>
    </row>
    <row r="28" spans="1:16" s="10" customFormat="1" x14ac:dyDescent="0.3">
      <c r="A28" s="10" t="s">
        <v>599</v>
      </c>
      <c r="B28" s="10">
        <f t="shared" ref="B28:J30" si="4">B$22*B8</f>
        <v>797568</v>
      </c>
      <c r="C28" s="10">
        <f>C$22*C8</f>
        <v>54159</v>
      </c>
      <c r="D28" s="10">
        <f t="shared" si="4"/>
        <v>6204</v>
      </c>
      <c r="E28" s="10">
        <f t="shared" si="4"/>
        <v>94872</v>
      </c>
      <c r="F28" s="10">
        <f t="shared" si="4"/>
        <v>9852</v>
      </c>
      <c r="G28" s="10">
        <f t="shared" si="4"/>
        <v>3420</v>
      </c>
      <c r="H28" s="10">
        <f t="shared" si="4"/>
        <v>420</v>
      </c>
      <c r="I28" s="10">
        <f t="shared" si="4"/>
        <v>0</v>
      </c>
      <c r="J28" s="10">
        <f t="shared" si="4"/>
        <v>0</v>
      </c>
      <c r="K28" s="5">
        <f t="shared" si="1"/>
        <v>966495</v>
      </c>
      <c r="L28" s="5"/>
      <c r="P28" s="5"/>
    </row>
    <row r="29" spans="1:16" s="10" customFormat="1" x14ac:dyDescent="0.3">
      <c r="A29" s="10" t="s">
        <v>600</v>
      </c>
      <c r="B29" s="10">
        <f t="shared" si="4"/>
        <v>797568</v>
      </c>
      <c r="C29" s="10">
        <f t="shared" si="4"/>
        <v>54159</v>
      </c>
      <c r="D29" s="10">
        <f t="shared" si="4"/>
        <v>6204</v>
      </c>
      <c r="E29" s="10">
        <f t="shared" si="4"/>
        <v>94872</v>
      </c>
      <c r="F29" s="10">
        <f t="shared" si="4"/>
        <v>9852</v>
      </c>
      <c r="G29" s="10">
        <f t="shared" si="4"/>
        <v>3420</v>
      </c>
      <c r="H29" s="10">
        <f t="shared" si="4"/>
        <v>2100</v>
      </c>
      <c r="I29" s="10">
        <f>I$39*I9</f>
        <v>3740</v>
      </c>
      <c r="J29" s="10">
        <f>J$39*J9</f>
        <v>46200</v>
      </c>
      <c r="K29" s="5">
        <f t="shared" si="1"/>
        <v>1018115</v>
      </c>
      <c r="L29" s="5"/>
      <c r="P29" s="5"/>
    </row>
    <row r="30" spans="1:16" s="10" customFormat="1" x14ac:dyDescent="0.3">
      <c r="A30" s="10" t="s">
        <v>601</v>
      </c>
      <c r="B30" s="10">
        <f t="shared" si="4"/>
        <v>797568</v>
      </c>
      <c r="C30" s="10">
        <f t="shared" si="4"/>
        <v>54159</v>
      </c>
      <c r="D30" s="10">
        <f t="shared" si="4"/>
        <v>6204</v>
      </c>
      <c r="E30" s="10">
        <f t="shared" si="4"/>
        <v>94872</v>
      </c>
      <c r="F30" s="10">
        <f t="shared" si="4"/>
        <v>9852</v>
      </c>
      <c r="G30" s="10">
        <f t="shared" si="4"/>
        <v>3420</v>
      </c>
      <c r="H30" s="10">
        <f t="shared" si="4"/>
        <v>84</v>
      </c>
      <c r="I30" s="10">
        <f t="shared" si="4"/>
        <v>5087.2000000000007</v>
      </c>
      <c r="J30" s="10">
        <f t="shared" si="4"/>
        <v>3552</v>
      </c>
      <c r="K30" s="5">
        <f t="shared" si="1"/>
        <v>974798.2</v>
      </c>
      <c r="L30" s="5"/>
      <c r="P30" s="5"/>
    </row>
    <row r="31" spans="1:16" s="1" customFormat="1" ht="14" x14ac:dyDescent="0.3">
      <c r="A31" s="1" t="s">
        <v>522</v>
      </c>
      <c r="B31">
        <v>398</v>
      </c>
      <c r="C31">
        <v>32</v>
      </c>
      <c r="D31">
        <v>0</v>
      </c>
      <c r="E31">
        <v>31</v>
      </c>
      <c r="F31">
        <v>6</v>
      </c>
      <c r="G31">
        <v>0</v>
      </c>
      <c r="H31">
        <v>0</v>
      </c>
      <c r="I31">
        <v>0</v>
      </c>
      <c r="J31">
        <v>0</v>
      </c>
      <c r="K31" s="5">
        <f t="shared" si="1"/>
        <v>467</v>
      </c>
      <c r="P31" s="5"/>
    </row>
    <row r="32" spans="1:16" s="1" customFormat="1" ht="14" x14ac:dyDescent="0.3">
      <c r="A32" s="1" t="s">
        <v>523</v>
      </c>
      <c r="B32">
        <v>483</v>
      </c>
      <c r="C32">
        <v>16</v>
      </c>
      <c r="D32">
        <v>10</v>
      </c>
      <c r="E32">
        <v>81</v>
      </c>
      <c r="F32">
        <v>5</v>
      </c>
      <c r="G32">
        <v>27</v>
      </c>
      <c r="H32">
        <v>0</v>
      </c>
      <c r="I32">
        <v>1</v>
      </c>
      <c r="J32">
        <v>0</v>
      </c>
      <c r="K32" s="5">
        <f t="shared" si="1"/>
        <v>623</v>
      </c>
      <c r="P32" s="5"/>
    </row>
    <row r="33" spans="1:16" ht="14" x14ac:dyDescent="0.3">
      <c r="A33" s="5" t="s">
        <v>38</v>
      </c>
      <c r="B33">
        <v>0</v>
      </c>
      <c r="C33">
        <v>0</v>
      </c>
      <c r="D33">
        <v>0</v>
      </c>
      <c r="E33">
        <v>0</v>
      </c>
      <c r="F33">
        <v>0</v>
      </c>
      <c r="G33">
        <v>0</v>
      </c>
      <c r="H33">
        <v>0</v>
      </c>
      <c r="I33">
        <v>1</v>
      </c>
      <c r="J33">
        <v>0</v>
      </c>
      <c r="K33" s="5">
        <f t="shared" si="1"/>
        <v>1</v>
      </c>
    </row>
    <row r="35" spans="1:16" x14ac:dyDescent="0.3">
      <c r="A35" s="5" t="s">
        <v>593</v>
      </c>
    </row>
    <row r="36" spans="1:16" ht="14" x14ac:dyDescent="0.3">
      <c r="A36" s="5" t="s">
        <v>574</v>
      </c>
      <c r="B36" t="s">
        <v>482</v>
      </c>
      <c r="C36" t="s">
        <v>482</v>
      </c>
      <c r="D36" t="s">
        <v>482</v>
      </c>
      <c r="E36" s="60">
        <v>1055231</v>
      </c>
      <c r="F36" s="60">
        <v>16239</v>
      </c>
      <c r="G36" s="60">
        <v>318412</v>
      </c>
      <c r="H36" s="60">
        <v>299987</v>
      </c>
      <c r="I36" t="s">
        <v>482</v>
      </c>
      <c r="J36" s="60">
        <v>1188</v>
      </c>
      <c r="K36" s="5">
        <f>SUM(B36:J36)</f>
        <v>1691057</v>
      </c>
      <c r="L36" s="1"/>
    </row>
    <row r="37" spans="1:16" ht="14" x14ac:dyDescent="0.3">
      <c r="A37" s="5" t="s">
        <v>575</v>
      </c>
      <c r="B37" t="s">
        <v>482</v>
      </c>
      <c r="C37" t="s">
        <v>482</v>
      </c>
      <c r="D37" t="s">
        <v>482</v>
      </c>
      <c r="E37" s="60">
        <v>1055231</v>
      </c>
      <c r="F37" s="60">
        <v>16239</v>
      </c>
      <c r="G37" s="60">
        <v>316084</v>
      </c>
      <c r="H37" s="60">
        <v>294031</v>
      </c>
      <c r="I37" t="s">
        <v>482</v>
      </c>
      <c r="J37" t="s">
        <v>482</v>
      </c>
      <c r="K37" s="5">
        <f>SUM(B37:J37)</f>
        <v>1681585</v>
      </c>
      <c r="L37" s="1"/>
    </row>
    <row r="38" spans="1:16" s="1" customFormat="1" ht="14" x14ac:dyDescent="0.3">
      <c r="A38" s="1" t="s">
        <v>576</v>
      </c>
      <c r="B38" s="60">
        <v>727754</v>
      </c>
      <c r="C38" s="60">
        <v>25945</v>
      </c>
      <c r="D38" s="60">
        <v>47511</v>
      </c>
      <c r="E38" s="60">
        <v>402135</v>
      </c>
      <c r="F38" s="60">
        <v>9918</v>
      </c>
      <c r="G38" s="60">
        <v>90978</v>
      </c>
      <c r="H38" s="60">
        <v>168491</v>
      </c>
      <c r="I38" s="60">
        <v>3888</v>
      </c>
      <c r="J38" s="60">
        <v>2544</v>
      </c>
      <c r="K38" s="5">
        <f>SUM(B38:J38)</f>
        <v>1479164</v>
      </c>
      <c r="L38" s="46"/>
      <c r="P38" s="5"/>
    </row>
    <row r="39" spans="1:16" ht="14" x14ac:dyDescent="0.3">
      <c r="A39" s="5" t="s">
        <v>605</v>
      </c>
      <c r="B39" s="60">
        <v>66464</v>
      </c>
      <c r="C39" s="60">
        <v>7737</v>
      </c>
      <c r="D39">
        <v>517</v>
      </c>
      <c r="E39" s="60">
        <v>7906</v>
      </c>
      <c r="F39" s="60">
        <v>1642</v>
      </c>
      <c r="G39">
        <v>285</v>
      </c>
      <c r="H39">
        <v>7</v>
      </c>
      <c r="I39" s="60">
        <v>3740</v>
      </c>
      <c r="J39">
        <v>154</v>
      </c>
      <c r="K39" s="5">
        <f>SUM(B39:J39)</f>
        <v>88452</v>
      </c>
      <c r="L39" s="46"/>
    </row>
    <row r="40" spans="1:16" ht="14" x14ac:dyDescent="0.3">
      <c r="A40" s="1" t="s">
        <v>594</v>
      </c>
      <c r="B40" s="60">
        <v>128201</v>
      </c>
      <c r="C40" s="60">
        <v>5734</v>
      </c>
      <c r="D40" s="60">
        <v>6215</v>
      </c>
      <c r="E40" s="60">
        <v>68780</v>
      </c>
      <c r="F40" s="60">
        <v>2078</v>
      </c>
      <c r="G40" s="60">
        <v>13423</v>
      </c>
      <c r="H40" s="60">
        <v>16336</v>
      </c>
      <c r="I40" s="60">
        <v>2245</v>
      </c>
      <c r="J40">
        <v>478</v>
      </c>
      <c r="K40" s="5">
        <f>SUM(B40:J40)</f>
        <v>243490</v>
      </c>
      <c r="L40" s="46"/>
    </row>
    <row r="41" spans="1:16" ht="14" x14ac:dyDescent="0.3">
      <c r="A41" s="1" t="s">
        <v>602</v>
      </c>
      <c r="B41"/>
      <c r="C41"/>
      <c r="D41"/>
      <c r="E41"/>
      <c r="F41"/>
      <c r="G41"/>
      <c r="H41"/>
      <c r="I41" s="60">
        <v>12718</v>
      </c>
      <c r="J41">
        <v>740</v>
      </c>
      <c r="L41" s="1"/>
    </row>
    <row r="42" spans="1:16" x14ac:dyDescent="0.3">
      <c r="D42" s="77"/>
      <c r="G42" s="77"/>
    </row>
    <row r="45" spans="1:16" x14ac:dyDescent="0.3">
      <c r="B45" s="32"/>
      <c r="C45" s="32"/>
      <c r="D45" s="76"/>
      <c r="E45" s="32"/>
      <c r="F45" s="32"/>
      <c r="G45" s="32"/>
      <c r="H45" s="32"/>
      <c r="I45" s="32"/>
      <c r="J45" s="32"/>
    </row>
    <row r="46" spans="1:16" x14ac:dyDescent="0.3">
      <c r="D46" s="76"/>
      <c r="I46" s="22"/>
      <c r="J46" s="22"/>
    </row>
  </sheetData>
  <printOptions horizontalCentered="1" gridLines="1"/>
  <pageMargins left="0.19685039370078741" right="0.19685039370078741" top="0.98425196850393704" bottom="0.59055118110236227" header="0.19685039370078741" footer="0.19685039370078741"/>
  <pageSetup scale="70" pageOrder="overThenDown" orientation="landscape" r:id="rId1"/>
  <headerFooter scaleWithDoc="0">
    <oddHeader xml:space="preserve">&amp;C2023 "Status Quo Methods" Cost Allocation Model for MECL </oddHeader>
    <oddFooter>&amp;LPage &amp;P of &amp;N&amp;RJune 27,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F57"/>
  <sheetViews>
    <sheetView topLeftCell="A71" zoomScaleNormal="100" zoomScaleSheetLayoutView="40" workbookViewId="0">
      <selection activeCell="E21" sqref="E21"/>
    </sheetView>
  </sheetViews>
  <sheetFormatPr defaultColWidth="8.7109375" defaultRowHeight="13.5" outlineLevelRow="1" x14ac:dyDescent="0.3"/>
  <cols>
    <col min="1" max="1" width="25.7109375" style="1" customWidth="1"/>
    <col min="2" max="6" width="7.7109375" style="1" customWidth="1"/>
    <col min="7" max="16384" width="8.7109375" style="1"/>
  </cols>
  <sheetData>
    <row r="1" spans="1:5" x14ac:dyDescent="0.3">
      <c r="A1" s="1" t="s">
        <v>559</v>
      </c>
    </row>
    <row r="2" spans="1:5" x14ac:dyDescent="0.3">
      <c r="A2" s="1" t="s">
        <v>534</v>
      </c>
    </row>
    <row r="5" spans="1:5" s="17" customFormat="1" ht="27" x14ac:dyDescent="0.25">
      <c r="A5" s="29" t="s">
        <v>495</v>
      </c>
      <c r="B5" s="17" t="s">
        <v>439</v>
      </c>
      <c r="C5" s="17" t="s">
        <v>512</v>
      </c>
      <c r="D5" s="17" t="s">
        <v>513</v>
      </c>
      <c r="E5" s="17" t="s">
        <v>214</v>
      </c>
    </row>
    <row r="6" spans="1:5" x14ac:dyDescent="0.3">
      <c r="A6" s="1" t="str">
        <f t="array" ref="A6:A29">List_Allocators</f>
        <v>1CP - Input</v>
      </c>
      <c r="B6" s="24">
        <v>1</v>
      </c>
      <c r="C6" s="24">
        <v>0</v>
      </c>
      <c r="D6" s="24">
        <v>0</v>
      </c>
      <c r="E6" s="18">
        <f t="shared" ref="E6:E29" si="0">SUM(B6:D6)</f>
        <v>1</v>
      </c>
    </row>
    <row r="7" spans="1:5" x14ac:dyDescent="0.3">
      <c r="A7" s="1" t="str">
        <v>1CP - Input Firm</v>
      </c>
      <c r="B7" s="24">
        <v>1</v>
      </c>
      <c r="C7" s="24">
        <v>0</v>
      </c>
      <c r="D7" s="24">
        <v>0</v>
      </c>
      <c r="E7" s="18">
        <f>SUM(B7:D7)</f>
        <v>1</v>
      </c>
    </row>
    <row r="8" spans="1:5" x14ac:dyDescent="0.3">
      <c r="A8" s="1" t="str">
        <v>1CP - Transmission</v>
      </c>
      <c r="B8" s="24">
        <v>1</v>
      </c>
      <c r="C8" s="24">
        <v>0</v>
      </c>
      <c r="D8" s="24">
        <v>0</v>
      </c>
      <c r="E8" s="18">
        <f t="shared" si="0"/>
        <v>1</v>
      </c>
    </row>
    <row r="9" spans="1:5" x14ac:dyDescent="0.3">
      <c r="A9" s="1" t="str">
        <v>1CP - Distribution Primary</v>
      </c>
      <c r="B9" s="24">
        <v>1</v>
      </c>
      <c r="C9" s="24">
        <v>0</v>
      </c>
      <c r="D9" s="24">
        <v>0</v>
      </c>
      <c r="E9" s="18">
        <f t="shared" si="0"/>
        <v>1</v>
      </c>
    </row>
    <row r="10" spans="1:5" x14ac:dyDescent="0.3">
      <c r="A10" s="1" t="str">
        <v>NCP - Distribution Primary</v>
      </c>
      <c r="B10" s="24">
        <v>1</v>
      </c>
      <c r="C10" s="24">
        <v>0</v>
      </c>
      <c r="D10" s="24">
        <v>0</v>
      </c>
      <c r="E10" s="18">
        <f t="shared" si="0"/>
        <v>1</v>
      </c>
    </row>
    <row r="11" spans="1:5" x14ac:dyDescent="0.3">
      <c r="A11" s="1" t="str">
        <v>NCP - Distribution Secondary</v>
      </c>
      <c r="B11" s="24">
        <v>1</v>
      </c>
      <c r="C11" s="24">
        <v>0</v>
      </c>
      <c r="D11" s="24">
        <v>0</v>
      </c>
      <c r="E11" s="18">
        <f t="shared" si="0"/>
        <v>1</v>
      </c>
    </row>
    <row r="12" spans="1:5" x14ac:dyDescent="0.3">
      <c r="A12" s="1" t="str">
        <v>Energy - Input</v>
      </c>
      <c r="B12" s="24">
        <v>0</v>
      </c>
      <c r="C12" s="24">
        <v>1</v>
      </c>
      <c r="D12" s="24">
        <v>0</v>
      </c>
      <c r="E12" s="18">
        <f t="shared" si="0"/>
        <v>1</v>
      </c>
    </row>
    <row r="13" spans="1:5" x14ac:dyDescent="0.3">
      <c r="A13" s="1" t="str">
        <v>Sites</v>
      </c>
      <c r="B13" s="24">
        <v>0</v>
      </c>
      <c r="C13" s="24">
        <v>0</v>
      </c>
      <c r="D13" s="24">
        <v>1</v>
      </c>
      <c r="E13" s="18">
        <f t="shared" si="0"/>
        <v>1</v>
      </c>
    </row>
    <row r="14" spans="1:5" x14ac:dyDescent="0.3">
      <c r="A14" s="1" t="str">
        <v>Sites - Distribution Primary</v>
      </c>
      <c r="B14" s="24">
        <v>0</v>
      </c>
      <c r="C14" s="24">
        <v>0</v>
      </c>
      <c r="D14" s="24">
        <v>1</v>
      </c>
      <c r="E14" s="18">
        <f t="shared" si="0"/>
        <v>1</v>
      </c>
    </row>
    <row r="15" spans="1:5" x14ac:dyDescent="0.3">
      <c r="A15" s="1" t="str">
        <v>Sites - Distribution Secondary</v>
      </c>
      <c r="B15" s="24">
        <v>0</v>
      </c>
      <c r="C15" s="24">
        <v>0</v>
      </c>
      <c r="D15" s="24">
        <v>1</v>
      </c>
      <c r="E15" s="18">
        <f t="shared" si="0"/>
        <v>1</v>
      </c>
    </row>
    <row r="16" spans="1:5" x14ac:dyDescent="0.3">
      <c r="A16" s="1" t="str">
        <v>Sites - Mass Market</v>
      </c>
      <c r="B16" s="24">
        <v>0</v>
      </c>
      <c r="C16" s="24">
        <v>0</v>
      </c>
      <c r="D16" s="24">
        <v>1</v>
      </c>
      <c r="E16" s="18">
        <f t="shared" si="0"/>
        <v>1</v>
      </c>
    </row>
    <row r="17" spans="1:6" x14ac:dyDescent="0.3">
      <c r="A17" s="1" t="str">
        <v>Service Lines</v>
      </c>
      <c r="B17" s="24">
        <v>0</v>
      </c>
      <c r="C17" s="24">
        <v>0</v>
      </c>
      <c r="D17" s="24">
        <v>1</v>
      </c>
      <c r="E17" s="18">
        <f t="shared" si="0"/>
        <v>1</v>
      </c>
    </row>
    <row r="18" spans="1:6" x14ac:dyDescent="0.3">
      <c r="A18" s="1" t="str">
        <v>Meter Assets</v>
      </c>
      <c r="B18" s="24">
        <v>0</v>
      </c>
      <c r="C18" s="24">
        <v>0</v>
      </c>
      <c r="D18" s="24">
        <v>1</v>
      </c>
      <c r="E18" s="18">
        <f t="shared" si="0"/>
        <v>1</v>
      </c>
    </row>
    <row r="19" spans="1:6" x14ac:dyDescent="0.3">
      <c r="A19" s="1" t="str">
        <v>Meter Reading</v>
      </c>
      <c r="B19" s="24">
        <v>0</v>
      </c>
      <c r="C19" s="24">
        <v>0</v>
      </c>
      <c r="D19" s="24">
        <v>1</v>
      </c>
      <c r="E19" s="18">
        <f t="shared" si="0"/>
        <v>1</v>
      </c>
    </row>
    <row r="20" spans="1:6" x14ac:dyDescent="0.3">
      <c r="A20" s="1" t="str">
        <v>Billing</v>
      </c>
      <c r="B20" s="24">
        <v>0</v>
      </c>
      <c r="C20" s="24">
        <v>0</v>
      </c>
      <c r="D20" s="24">
        <v>1</v>
      </c>
      <c r="E20" s="18">
        <f t="shared" si="0"/>
        <v>1</v>
      </c>
    </row>
    <row r="21" spans="1:6" x14ac:dyDescent="0.3">
      <c r="A21" s="1" t="str">
        <v>Remittance &amp; Collection</v>
      </c>
      <c r="B21" s="24">
        <v>0</v>
      </c>
      <c r="C21" s="24">
        <v>0</v>
      </c>
      <c r="D21" s="24">
        <v>1</v>
      </c>
      <c r="E21" s="18">
        <f t="shared" si="0"/>
        <v>1</v>
      </c>
    </row>
    <row r="22" spans="1:6" x14ac:dyDescent="0.3">
      <c r="A22" s="1" t="str">
        <v>Service Connection Revenue</v>
      </c>
      <c r="B22" s="24">
        <v>0</v>
      </c>
      <c r="C22" s="24">
        <v>0</v>
      </c>
      <c r="D22" s="24">
        <v>1</v>
      </c>
      <c r="E22" s="18">
        <f t="shared" si="0"/>
        <v>1</v>
      </c>
    </row>
    <row r="23" spans="1:6" x14ac:dyDescent="0.3">
      <c r="A23" s="1" t="str">
        <v>Penalty Revenue</v>
      </c>
      <c r="B23" s="24">
        <v>0</v>
      </c>
      <c r="C23" s="24">
        <v>0</v>
      </c>
      <c r="D23" s="24">
        <v>1</v>
      </c>
      <c r="E23" s="18">
        <f t="shared" si="0"/>
        <v>1</v>
      </c>
    </row>
    <row r="24" spans="1:6" x14ac:dyDescent="0.3">
      <c r="A24" s="1" t="str">
        <v>Lighting Direct Assign</v>
      </c>
      <c r="B24" s="24">
        <v>0</v>
      </c>
      <c r="C24" s="24">
        <v>0</v>
      </c>
      <c r="D24" s="24">
        <v>1</v>
      </c>
      <c r="E24" s="18">
        <f t="shared" si="0"/>
        <v>1</v>
      </c>
    </row>
    <row r="25" spans="1:6" x14ac:dyDescent="0.3">
      <c r="A25" s="1" t="str">
        <v>MECL Generation</v>
      </c>
      <c r="B25" s="18">
        <f>SUMPRODUCT(B$6:B$24,$B$33:$B$51)</f>
        <v>0.66190160547288346</v>
      </c>
      <c r="C25" s="18">
        <f>SUMPRODUCT(C$6:C$24,$B$33:$B$51)</f>
        <v>0.33809839452711654</v>
      </c>
      <c r="D25" s="18">
        <f>SUMPRODUCT(D$6:D$24,$B$33:$B$51)</f>
        <v>0</v>
      </c>
      <c r="E25" s="18">
        <f t="shared" si="0"/>
        <v>1</v>
      </c>
    </row>
    <row r="26" spans="1:6" x14ac:dyDescent="0.3">
      <c r="A26" s="1" t="str">
        <v>MECL Purchases</v>
      </c>
      <c r="B26" s="18">
        <f>SUMPRODUCT(B$6:B$24,$C$33:$C$51)</f>
        <v>0.15734495407182778</v>
      </c>
      <c r="C26" s="18">
        <f>SUMPRODUCT(C$6:C$24,$C$33:$C$51)</f>
        <v>0.8426550459281722</v>
      </c>
      <c r="D26" s="18">
        <f>SUMPRODUCT(D$6:D$24,$C$33:$C$51)</f>
        <v>0</v>
      </c>
      <c r="E26" s="18">
        <f t="shared" si="0"/>
        <v>1</v>
      </c>
    </row>
    <row r="27" spans="1:6" x14ac:dyDescent="0.3">
      <c r="A27" s="1" t="str">
        <v>Primary System</v>
      </c>
      <c r="B27" s="18">
        <f>SUMPRODUCT(B$6:B$24,$D$33:$D$51)</f>
        <v>0.5</v>
      </c>
      <c r="C27" s="18">
        <f>SUMPRODUCT(C$6:C$24,$D$33:$D$51)</f>
        <v>0</v>
      </c>
      <c r="D27" s="18">
        <f>SUMPRODUCT(D$6:D$24,$D$33:$D$51)</f>
        <v>0.5</v>
      </c>
      <c r="E27" s="18">
        <f t="shared" si="0"/>
        <v>1</v>
      </c>
    </row>
    <row r="28" spans="1:6" x14ac:dyDescent="0.3">
      <c r="A28" s="1" t="str">
        <v>Distribution Transformers</v>
      </c>
      <c r="B28" s="18">
        <f>SUMPRODUCT(B$6:B$24,$E$33:$E$51)</f>
        <v>0.6</v>
      </c>
      <c r="C28" s="18">
        <f>SUMPRODUCT(C$6:C$24,$E$33:$E$51)</f>
        <v>0</v>
      </c>
      <c r="D28" s="18">
        <f>SUMPRODUCT(D$6:D$24,$E$33:$E$51)</f>
        <v>0.4</v>
      </c>
      <c r="E28" s="18">
        <f t="shared" si="0"/>
        <v>1</v>
      </c>
    </row>
    <row r="29" spans="1:6" x14ac:dyDescent="0.3">
      <c r="A29" s="1" t="str">
        <v>Secondary System</v>
      </c>
      <c r="B29" s="18">
        <f>SUMPRODUCT(B$6:B$24,$F$33:$F$51)</f>
        <v>0.5</v>
      </c>
      <c r="C29" s="18">
        <f>SUMPRODUCT(C$6:C$24,$F$33:$F$51)</f>
        <v>0</v>
      </c>
      <c r="D29" s="18">
        <f>SUMPRODUCT(D$6:D$24,$F$33:$F$51)</f>
        <v>0.5</v>
      </c>
      <c r="E29" s="18">
        <f t="shared" si="0"/>
        <v>1</v>
      </c>
    </row>
    <row r="31" spans="1:6" x14ac:dyDescent="0.3">
      <c r="A31" s="1" t="s">
        <v>514</v>
      </c>
    </row>
    <row r="32" spans="1:6" s="17" customFormat="1" ht="54" x14ac:dyDescent="0.25">
      <c r="A32" s="29"/>
      <c r="B32" s="17" t="s">
        <v>39</v>
      </c>
      <c r="C32" s="17" t="s">
        <v>40</v>
      </c>
      <c r="D32" s="17" t="s">
        <v>41</v>
      </c>
      <c r="E32" s="17" t="s">
        <v>42</v>
      </c>
      <c r="F32" s="17" t="s">
        <v>43</v>
      </c>
    </row>
    <row r="33" spans="1:6" x14ac:dyDescent="0.3">
      <c r="A33" s="1" t="str">
        <f t="array" ref="A33:A51">List_Allocators</f>
        <v>1CP - Input</v>
      </c>
      <c r="B33" s="18">
        <f>B56/B$57</f>
        <v>0.66190160547288346</v>
      </c>
      <c r="C33" s="18"/>
      <c r="D33" s="24"/>
      <c r="E33" s="24"/>
      <c r="F33" s="24"/>
    </row>
    <row r="34" spans="1:6" x14ac:dyDescent="0.3">
      <c r="A34" s="1" t="str">
        <v>1CP - Input Firm</v>
      </c>
      <c r="B34" s="18"/>
      <c r="C34" s="18">
        <f>C56/C57</f>
        <v>0.15734495407182778</v>
      </c>
      <c r="D34" s="24"/>
      <c r="E34" s="24"/>
      <c r="F34" s="24"/>
    </row>
    <row r="35" spans="1:6" x14ac:dyDescent="0.3">
      <c r="A35" s="1" t="str">
        <v>1CP - Transmission</v>
      </c>
      <c r="B35" s="18"/>
      <c r="C35" s="18"/>
      <c r="D35" s="24"/>
      <c r="E35" s="24"/>
      <c r="F35" s="24"/>
    </row>
    <row r="36" spans="1:6" x14ac:dyDescent="0.3">
      <c r="A36" s="1" t="str">
        <v>1CP - Distribution Primary</v>
      </c>
      <c r="B36" s="18"/>
      <c r="C36" s="18"/>
      <c r="D36" s="24"/>
      <c r="E36" s="24"/>
      <c r="F36" s="24"/>
    </row>
    <row r="37" spans="1:6" x14ac:dyDescent="0.3">
      <c r="A37" s="1" t="str">
        <v>NCP - Distribution Primary</v>
      </c>
      <c r="B37" s="18"/>
      <c r="C37" s="18"/>
      <c r="D37" s="24">
        <v>0.5</v>
      </c>
      <c r="E37" s="24"/>
      <c r="F37" s="24"/>
    </row>
    <row r="38" spans="1:6" x14ac:dyDescent="0.3">
      <c r="A38" s="1" t="str">
        <v>NCP - Distribution Secondary</v>
      </c>
      <c r="B38" s="18"/>
      <c r="C38" s="18"/>
      <c r="D38" s="24"/>
      <c r="E38" s="24">
        <v>0.6</v>
      </c>
      <c r="F38" s="24">
        <v>0.5</v>
      </c>
    </row>
    <row r="39" spans="1:6" x14ac:dyDescent="0.3">
      <c r="A39" s="1" t="str">
        <v>Energy - Input</v>
      </c>
      <c r="B39" s="18">
        <f>1-SUM(B33:B34)</f>
        <v>0.33809839452711654</v>
      </c>
      <c r="C39" s="18">
        <f>1-(C56/C57)</f>
        <v>0.8426550459281722</v>
      </c>
      <c r="D39" s="24"/>
      <c r="E39" s="24"/>
      <c r="F39" s="24"/>
    </row>
    <row r="40" spans="1:6" x14ac:dyDescent="0.3">
      <c r="A40" s="1" t="str">
        <v>Sites</v>
      </c>
      <c r="B40" s="18"/>
      <c r="C40" s="18"/>
      <c r="D40" s="24"/>
      <c r="E40" s="24"/>
      <c r="F40" s="24"/>
    </row>
    <row r="41" spans="1:6" x14ac:dyDescent="0.3">
      <c r="A41" s="1" t="str">
        <v>Sites - Distribution Primary</v>
      </c>
      <c r="B41" s="18"/>
      <c r="C41" s="18"/>
      <c r="D41" s="24">
        <v>0.5</v>
      </c>
      <c r="E41" s="24"/>
      <c r="F41" s="24"/>
    </row>
    <row r="42" spans="1:6" x14ac:dyDescent="0.3">
      <c r="A42" s="1" t="str">
        <v>Sites - Distribution Secondary</v>
      </c>
      <c r="B42" s="18"/>
      <c r="C42" s="18"/>
      <c r="D42" s="24"/>
      <c r="E42" s="24">
        <v>0.4</v>
      </c>
      <c r="F42" s="24">
        <v>0.5</v>
      </c>
    </row>
    <row r="43" spans="1:6" outlineLevel="1" x14ac:dyDescent="0.3">
      <c r="A43" s="1" t="str">
        <v>Sites - Mass Market</v>
      </c>
      <c r="B43" s="18"/>
      <c r="C43" s="18"/>
      <c r="D43" s="24"/>
      <c r="E43" s="24"/>
      <c r="F43" s="24"/>
    </row>
    <row r="44" spans="1:6" outlineLevel="1" x14ac:dyDescent="0.3">
      <c r="A44" s="1" t="str">
        <v>Service Lines</v>
      </c>
      <c r="B44" s="18"/>
      <c r="C44" s="18"/>
      <c r="D44" s="24"/>
      <c r="E44" s="24"/>
      <c r="F44" s="24"/>
    </row>
    <row r="45" spans="1:6" outlineLevel="1" x14ac:dyDescent="0.3">
      <c r="A45" s="1" t="str">
        <v>Meter Assets</v>
      </c>
      <c r="B45" s="18"/>
      <c r="C45" s="18"/>
      <c r="D45" s="24"/>
      <c r="E45" s="24"/>
      <c r="F45" s="24"/>
    </row>
    <row r="46" spans="1:6" outlineLevel="1" x14ac:dyDescent="0.3">
      <c r="A46" s="1" t="str">
        <v>Meter Reading</v>
      </c>
      <c r="B46" s="18"/>
      <c r="C46" s="18"/>
      <c r="D46" s="24"/>
      <c r="E46" s="24"/>
      <c r="F46" s="24"/>
    </row>
    <row r="47" spans="1:6" outlineLevel="1" x14ac:dyDescent="0.3">
      <c r="A47" s="1" t="str">
        <v>Billing</v>
      </c>
      <c r="B47" s="18"/>
      <c r="C47" s="18"/>
      <c r="D47" s="24"/>
      <c r="E47" s="24"/>
      <c r="F47" s="24"/>
    </row>
    <row r="48" spans="1:6" outlineLevel="1" x14ac:dyDescent="0.3">
      <c r="A48" s="1" t="str">
        <v>Remittance &amp; Collection</v>
      </c>
      <c r="B48" s="18"/>
      <c r="C48" s="18"/>
      <c r="D48" s="24"/>
      <c r="E48" s="24"/>
      <c r="F48" s="24"/>
    </row>
    <row r="49" spans="1:6" outlineLevel="1" x14ac:dyDescent="0.3">
      <c r="A49" s="1" t="str">
        <v>Service Connection Revenue</v>
      </c>
      <c r="B49" s="18"/>
      <c r="C49" s="18"/>
      <c r="D49" s="24"/>
      <c r="E49" s="24"/>
      <c r="F49" s="24"/>
    </row>
    <row r="50" spans="1:6" outlineLevel="1" x14ac:dyDescent="0.3">
      <c r="A50" s="1" t="str">
        <v>Penalty Revenue</v>
      </c>
      <c r="B50" s="18"/>
      <c r="C50" s="18"/>
      <c r="D50" s="24"/>
      <c r="E50" s="24"/>
      <c r="F50" s="24"/>
    </row>
    <row r="51" spans="1:6" outlineLevel="1" x14ac:dyDescent="0.3">
      <c r="A51" s="1" t="str">
        <v>Lighting Direct Assign</v>
      </c>
      <c r="B51" s="18"/>
      <c r="C51" s="18"/>
      <c r="D51" s="24"/>
      <c r="E51" s="24"/>
      <c r="F51" s="24"/>
    </row>
    <row r="52" spans="1:6" x14ac:dyDescent="0.3">
      <c r="A52" s="1" t="s">
        <v>214</v>
      </c>
      <c r="B52" s="18">
        <f>SUM(B33:B51)</f>
        <v>1</v>
      </c>
      <c r="C52" s="18">
        <f>SUM(C33:C51)</f>
        <v>1</v>
      </c>
      <c r="D52" s="18">
        <f>SUM(D33:D51)</f>
        <v>1</v>
      </c>
      <c r="E52" s="18">
        <f>SUM(E33:E51)</f>
        <v>1</v>
      </c>
      <c r="F52" s="18">
        <f>SUM(F33:F51)</f>
        <v>1</v>
      </c>
    </row>
    <row r="54" spans="1:6" x14ac:dyDescent="0.3">
      <c r="A54" s="5" t="s">
        <v>515</v>
      </c>
      <c r="B54" s="5"/>
      <c r="C54" s="5"/>
    </row>
    <row r="55" spans="1:6" ht="27" x14ac:dyDescent="0.3">
      <c r="A55" s="9" t="s">
        <v>511</v>
      </c>
      <c r="B55" s="17" t="s">
        <v>10</v>
      </c>
      <c r="C55" s="17" t="s">
        <v>11</v>
      </c>
      <c r="D55" s="17"/>
      <c r="E55" s="17"/>
    </row>
    <row r="56" spans="1:6" x14ac:dyDescent="0.3">
      <c r="A56" s="2" t="s">
        <v>439</v>
      </c>
      <c r="B56" s="1">
        <f>SUMIFS(RR_Demand,RR_Function,B$55)</f>
        <v>2900029</v>
      </c>
      <c r="C56" s="1">
        <f>SUMIFS(RR_Demand,RR_Function,C$55)</f>
        <v>23344649.899999999</v>
      </c>
    </row>
    <row r="57" spans="1:6" x14ac:dyDescent="0.3">
      <c r="A57" s="2" t="s">
        <v>214</v>
      </c>
      <c r="B57" s="1">
        <f>'3.1'!B194+'3.1'!B18</f>
        <v>4381359.6704122322</v>
      </c>
      <c r="C57" s="1">
        <f>'3.1'!C194</f>
        <v>148366053.66666666</v>
      </c>
    </row>
  </sheetData>
  <printOptions horizontalCentered="1" gridLines="1"/>
  <pageMargins left="0.19685039370078741" right="0.19685039370078741" top="0.98425196850393704" bottom="0.59055118110236227" header="0.19685039370078741" footer="0.19685039370078741"/>
  <pageSetup scale="57" pageOrder="overThenDown" orientation="landscape" r:id="rId1"/>
  <headerFooter scaleWithDoc="0">
    <oddHeader xml:space="preserve">&amp;C2023 "Status Quo Methods" Cost Allocation Model for MECL </oddHeader>
    <oddFooter>&amp;LPage &amp;P of &amp;N&amp;RJune 27, 2025</oddFooter>
  </headerFooter>
  <cellWatches>
    <cellWatch r="B39"/>
  </cellWatch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B21"/>
  <sheetViews>
    <sheetView topLeftCell="A3" zoomScaleNormal="100" zoomScaleSheetLayoutView="40" workbookViewId="0">
      <selection activeCell="E21" sqref="E21"/>
    </sheetView>
  </sheetViews>
  <sheetFormatPr defaultColWidth="8.7109375" defaultRowHeight="13.5" x14ac:dyDescent="0.3"/>
  <cols>
    <col min="1" max="2" width="25.7109375" style="1" customWidth="1"/>
    <col min="3" max="16384" width="8.7109375" style="1"/>
  </cols>
  <sheetData>
    <row r="1" spans="1:2" x14ac:dyDescent="0.3">
      <c r="A1" s="1" t="s">
        <v>611</v>
      </c>
    </row>
    <row r="2" spans="1:2" x14ac:dyDescent="0.3">
      <c r="A2" s="1" t="s">
        <v>535</v>
      </c>
    </row>
    <row r="5" spans="1:2" s="17" customFormat="1" x14ac:dyDescent="0.25">
      <c r="A5" s="29" t="s">
        <v>492</v>
      </c>
      <c r="B5" s="29" t="s">
        <v>495</v>
      </c>
    </row>
    <row r="6" spans="1:2" x14ac:dyDescent="0.3">
      <c r="A6" s="1" t="str">
        <f t="array" ref="A6:A21">List_Functions</f>
        <v>Generation</v>
      </c>
      <c r="B6" s="1" t="s">
        <v>39</v>
      </c>
    </row>
    <row r="7" spans="1:2" x14ac:dyDescent="0.3">
      <c r="A7" s="1" t="str">
        <v>Purchased Power</v>
      </c>
      <c r="B7" s="1" t="s">
        <v>40</v>
      </c>
    </row>
    <row r="8" spans="1:2" x14ac:dyDescent="0.3">
      <c r="A8" s="1" t="str">
        <v>Transmission</v>
      </c>
      <c r="B8" s="1" t="s">
        <v>27</v>
      </c>
    </row>
    <row r="9" spans="1:2" x14ac:dyDescent="0.3">
      <c r="A9" s="1" t="str">
        <v>Substations</v>
      </c>
      <c r="B9" s="1" t="s">
        <v>28</v>
      </c>
    </row>
    <row r="10" spans="1:2" x14ac:dyDescent="0.3">
      <c r="A10" s="1" t="str">
        <v>Primary Lines</v>
      </c>
      <c r="B10" s="1" t="s">
        <v>41</v>
      </c>
    </row>
    <row r="11" spans="1:2" x14ac:dyDescent="0.3">
      <c r="A11" s="1" t="str">
        <v>Transformers</v>
      </c>
      <c r="B11" s="1" t="s">
        <v>42</v>
      </c>
    </row>
    <row r="12" spans="1:2" x14ac:dyDescent="0.3">
      <c r="A12" s="1" t="str">
        <v>Secondary Lines</v>
      </c>
      <c r="B12" s="1" t="s">
        <v>43</v>
      </c>
    </row>
    <row r="13" spans="1:2" x14ac:dyDescent="0.3">
      <c r="A13" s="1" t="str">
        <v>Service Lines</v>
      </c>
      <c r="B13" s="1" t="s">
        <v>17</v>
      </c>
    </row>
    <row r="14" spans="1:2" x14ac:dyDescent="0.3">
      <c r="A14" s="1" t="str">
        <v>Meter Assets</v>
      </c>
      <c r="B14" s="1" t="s">
        <v>18</v>
      </c>
    </row>
    <row r="15" spans="1:2" x14ac:dyDescent="0.3">
      <c r="A15" s="1" t="str">
        <v>Meter Reading</v>
      </c>
      <c r="B15" s="1" t="s">
        <v>19</v>
      </c>
    </row>
    <row r="16" spans="1:2" x14ac:dyDescent="0.3">
      <c r="A16" s="1" t="str">
        <v>Billing</v>
      </c>
      <c r="B16" s="1" t="s">
        <v>20</v>
      </c>
    </row>
    <row r="17" spans="1:2" x14ac:dyDescent="0.3">
      <c r="A17" s="1" t="str">
        <v>Remittance &amp; Collection</v>
      </c>
      <c r="B17" s="1" t="s">
        <v>21</v>
      </c>
    </row>
    <row r="18" spans="1:2" x14ac:dyDescent="0.3">
      <c r="A18" s="1" t="str">
        <v>Uncollectibles &amp; Damage Claims</v>
      </c>
      <c r="B18" s="1" t="s">
        <v>35</v>
      </c>
    </row>
    <row r="19" spans="1:2" x14ac:dyDescent="0.3">
      <c r="A19" s="1" t="str">
        <v>Service Connections</v>
      </c>
      <c r="B19" s="1" t="s">
        <v>36</v>
      </c>
    </row>
    <row r="20" spans="1:2" x14ac:dyDescent="0.3">
      <c r="A20" s="1" t="str">
        <v>Late Payments</v>
      </c>
      <c r="B20" s="1" t="s">
        <v>37</v>
      </c>
    </row>
    <row r="21" spans="1:2" x14ac:dyDescent="0.3">
      <c r="A21" s="1" t="str">
        <v>Lighting</v>
      </c>
      <c r="B21" s="1" t="s">
        <v>38</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T165"/>
  <sheetViews>
    <sheetView view="pageBreakPreview" topLeftCell="A91" zoomScale="40" zoomScaleNormal="40" zoomScaleSheetLayoutView="40" workbookViewId="0">
      <selection activeCell="E21" sqref="E21"/>
    </sheetView>
  </sheetViews>
  <sheetFormatPr defaultColWidth="8.7109375" defaultRowHeight="13.5" x14ac:dyDescent="0.3"/>
  <cols>
    <col min="1" max="1" width="25.7109375" style="1" customWidth="1"/>
    <col min="2" max="18" width="7.7109375" style="1" customWidth="1"/>
    <col min="19" max="16384" width="8.7109375" style="1"/>
  </cols>
  <sheetData>
    <row r="1" spans="1:18" x14ac:dyDescent="0.3">
      <c r="A1" s="1" t="s">
        <v>561</v>
      </c>
    </row>
    <row r="2" spans="1:18" x14ac:dyDescent="0.3">
      <c r="A2" s="1" t="s">
        <v>541</v>
      </c>
    </row>
    <row r="4" spans="1:18" s="5" customFormat="1" x14ac:dyDescent="0.3">
      <c r="A4" s="5" t="s">
        <v>542</v>
      </c>
    </row>
    <row r="5" spans="1:18" s="9" customFormat="1" ht="54" x14ac:dyDescent="0.25">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x14ac:dyDescent="0.3">
      <c r="A6" s="1" t="s">
        <v>262</v>
      </c>
    </row>
    <row r="7" spans="1:18" x14ac:dyDescent="0.3">
      <c r="A7" s="3" t="s">
        <v>247</v>
      </c>
      <c r="B7" s="1">
        <f>'3.1'!B194</f>
        <v>2246906.6704122322</v>
      </c>
      <c r="C7" s="1">
        <f>'3.1'!C194</f>
        <v>148366053.66666666</v>
      </c>
      <c r="D7" s="1">
        <f>'3.1'!D194</f>
        <v>8553064.6629211009</v>
      </c>
      <c r="E7" s="1">
        <f>'3.1'!E194</f>
        <v>275459.50000000006</v>
      </c>
      <c r="F7" s="1">
        <f>'3.1'!F194</f>
        <v>91819.833333333358</v>
      </c>
      <c r="G7" s="1">
        <f>'3.1'!G194</f>
        <v>91819.833333333358</v>
      </c>
      <c r="H7" s="1">
        <f>'3.1'!H194</f>
        <v>91819.833333333358</v>
      </c>
      <c r="I7" s="1">
        <f>'3.1'!I194</f>
        <v>0</v>
      </c>
      <c r="J7" s="1">
        <f>'3.1'!J194</f>
        <v>0</v>
      </c>
      <c r="K7" s="1">
        <f>'3.1'!K194</f>
        <v>0</v>
      </c>
      <c r="L7" s="1">
        <f>'3.1'!L194</f>
        <v>0</v>
      </c>
      <c r="M7" s="1">
        <f>'3.1'!M194</f>
        <v>0</v>
      </c>
      <c r="N7" s="1">
        <f>'3.1'!N194</f>
        <v>0</v>
      </c>
      <c r="O7" s="1">
        <f>'3.1'!O194</f>
        <v>0</v>
      </c>
      <c r="P7" s="1">
        <f>'3.1'!P194</f>
        <v>0</v>
      </c>
      <c r="Q7" s="1">
        <f>'3.1'!Q194</f>
        <v>0</v>
      </c>
      <c r="R7" s="1">
        <f>SUM(B7:Q7)</f>
        <v>159716944.00000003</v>
      </c>
    </row>
    <row r="8" spans="1:18" x14ac:dyDescent="0.3">
      <c r="A8" s="3" t="s">
        <v>248</v>
      </c>
      <c r="B8" s="1">
        <f>'3.1'!B195</f>
        <v>0</v>
      </c>
      <c r="C8" s="1">
        <f>'3.1'!C195</f>
        <v>-8641284</v>
      </c>
      <c r="D8" s="1">
        <f>'3.1'!D195</f>
        <v>0</v>
      </c>
      <c r="E8" s="1">
        <f>'3.1'!E195</f>
        <v>0</v>
      </c>
      <c r="F8" s="1">
        <f>'3.1'!F195</f>
        <v>0</v>
      </c>
      <c r="G8" s="1">
        <f>'3.1'!G195</f>
        <v>0</v>
      </c>
      <c r="H8" s="1">
        <f>'3.1'!H195</f>
        <v>0</v>
      </c>
      <c r="I8" s="1">
        <f>'3.1'!I195</f>
        <v>0</v>
      </c>
      <c r="J8" s="1">
        <f>'3.1'!J195</f>
        <v>0</v>
      </c>
      <c r="K8" s="1">
        <f>'3.1'!K195</f>
        <v>0</v>
      </c>
      <c r="L8" s="1">
        <f>'3.1'!L195</f>
        <v>0</v>
      </c>
      <c r="M8" s="1">
        <f>'3.1'!M195</f>
        <v>0</v>
      </c>
      <c r="N8" s="1">
        <f>'3.1'!N195</f>
        <v>0</v>
      </c>
      <c r="O8" s="1">
        <f>'3.1'!O195</f>
        <v>0</v>
      </c>
      <c r="P8" s="1">
        <f>'3.1'!P195</f>
        <v>0</v>
      </c>
      <c r="Q8" s="1">
        <f>'3.1'!Q195</f>
        <v>0</v>
      </c>
      <c r="R8" s="1">
        <f>SUM(B8:Q8)</f>
        <v>-8641284</v>
      </c>
    </row>
    <row r="9" spans="1:18" x14ac:dyDescent="0.3">
      <c r="A9" s="3" t="s">
        <v>249</v>
      </c>
      <c r="B9" s="1">
        <f>SUBTOTAL(9,B7:B8)</f>
        <v>2246906.6704122322</v>
      </c>
      <c r="C9" s="1">
        <f t="shared" ref="C9:R9" si="0">SUBTOTAL(9,C7:C8)</f>
        <v>139724769.66666666</v>
      </c>
      <c r="D9" s="1">
        <f t="shared" si="0"/>
        <v>8553064.6629211009</v>
      </c>
      <c r="E9" s="1">
        <f t="shared" si="0"/>
        <v>275459.50000000006</v>
      </c>
      <c r="F9" s="1">
        <f t="shared" si="0"/>
        <v>91819.833333333358</v>
      </c>
      <c r="G9" s="1">
        <f t="shared" si="0"/>
        <v>91819.833333333358</v>
      </c>
      <c r="H9" s="1">
        <f t="shared" si="0"/>
        <v>91819.833333333358</v>
      </c>
      <c r="I9" s="1">
        <f t="shared" si="0"/>
        <v>0</v>
      </c>
      <c r="J9" s="1">
        <f t="shared" si="0"/>
        <v>0</v>
      </c>
      <c r="K9" s="1">
        <f t="shared" si="0"/>
        <v>0</v>
      </c>
      <c r="L9" s="1">
        <f t="shared" si="0"/>
        <v>0</v>
      </c>
      <c r="M9" s="1">
        <f t="shared" si="0"/>
        <v>0</v>
      </c>
      <c r="N9" s="1">
        <f t="shared" si="0"/>
        <v>0</v>
      </c>
      <c r="O9" s="1">
        <f t="shared" si="0"/>
        <v>0</v>
      </c>
      <c r="P9" s="1">
        <f t="shared" si="0"/>
        <v>0</v>
      </c>
      <c r="Q9" s="1">
        <f t="shared" si="0"/>
        <v>0</v>
      </c>
      <c r="R9" s="1">
        <f t="shared" si="0"/>
        <v>151075660.00000003</v>
      </c>
    </row>
    <row r="10" spans="1:18" x14ac:dyDescent="0.3">
      <c r="A10" s="3" t="s">
        <v>124</v>
      </c>
      <c r="B10" s="1">
        <f>'3.1'!B197</f>
        <v>84987.500000000015</v>
      </c>
      <c r="C10" s="1">
        <f>'3.1'!C197</f>
        <v>0</v>
      </c>
      <c r="D10" s="1">
        <f>'3.1'!D197</f>
        <v>84987.500000000015</v>
      </c>
      <c r="E10" s="1">
        <f>'3.1'!E197</f>
        <v>983180.74251953792</v>
      </c>
      <c r="F10" s="1">
        <f>'3.1'!F197</f>
        <v>3504361.3764815149</v>
      </c>
      <c r="G10" s="1">
        <f>'3.1'!G197</f>
        <v>2250013.0059368056</v>
      </c>
      <c r="H10" s="1">
        <f>'3.1'!H197</f>
        <v>1187006.5699382825</v>
      </c>
      <c r="I10" s="1">
        <f>'3.1'!I197</f>
        <v>625944.71463481209</v>
      </c>
      <c r="J10" s="1">
        <f>'3.1'!J197</f>
        <v>230530</v>
      </c>
      <c r="K10" s="1">
        <f>'3.1'!K197</f>
        <v>0</v>
      </c>
      <c r="L10" s="1">
        <f>'3.1'!L197</f>
        <v>0</v>
      </c>
      <c r="M10" s="1">
        <f>'3.1'!M197</f>
        <v>0</v>
      </c>
      <c r="N10" s="1">
        <f>'3.1'!N197</f>
        <v>0</v>
      </c>
      <c r="O10" s="1">
        <f>'3.1'!O197</f>
        <v>0</v>
      </c>
      <c r="P10" s="1">
        <f>'3.1'!P197</f>
        <v>0</v>
      </c>
      <c r="Q10" s="1">
        <f>'3.1'!Q197</f>
        <v>74220.590489047216</v>
      </c>
      <c r="R10" s="1">
        <f>SUM(B10:Q10)</f>
        <v>9025232</v>
      </c>
    </row>
    <row r="11" spans="1:18" x14ac:dyDescent="0.3">
      <c r="A11" s="3" t="s">
        <v>12</v>
      </c>
      <c r="B11" s="1">
        <f>'3.1'!B198</f>
        <v>0</v>
      </c>
      <c r="C11" s="1">
        <f>'3.1'!C198</f>
        <v>0</v>
      </c>
      <c r="D11" s="1">
        <f>'3.1'!D198</f>
        <v>1795035</v>
      </c>
      <c r="E11" s="1">
        <f>'3.1'!E198</f>
        <v>0</v>
      </c>
      <c r="F11" s="1">
        <f>'3.1'!F198</f>
        <v>0</v>
      </c>
      <c r="G11" s="1">
        <f>'3.1'!G198</f>
        <v>0</v>
      </c>
      <c r="H11" s="1">
        <f>'3.1'!H198</f>
        <v>0</v>
      </c>
      <c r="I11" s="1">
        <f>'3.1'!I198</f>
        <v>0</v>
      </c>
      <c r="J11" s="1">
        <f>'3.1'!J198</f>
        <v>0</v>
      </c>
      <c r="K11" s="1">
        <f>'3.1'!K198</f>
        <v>0</v>
      </c>
      <c r="L11" s="1">
        <f>'3.1'!L198</f>
        <v>0</v>
      </c>
      <c r="M11" s="1">
        <f>'3.1'!M198</f>
        <v>0</v>
      </c>
      <c r="N11" s="1">
        <f>'3.1'!N198</f>
        <v>0</v>
      </c>
      <c r="O11" s="1">
        <f>'3.1'!O198</f>
        <v>0</v>
      </c>
      <c r="P11" s="1">
        <f>'3.1'!P198</f>
        <v>0</v>
      </c>
      <c r="Q11" s="1">
        <f>'3.1'!Q198</f>
        <v>0</v>
      </c>
      <c r="R11" s="1">
        <f>SUM(B11:Q11)</f>
        <v>1795035</v>
      </c>
    </row>
    <row r="12" spans="1:18" x14ac:dyDescent="0.3">
      <c r="A12" s="3" t="s">
        <v>250</v>
      </c>
      <c r="B12" s="1">
        <f>'3.1'!B199</f>
        <v>0</v>
      </c>
      <c r="C12" s="1">
        <f>'3.1'!C199</f>
        <v>0</v>
      </c>
      <c r="D12" s="1">
        <f>'3.1'!D199</f>
        <v>0</v>
      </c>
      <c r="E12" s="1">
        <f>'3.1'!E199</f>
        <v>615390.40546372079</v>
      </c>
      <c r="F12" s="1">
        <f>'3.1'!F199</f>
        <v>1129177.2776550555</v>
      </c>
      <c r="G12" s="1">
        <f>'3.1'!G199</f>
        <v>701436.89099620527</v>
      </c>
      <c r="H12" s="1">
        <f>'3.1'!H199</f>
        <v>376392.42588501849</v>
      </c>
      <c r="I12" s="1">
        <f>'3.1'!I199</f>
        <v>0</v>
      </c>
      <c r="J12" s="1">
        <f>'3.1'!J199</f>
        <v>0</v>
      </c>
      <c r="K12" s="1">
        <f>'3.1'!K199</f>
        <v>0</v>
      </c>
      <c r="L12" s="1">
        <f>'3.1'!L199</f>
        <v>0</v>
      </c>
      <c r="M12" s="1">
        <f>'3.1'!M199</f>
        <v>0</v>
      </c>
      <c r="N12" s="1">
        <f>'3.1'!N199</f>
        <v>0</v>
      </c>
      <c r="O12" s="1">
        <f>'3.1'!O199</f>
        <v>0</v>
      </c>
      <c r="P12" s="1">
        <f>'3.1'!P199</f>
        <v>0</v>
      </c>
      <c r="Q12" s="1">
        <f>'3.1'!Q199</f>
        <v>0</v>
      </c>
      <c r="R12" s="1">
        <f>SUM(B12:Q12)</f>
        <v>2822397</v>
      </c>
    </row>
    <row r="13" spans="1:18" x14ac:dyDescent="0.3">
      <c r="A13" s="3" t="s">
        <v>251</v>
      </c>
      <c r="B13" s="1">
        <f>'3.1'!B200</f>
        <v>0</v>
      </c>
      <c r="C13" s="1">
        <f>'3.1'!C200</f>
        <v>0</v>
      </c>
      <c r="D13" s="1">
        <f>'3.1'!D200</f>
        <v>292618</v>
      </c>
      <c r="E13" s="1">
        <f>'3.1'!E200</f>
        <v>0</v>
      </c>
      <c r="F13" s="1">
        <f>'3.1'!F200</f>
        <v>0</v>
      </c>
      <c r="G13" s="1">
        <f>'3.1'!G200</f>
        <v>0</v>
      </c>
      <c r="H13" s="1">
        <f>'3.1'!H200</f>
        <v>0</v>
      </c>
      <c r="I13" s="1">
        <f>'3.1'!I200</f>
        <v>0</v>
      </c>
      <c r="J13" s="1">
        <f>'3.1'!J200</f>
        <v>0</v>
      </c>
      <c r="K13" s="1">
        <f>'3.1'!K200</f>
        <v>0</v>
      </c>
      <c r="L13" s="1">
        <f>'3.1'!L200</f>
        <v>0</v>
      </c>
      <c r="M13" s="1">
        <f>'3.1'!M200</f>
        <v>0</v>
      </c>
      <c r="N13" s="1">
        <f>'3.1'!N200</f>
        <v>0</v>
      </c>
      <c r="O13" s="1">
        <f>'3.1'!O200</f>
        <v>0</v>
      </c>
      <c r="P13" s="1">
        <f>'3.1'!P200</f>
        <v>0</v>
      </c>
      <c r="Q13" s="1">
        <f>'3.1'!Q200</f>
        <v>0</v>
      </c>
      <c r="R13" s="1">
        <f>SUM(B13:Q13)</f>
        <v>292618</v>
      </c>
    </row>
    <row r="14" spans="1:18" x14ac:dyDescent="0.3">
      <c r="A14" s="3" t="s">
        <v>252</v>
      </c>
      <c r="B14" s="1">
        <f>'3.1'!B201</f>
        <v>1062047.8627661334</v>
      </c>
      <c r="C14" s="1">
        <f>'3.1'!C201</f>
        <v>281792.52753428038</v>
      </c>
      <c r="D14" s="1">
        <f>'3.1'!D201</f>
        <v>2310163.503435344</v>
      </c>
      <c r="E14" s="1">
        <f>'3.1'!E201</f>
        <v>948394.82534987468</v>
      </c>
      <c r="F14" s="1">
        <f>'3.1'!F201</f>
        <v>1933817.4950999729</v>
      </c>
      <c r="G14" s="1">
        <f>'3.1'!G201</f>
        <v>1954197.023443985</v>
      </c>
      <c r="H14" s="1">
        <f>'3.1'!H201</f>
        <v>781917.71490421449</v>
      </c>
      <c r="I14" s="1">
        <f>'3.1'!I201</f>
        <v>394259.60956789763</v>
      </c>
      <c r="J14" s="1">
        <f>'3.1'!J201</f>
        <v>222852.12450984423</v>
      </c>
      <c r="K14" s="1">
        <f>'3.1'!K201</f>
        <v>1217630.7168211518</v>
      </c>
      <c r="L14" s="1">
        <f>'3.1'!L201</f>
        <v>991644.03487332922</v>
      </c>
      <c r="M14" s="1">
        <f>'3.1'!M201</f>
        <v>750622.50899036753</v>
      </c>
      <c r="N14" s="1">
        <f>'3.1'!N201</f>
        <v>403179.35128760542</v>
      </c>
      <c r="O14" s="1">
        <f>'3.1'!O201</f>
        <v>159966.15128760543</v>
      </c>
      <c r="P14" s="1">
        <f>'3.1'!P201</f>
        <v>16189.13505003645</v>
      </c>
      <c r="Q14" s="1">
        <f>'3.1'!Q201</f>
        <v>73007.415078356978</v>
      </c>
      <c r="R14" s="1">
        <f>SUM(B14:Q14)</f>
        <v>13501682.000000002</v>
      </c>
    </row>
    <row r="15" spans="1:18" x14ac:dyDescent="0.3">
      <c r="A15" s="3" t="s">
        <v>253</v>
      </c>
      <c r="B15" s="1">
        <f t="shared" ref="B15:R15" si="1">SUBTOTAL(9,B6:B14)</f>
        <v>3393942.0331783658</v>
      </c>
      <c r="C15" s="1">
        <f t="shared" si="1"/>
        <v>140006562.19420093</v>
      </c>
      <c r="D15" s="1">
        <f t="shared" si="1"/>
        <v>13035868.666356444</v>
      </c>
      <c r="E15" s="1">
        <f t="shared" si="1"/>
        <v>2822425.4733331334</v>
      </c>
      <c r="F15" s="1">
        <f t="shared" si="1"/>
        <v>6659175.9825698771</v>
      </c>
      <c r="G15" s="1">
        <f t="shared" si="1"/>
        <v>4997466.7537103295</v>
      </c>
      <c r="H15" s="1">
        <f t="shared" si="1"/>
        <v>2437136.5440608487</v>
      </c>
      <c r="I15" s="1">
        <f t="shared" si="1"/>
        <v>1020204.3242027097</v>
      </c>
      <c r="J15" s="1">
        <f t="shared" si="1"/>
        <v>453382.12450984423</v>
      </c>
      <c r="K15" s="1">
        <f t="shared" si="1"/>
        <v>1217630.7168211518</v>
      </c>
      <c r="L15" s="1">
        <f t="shared" si="1"/>
        <v>991644.03487332922</v>
      </c>
      <c r="M15" s="1">
        <f t="shared" si="1"/>
        <v>750622.50899036753</v>
      </c>
      <c r="N15" s="1">
        <f t="shared" si="1"/>
        <v>403179.35128760542</v>
      </c>
      <c r="O15" s="1">
        <f t="shared" si="1"/>
        <v>159966.15128760543</v>
      </c>
      <c r="P15" s="1">
        <f t="shared" si="1"/>
        <v>16189.13505003645</v>
      </c>
      <c r="Q15" s="1">
        <f t="shared" si="1"/>
        <v>147228.00556740421</v>
      </c>
      <c r="R15" s="1">
        <f t="shared" si="1"/>
        <v>178512624.00000003</v>
      </c>
    </row>
    <row r="16" spans="1:18" x14ac:dyDescent="0.3">
      <c r="A16" s="2" t="s">
        <v>138</v>
      </c>
    </row>
    <row r="17" spans="1:18" x14ac:dyDescent="0.3">
      <c r="A17" s="3" t="s">
        <v>479</v>
      </c>
      <c r="B17" s="1">
        <f>'3.1'!B204</f>
        <v>34030.977628723726</v>
      </c>
      <c r="C17" s="1">
        <f>'3.1'!C204</f>
        <v>103056.70016013505</v>
      </c>
      <c r="D17" s="1">
        <f>'3.1'!D204</f>
        <v>121773.27395260964</v>
      </c>
      <c r="E17" s="1">
        <f>'3.1'!E204</f>
        <v>27155.366411247553</v>
      </c>
      <c r="F17" s="1">
        <f>'3.1'!F204</f>
        <v>40097.504839195361</v>
      </c>
      <c r="G17" s="1">
        <f>'3.1'!G204</f>
        <v>54441.810024769475</v>
      </c>
      <c r="H17" s="1">
        <f>'3.1'!H204</f>
        <v>17376.531757658457</v>
      </c>
      <c r="I17" s="1">
        <f>'3.1'!I204</f>
        <v>1749.9024326575041</v>
      </c>
      <c r="J17" s="1">
        <f>'3.1'!J204</f>
        <v>5411.9563263683012</v>
      </c>
      <c r="K17" s="1">
        <f>'3.1'!K204</f>
        <v>21486.704391510812</v>
      </c>
      <c r="L17" s="1">
        <f>'3.1'!L204</f>
        <v>6379.9265878459082</v>
      </c>
      <c r="M17" s="1">
        <f>'3.1'!M204</f>
        <v>664.52976344541798</v>
      </c>
      <c r="N17" s="1">
        <f>'3.1'!N204</f>
        <v>664.52976344541798</v>
      </c>
      <c r="O17" s="1">
        <f>'3.1'!O204</f>
        <v>664.52976344541798</v>
      </c>
      <c r="P17" s="1">
        <f>'3.1'!P204</f>
        <v>664.52976344541798</v>
      </c>
      <c r="Q17" s="1">
        <f>'3.1'!Q204</f>
        <v>793.22643349653072</v>
      </c>
      <c r="R17" s="1">
        <f>SUM(B17:Q17)</f>
        <v>436411.99999999994</v>
      </c>
    </row>
    <row r="18" spans="1:18" x14ac:dyDescent="0.3">
      <c r="A18" s="47" t="s">
        <v>725</v>
      </c>
      <c r="B18" s="1">
        <f>'3.1'!B205</f>
        <v>2134453</v>
      </c>
      <c r="C18" s="1">
        <f>'3.1'!C205</f>
        <v>0</v>
      </c>
      <c r="D18" s="1">
        <f>'3.1'!D205</f>
        <v>0</v>
      </c>
      <c r="E18" s="1">
        <f>'3.1'!E205</f>
        <v>0</v>
      </c>
      <c r="F18" s="1">
        <f>'3.1'!F205</f>
        <v>0</v>
      </c>
      <c r="G18" s="1">
        <f>'3.1'!G205</f>
        <v>0</v>
      </c>
      <c r="H18" s="1">
        <f>'3.1'!H205</f>
        <v>0</v>
      </c>
      <c r="I18" s="1">
        <f>'3.1'!I205</f>
        <v>0</v>
      </c>
      <c r="J18" s="1">
        <f>'3.1'!J205</f>
        <v>0</v>
      </c>
      <c r="K18" s="1">
        <f>'3.1'!K205</f>
        <v>0</v>
      </c>
      <c r="L18" s="1">
        <f>'3.1'!L205</f>
        <v>0</v>
      </c>
      <c r="M18" s="1">
        <f>'3.1'!M205</f>
        <v>0</v>
      </c>
      <c r="N18" s="1">
        <f>'3.1'!N205</f>
        <v>0</v>
      </c>
      <c r="O18" s="1">
        <f>'3.1'!O205</f>
        <v>0</v>
      </c>
      <c r="P18" s="1">
        <f>'3.1'!P205</f>
        <v>0</v>
      </c>
      <c r="Q18" s="1">
        <f>'3.1'!Q205</f>
        <v>0</v>
      </c>
      <c r="R18" s="1">
        <f>SUM(B18:Q18)</f>
        <v>2134453</v>
      </c>
    </row>
    <row r="19" spans="1:18" x14ac:dyDescent="0.3">
      <c r="A19" s="3" t="s">
        <v>480</v>
      </c>
      <c r="B19" s="1">
        <f>'3.1'!B206</f>
        <v>2498060.72415881</v>
      </c>
      <c r="C19" s="1">
        <f>'3.1'!C206</f>
        <v>76664.17960555754</v>
      </c>
      <c r="D19" s="1">
        <f>'3.1'!D206</f>
        <v>3940499.1992600765</v>
      </c>
      <c r="E19" s="1">
        <f>'3.1'!E206</f>
        <v>1439465.0131167122</v>
      </c>
      <c r="F19" s="1">
        <f>'3.1'!F206</f>
        <v>6699364.4783851188</v>
      </c>
      <c r="G19" s="1">
        <f>'3.1'!G206</f>
        <v>5058308.8051804509</v>
      </c>
      <c r="H19" s="1">
        <f>'3.1'!H206</f>
        <v>2310581.4000981734</v>
      </c>
      <c r="I19" s="1">
        <f>'3.1'!I206</f>
        <v>2964133.9704350154</v>
      </c>
      <c r="J19" s="1">
        <f>'3.1'!J206</f>
        <v>1254112.1604134457</v>
      </c>
      <c r="K19" s="1">
        <f>'3.1'!K206</f>
        <v>137440.90872669316</v>
      </c>
      <c r="L19" s="1">
        <f>'3.1'!L206</f>
        <v>52501.047642307843</v>
      </c>
      <c r="M19" s="1">
        <f>'3.1'!M206</f>
        <v>34483.625219699694</v>
      </c>
      <c r="N19" s="1">
        <f>'3.1'!N206</f>
        <v>10452.725659745467</v>
      </c>
      <c r="O19" s="1">
        <f>'3.1'!O206</f>
        <v>10452.725659745467</v>
      </c>
      <c r="P19" s="1">
        <f>'3.1'!P206</f>
        <v>4128.804722915409</v>
      </c>
      <c r="Q19" s="1">
        <f>'3.1'!Q206</f>
        <v>510708.23171553563</v>
      </c>
      <c r="R19" s="1">
        <f>SUM(B19:Q19)</f>
        <v>27001358.000000004</v>
      </c>
    </row>
    <row r="20" spans="1:18" x14ac:dyDescent="0.3">
      <c r="A20" s="3" t="s">
        <v>254</v>
      </c>
      <c r="B20" s="1">
        <f>SUBTOTAL(9,B16:B19)</f>
        <v>4666544.7017875332</v>
      </c>
      <c r="C20" s="1">
        <f>SUBTOTAL(9,C16:C19)</f>
        <v>179720.87976569257</v>
      </c>
      <c r="D20" s="1">
        <f>SUBTOTAL(9,D16:D19)</f>
        <v>4062272.4732126864</v>
      </c>
      <c r="E20" s="1">
        <f>SUBTOTAL(9,E16:E19)</f>
        <v>1466620.3795279597</v>
      </c>
      <c r="F20" s="1">
        <f>SUBTOTAL(9,F16:F19)</f>
        <v>6739461.9832243137</v>
      </c>
      <c r="G20" s="1">
        <f>SUBTOTAL(9,G16:G19)</f>
        <v>5112750.6152052199</v>
      </c>
      <c r="H20" s="1">
        <f>SUBTOTAL(9,H16:H19)</f>
        <v>2327957.9318558318</v>
      </c>
      <c r="I20" s="1">
        <f>SUBTOTAL(9,I16:I19)</f>
        <v>2965883.8728676727</v>
      </c>
      <c r="J20" s="1">
        <f>SUBTOTAL(9,J16:J19)</f>
        <v>1259524.1167398139</v>
      </c>
      <c r="K20" s="1">
        <f>SUBTOTAL(9,K16:K19)</f>
        <v>158927.61311820397</v>
      </c>
      <c r="L20" s="1">
        <f>SUBTOTAL(9,L16:L19)</f>
        <v>58880.974230153748</v>
      </c>
      <c r="M20" s="1">
        <f>SUBTOTAL(9,M16:M19)</f>
        <v>35148.154983145112</v>
      </c>
      <c r="N20" s="1">
        <f>SUBTOTAL(9,N16:N19)</f>
        <v>11117.255423190885</v>
      </c>
      <c r="O20" s="1">
        <f>SUBTOTAL(9,O16:O19)</f>
        <v>11117.255423190885</v>
      </c>
      <c r="P20" s="1">
        <f>SUBTOTAL(9,P16:P19)</f>
        <v>4793.3344863608272</v>
      </c>
      <c r="Q20" s="1">
        <f>SUBTOTAL(9,Q16:Q19)</f>
        <v>511501.45814903214</v>
      </c>
      <c r="R20" s="1">
        <f>SUBTOTAL(9,R16:R19)</f>
        <v>29572223.000000004</v>
      </c>
    </row>
    <row r="21" spans="1:18" x14ac:dyDescent="0.3">
      <c r="A21" s="1" t="s">
        <v>263</v>
      </c>
      <c r="B21" s="1">
        <f>SUBTOTAL(9,B6:B20)</f>
        <v>8060486.7349659</v>
      </c>
      <c r="C21" s="1">
        <f>SUBTOTAL(9,C6:C20)</f>
        <v>140186283.07396662</v>
      </c>
      <c r="D21" s="1">
        <f>SUBTOTAL(9,D6:D20)</f>
        <v>17098141.13956913</v>
      </c>
      <c r="E21" s="1">
        <f>SUBTOTAL(9,E6:E20)</f>
        <v>4289045.8528610934</v>
      </c>
      <c r="F21" s="1">
        <f>SUBTOTAL(9,F6:F20)</f>
        <v>13398637.965794191</v>
      </c>
      <c r="G21" s="1">
        <f>SUBTOTAL(9,G6:G20)</f>
        <v>10110217.36891555</v>
      </c>
      <c r="H21" s="1">
        <f>SUBTOTAL(9,H6:H20)</f>
        <v>4765094.4759166799</v>
      </c>
      <c r="I21" s="1">
        <f>SUBTOTAL(9,I6:I20)</f>
        <v>3986088.1970703825</v>
      </c>
      <c r="J21" s="1">
        <f>SUBTOTAL(9,J6:J20)</f>
        <v>1712906.2412496582</v>
      </c>
      <c r="K21" s="1">
        <f>SUBTOTAL(9,K6:K20)</f>
        <v>1376558.3299393558</v>
      </c>
      <c r="L21" s="1">
        <f>SUBTOTAL(9,L6:L20)</f>
        <v>1050525.0091034831</v>
      </c>
      <c r="M21" s="1">
        <f>SUBTOTAL(9,M6:M20)</f>
        <v>785770.66397351259</v>
      </c>
      <c r="N21" s="1">
        <f>SUBTOTAL(9,N6:N20)</f>
        <v>414296.6067107963</v>
      </c>
      <c r="O21" s="1">
        <f>SUBTOTAL(9,O6:O20)</f>
        <v>171083.40671079629</v>
      </c>
      <c r="P21" s="1">
        <f>SUBTOTAL(9,P6:P20)</f>
        <v>20982.469536397279</v>
      </c>
      <c r="Q21" s="1">
        <f>SUBTOTAL(9,Q6:Q20)</f>
        <v>658729.46371643641</v>
      </c>
      <c r="R21" s="1">
        <f>SUBTOTAL(9,R6:R20)</f>
        <v>208084847.00000003</v>
      </c>
    </row>
    <row r="22" spans="1:18" x14ac:dyDescent="0.3">
      <c r="A22" s="1" t="s">
        <v>246</v>
      </c>
      <c r="C22" s="1">
        <f>SUMIFS('6.1'!$L$6:$L$74,Assets_PresHeader,$A22,Assets_BasisFunc,C$5)</f>
        <v>0</v>
      </c>
      <c r="D22" s="1">
        <f>SUMIFS('6.1'!$L$6:$L$74,Assets_PresHeader,$A22,Assets_BasisFunc,D$5)</f>
        <v>0</v>
      </c>
      <c r="E22" s="1">
        <f>SUMIFS('6.1'!$L$6:$L$74,Assets_PresHeader,$A22,Assets_BasisFunc,E$5)</f>
        <v>0</v>
      </c>
      <c r="F22" s="1">
        <f>SUMIFS('6.1'!$L$6:$L$74,Assets_PresHeader,$A22,Assets_BasisFunc,F$5)</f>
        <v>0</v>
      </c>
      <c r="G22" s="1">
        <f>SUMIFS('6.1'!$L$6:$L$74,Assets_PresHeader,$A22,Assets_BasisFunc,G$5)</f>
        <v>0</v>
      </c>
      <c r="H22" s="1">
        <f>SUMIFS('6.1'!$L$6:$L$74,Assets_PresHeader,$A22,Assets_BasisFunc,H$5)</f>
        <v>0</v>
      </c>
      <c r="I22" s="1">
        <f>SUMIFS('6.1'!$L$6:$L$74,Assets_PresHeader,$A22,Assets_BasisFunc,I$5)</f>
        <v>0</v>
      </c>
      <c r="J22" s="1">
        <f>SUMIFS('6.1'!$L$6:$L$74,Assets_PresHeader,$A22,Assets_BasisFunc,J$5)</f>
        <v>0</v>
      </c>
      <c r="K22" s="1">
        <f>SUMIFS('6.1'!$L$6:$L$74,Assets_PresHeader,$A22,Assets_BasisFunc,K$5)</f>
        <v>0</v>
      </c>
      <c r="L22" s="1">
        <f>SUMIFS('6.1'!$L$6:$L$74,Assets_PresHeader,$A22,Assets_BasisFunc,L$5)</f>
        <v>0</v>
      </c>
      <c r="M22" s="1">
        <f>SUMIFS('6.1'!$L$6:$L$74,Assets_PresHeader,$A22,Assets_BasisFunc,M$5)</f>
        <v>0</v>
      </c>
      <c r="N22" s="1">
        <f>SUMIFS('6.1'!$L$6:$L$74,Assets_PresHeader,$A22,Assets_BasisFunc,N$5)</f>
        <v>0</v>
      </c>
      <c r="O22" s="1">
        <f>SUMIFS('6.1'!$L$6:$L$74,Assets_PresHeader,$A22,Assets_BasisFunc,O$5)</f>
        <v>0</v>
      </c>
      <c r="P22" s="1">
        <f>SUMIFS('6.1'!$L$6:$L$74,Assets_PresHeader,$A22,Assets_BasisFunc,P$5)</f>
        <v>0</v>
      </c>
      <c r="Q22" s="1">
        <f>SUMIFS('6.1'!$L$6:$L$74,Assets_PresHeader,$A22,Assets_BasisFunc,Q$5)</f>
        <v>0</v>
      </c>
      <c r="R22" s="1">
        <f t="shared" ref="R22:R27" si="2">SUM(B22:Q22)</f>
        <v>0</v>
      </c>
    </row>
    <row r="23" spans="1:18" x14ac:dyDescent="0.3">
      <c r="A23" s="3" t="s">
        <v>255</v>
      </c>
      <c r="B23" s="1">
        <f>'3.1'!B210</f>
        <v>1327177.0030595642</v>
      </c>
      <c r="C23" s="1">
        <f>'3.1'!C210</f>
        <v>422233.7115246249</v>
      </c>
      <c r="D23" s="1">
        <f>'3.1'!D210</f>
        <v>2433339.0300590065</v>
      </c>
      <c r="E23" s="1">
        <f>'3.1'!E210</f>
        <v>1088315.3533894247</v>
      </c>
      <c r="F23" s="1">
        <f>'3.1'!F210</f>
        <v>3951385.1399181392</v>
      </c>
      <c r="G23" s="1">
        <f>'3.1'!G210</f>
        <v>2333367.7023719144</v>
      </c>
      <c r="H23" s="1">
        <f>'3.1'!H210</f>
        <v>1334369.9402265826</v>
      </c>
      <c r="I23" s="1">
        <f>'3.1'!I210</f>
        <v>1213466.9373578553</v>
      </c>
      <c r="J23" s="1">
        <f>'3.1'!J210</f>
        <v>347995.2690580964</v>
      </c>
      <c r="K23" s="1">
        <f>'3.1'!K210</f>
        <v>18224.220946738689</v>
      </c>
      <c r="L23" s="1">
        <f>'3.1'!L210</f>
        <v>13649.320255839379</v>
      </c>
      <c r="M23" s="1">
        <f>'3.1'!M210</f>
        <v>20782.825275016985</v>
      </c>
      <c r="N23" s="1">
        <f>'3.1'!N210</f>
        <v>4970.7010175725063</v>
      </c>
      <c r="O23" s="1">
        <f>'3.1'!O210</f>
        <v>4683.1016846087232</v>
      </c>
      <c r="P23" s="1">
        <f>'3.1'!P210</f>
        <v>460.11891614267171</v>
      </c>
      <c r="Q23" s="1">
        <f>'3.1'!Q210</f>
        <v>227827.62493887654</v>
      </c>
      <c r="R23" s="1">
        <f t="shared" si="2"/>
        <v>14742248.000000006</v>
      </c>
    </row>
    <row r="24" spans="1:18" x14ac:dyDescent="0.3">
      <c r="A24" s="3" t="s">
        <v>256</v>
      </c>
      <c r="B24" s="1">
        <f>'3.1'!B211</f>
        <v>120338.1433612268</v>
      </c>
      <c r="C24" s="1">
        <f>'3.1'!C211</f>
        <v>38284.886486322568</v>
      </c>
      <c r="D24" s="1">
        <f>'3.1'!D211</f>
        <v>220636.35850429765</v>
      </c>
      <c r="E24" s="1">
        <f>'3.1'!E211</f>
        <v>98680.016845140461</v>
      </c>
      <c r="F24" s="1">
        <f>'3.1'!F211</f>
        <v>358281.03587291407</v>
      </c>
      <c r="G24" s="1">
        <f>'3.1'!G211</f>
        <v>211571.73190551868</v>
      </c>
      <c r="H24" s="1">
        <f>'3.1'!H211</f>
        <v>120990.34325769692</v>
      </c>
      <c r="I24" s="1">
        <f>'3.1'!I211</f>
        <v>110027.79428459151</v>
      </c>
      <c r="J24" s="1">
        <f>'3.1'!J211</f>
        <v>31553.518845189366</v>
      </c>
      <c r="K24" s="1">
        <f>'3.1'!K211</f>
        <v>1652.4313696512168</v>
      </c>
      <c r="L24" s="1">
        <f>'3.1'!L211</f>
        <v>1237.6147672419988</v>
      </c>
      <c r="M24" s="1">
        <f>'3.1'!M211</f>
        <v>1884.4258163235199</v>
      </c>
      <c r="N24" s="1">
        <f>'3.1'!N211</f>
        <v>450.70471405055713</v>
      </c>
      <c r="O24" s="1">
        <f>'3.1'!O211</f>
        <v>424.62743145674801</v>
      </c>
      <c r="P24" s="1">
        <f>'3.1'!P211</f>
        <v>41.720023754438202</v>
      </c>
      <c r="Q24" s="1">
        <f>'3.1'!Q211</f>
        <v>20657.646514623852</v>
      </c>
      <c r="R24" s="1">
        <f t="shared" si="2"/>
        <v>1336713.0000000002</v>
      </c>
    </row>
    <row r="25" spans="1:18" x14ac:dyDescent="0.3">
      <c r="A25" s="3" t="s">
        <v>257</v>
      </c>
      <c r="B25" s="1">
        <f>'3.1'!B212</f>
        <v>-70126.107709372067</v>
      </c>
      <c r="C25" s="1">
        <f>'3.1'!C212</f>
        <v>-22310.216847221014</v>
      </c>
      <c r="D25" s="1">
        <f>'3.1'!D212</f>
        <v>-128574.10467628368</v>
      </c>
      <c r="E25" s="1">
        <f>'3.1'!E212</f>
        <v>-57505.004620792773</v>
      </c>
      <c r="F25" s="1">
        <f>'3.1'!F212</f>
        <v>-208785.45912438142</v>
      </c>
      <c r="G25" s="1">
        <f>'3.1'!G212</f>
        <v>-123291.76473438271</v>
      </c>
      <c r="H25" s="1">
        <f>'3.1'!H212</f>
        <v>-70506.172075585666</v>
      </c>
      <c r="I25" s="1">
        <f>'3.1'!I212</f>
        <v>-64117.832779460601</v>
      </c>
      <c r="J25" s="1">
        <f>'3.1'!J212</f>
        <v>-18387.565233621473</v>
      </c>
      <c r="K25" s="1">
        <f>'3.1'!K212</f>
        <v>-962.94139974111283</v>
      </c>
      <c r="L25" s="1">
        <f>'3.1'!L212</f>
        <v>-721.21028334134564</v>
      </c>
      <c r="M25" s="1">
        <f>'3.1'!M212</f>
        <v>-1098.134341072132</v>
      </c>
      <c r="N25" s="1">
        <f>'3.1'!N212</f>
        <v>-262.64463153429938</v>
      </c>
      <c r="O25" s="1">
        <f>'3.1'!O212</f>
        <v>-247.4482999567723</v>
      </c>
      <c r="P25" s="1">
        <f>'3.1'!P212</f>
        <v>-24.312016104977978</v>
      </c>
      <c r="Q25" s="1">
        <f>'3.1'!Q212</f>
        <v>-12038.081227148148</v>
      </c>
      <c r="R25" s="1">
        <f t="shared" si="2"/>
        <v>-778959.00000000023</v>
      </c>
    </row>
    <row r="26" spans="1:18" x14ac:dyDescent="0.3">
      <c r="A26" s="3" t="s">
        <v>728</v>
      </c>
      <c r="B26" s="1">
        <f>'3.1'!B213</f>
        <v>-4394.3205862052682</v>
      </c>
      <c r="C26" s="1">
        <f>'3.1'!C213</f>
        <v>-1398.0277585168822</v>
      </c>
      <c r="D26" s="1">
        <f>'3.1'!D213</f>
        <v>-8056.8543369532399</v>
      </c>
      <c r="E26" s="1">
        <f>'3.1'!E213</f>
        <v>-3603.4429097682118</v>
      </c>
      <c r="F26" s="1">
        <f>'3.1'!F213</f>
        <v>-13083.147933048218</v>
      </c>
      <c r="G26" s="1">
        <f>'3.1'!G213</f>
        <v>-7725.8464440550642</v>
      </c>
      <c r="H26" s="1">
        <f>'3.1'!H213</f>
        <v>-4418.1366045626119</v>
      </c>
      <c r="I26" s="1">
        <f>'3.1'!I213</f>
        <v>-4017.8233432453198</v>
      </c>
      <c r="J26" s="1">
        <f>'3.1'!J213</f>
        <v>-1152.2221762423073</v>
      </c>
      <c r="K26" s="1">
        <f>'3.1'!K213</f>
        <v>-60.340910887688828</v>
      </c>
      <c r="L26" s="1">
        <f>'3.1'!L213</f>
        <v>-45.193285333962073</v>
      </c>
      <c r="M26" s="1">
        <f>'3.1'!M213</f>
        <v>-68.812522169219321</v>
      </c>
      <c r="N26" s="1">
        <f>'3.1'!N213</f>
        <v>-16.458131627533952</v>
      </c>
      <c r="O26" s="1">
        <f>'3.1'!O213</f>
        <v>-15.505882103538145</v>
      </c>
      <c r="P26" s="1">
        <f>'3.1'!P213</f>
        <v>-1.5234667423011803</v>
      </c>
      <c r="Q26" s="1">
        <f>'3.1'!Q213</f>
        <v>-754.3437085386463</v>
      </c>
      <c r="R26" s="1">
        <f t="shared" si="2"/>
        <v>-48812.000000000007</v>
      </c>
    </row>
    <row r="27" spans="1:18" x14ac:dyDescent="0.3">
      <c r="A27" s="3" t="s">
        <v>258</v>
      </c>
      <c r="B27" s="1">
        <f>'3.1'!B214</f>
        <v>2240.5525434212223</v>
      </c>
      <c r="C27" s="1">
        <f>'3.1'!C214</f>
        <v>712.81887351405726</v>
      </c>
      <c r="D27" s="1">
        <f>'3.1'!D214</f>
        <v>4107.9855514646442</v>
      </c>
      <c r="E27" s="1">
        <f>'3.1'!E214</f>
        <v>1837.304087894601</v>
      </c>
      <c r="F27" s="1">
        <f>'3.1'!F214</f>
        <v>6670.7650937823491</v>
      </c>
      <c r="G27" s="1">
        <f>'3.1'!G214</f>
        <v>3939.2130275268878</v>
      </c>
      <c r="H27" s="1">
        <f>'3.1'!H214</f>
        <v>2252.6957267547791</v>
      </c>
      <c r="I27" s="1">
        <f>'3.1'!I214</f>
        <v>2048.5861543614178</v>
      </c>
      <c r="J27" s="1">
        <f>'3.1'!J214</f>
        <v>587.48884541339305</v>
      </c>
      <c r="K27" s="1">
        <f>'3.1'!K214</f>
        <v>30.766299069343596</v>
      </c>
      <c r="L27" s="1">
        <f>'3.1'!L214</f>
        <v>23.042909231165453</v>
      </c>
      <c r="M27" s="1">
        <f>'3.1'!M214</f>
        <v>35.085758660729539</v>
      </c>
      <c r="N27" s="1">
        <f>'3.1'!N214</f>
        <v>8.3915836258720198</v>
      </c>
      <c r="O27" s="1">
        <f>'3.1'!O214</f>
        <v>7.9060557607321424</v>
      </c>
      <c r="P27" s="1">
        <f>'3.1'!P214</f>
        <v>0.77677702782905378</v>
      </c>
      <c r="Q27" s="1">
        <f>'3.1'!Q214</f>
        <v>384.62071249098233</v>
      </c>
      <c r="R27" s="1">
        <f t="shared" si="2"/>
        <v>24888.000000000007</v>
      </c>
    </row>
    <row r="28" spans="1:18" x14ac:dyDescent="0.3">
      <c r="A28" s="3" t="s">
        <v>259</v>
      </c>
      <c r="B28" s="1">
        <f>SUBTOTAL(9,B22:B27)</f>
        <v>1375235.2706686349</v>
      </c>
      <c r="C28" s="1">
        <f t="shared" ref="C28:R28" si="3">SUBTOTAL(9,C22:C27)</f>
        <v>437523.17227872362</v>
      </c>
      <c r="D28" s="1">
        <f t="shared" si="3"/>
        <v>2521452.4151015319</v>
      </c>
      <c r="E28" s="1">
        <f t="shared" si="3"/>
        <v>1127724.2267918985</v>
      </c>
      <c r="F28" s="1">
        <f t="shared" si="3"/>
        <v>4094468.3338274057</v>
      </c>
      <c r="G28" s="1">
        <f t="shared" si="3"/>
        <v>2417861.0361265223</v>
      </c>
      <c r="H28" s="1">
        <f t="shared" si="3"/>
        <v>1382688.6705308859</v>
      </c>
      <c r="I28" s="1">
        <f t="shared" si="3"/>
        <v>1257407.6616741023</v>
      </c>
      <c r="J28" s="1">
        <f t="shared" si="3"/>
        <v>360596.48933883535</v>
      </c>
      <c r="K28" s="1">
        <f t="shared" si="3"/>
        <v>18884.136304830448</v>
      </c>
      <c r="L28" s="1">
        <f t="shared" si="3"/>
        <v>14143.574363637235</v>
      </c>
      <c r="M28" s="1">
        <f t="shared" si="3"/>
        <v>21535.389986759885</v>
      </c>
      <c r="N28" s="1">
        <f t="shared" si="3"/>
        <v>5150.6945520871022</v>
      </c>
      <c r="O28" s="1">
        <f t="shared" si="3"/>
        <v>4852.6809897658923</v>
      </c>
      <c r="P28" s="1">
        <f t="shared" si="3"/>
        <v>476.78023407765977</v>
      </c>
      <c r="Q28" s="1">
        <f t="shared" si="3"/>
        <v>236077.46723030458</v>
      </c>
      <c r="R28" s="1">
        <f t="shared" si="3"/>
        <v>15276078.000000006</v>
      </c>
    </row>
    <row r="29" spans="1:18" x14ac:dyDescent="0.3">
      <c r="A29" s="1" t="s">
        <v>260</v>
      </c>
      <c r="B29" s="1">
        <f>SUBTOTAL(9,B30:B31)</f>
        <v>2319473.1439550193</v>
      </c>
      <c r="C29" s="1">
        <f t="shared" ref="C29:Q29" si="4">SUBTOTAL(9,C30:C31)</f>
        <v>737927.00754766189</v>
      </c>
      <c r="D29" s="1">
        <f t="shared" si="4"/>
        <v>4252684.0936424164</v>
      </c>
      <c r="E29" s="1">
        <f t="shared" si="4"/>
        <v>1902020.7768227844</v>
      </c>
      <c r="F29" s="1">
        <f t="shared" si="4"/>
        <v>6905734.2708128104</v>
      </c>
      <c r="G29" s="1">
        <f t="shared" si="4"/>
        <v>4077966.7731936905</v>
      </c>
      <c r="H29" s="1">
        <f t="shared" si="4"/>
        <v>2332044.0554058608</v>
      </c>
      <c r="I29" s="1">
        <f t="shared" si="4"/>
        <v>2120744.9841206842</v>
      </c>
      <c r="J29" s="1">
        <f t="shared" si="4"/>
        <v>608182.38934436231</v>
      </c>
      <c r="K29" s="1">
        <f t="shared" si="4"/>
        <v>31850.002643216219</v>
      </c>
      <c r="L29" s="1">
        <f t="shared" si="4"/>
        <v>23854.566266350394</v>
      </c>
      <c r="M29" s="1">
        <f t="shared" si="4"/>
        <v>36321.609679630667</v>
      </c>
      <c r="N29" s="1">
        <f t="shared" si="4"/>
        <v>8687.1664369638493</v>
      </c>
      <c r="O29" s="1">
        <f t="shared" si="4"/>
        <v>8184.5364731451245</v>
      </c>
      <c r="P29" s="1">
        <f t="shared" si="4"/>
        <v>804.1380061275222</v>
      </c>
      <c r="Q29" s="1">
        <f t="shared" si="4"/>
        <v>398168.48564928328</v>
      </c>
      <c r="R29" s="1">
        <f>SUBTOTAL(9,R30:R31)</f>
        <v>25764648.000000011</v>
      </c>
    </row>
    <row r="30" spans="1:18" x14ac:dyDescent="0.3">
      <c r="A30" s="1" t="s">
        <v>261</v>
      </c>
      <c r="B30" s="1">
        <f>'3.1'!B217</f>
        <v>722532.46234222013</v>
      </c>
      <c r="C30" s="1">
        <f>'3.1'!C217</f>
        <v>229869.53704628794</v>
      </c>
      <c r="D30" s="1">
        <f>'3.1'!D217</f>
        <v>1324741.4904333274</v>
      </c>
      <c r="E30" s="1">
        <f>'3.1'!E217</f>
        <v>592493.06631785666</v>
      </c>
      <c r="F30" s="1">
        <f>'3.1'!F217</f>
        <v>2151185.5828015562</v>
      </c>
      <c r="G30" s="1">
        <f>'3.1'!G217</f>
        <v>1270315.7963541979</v>
      </c>
      <c r="H30" s="1">
        <f>'3.1'!H217</f>
        <v>726448.39110739436</v>
      </c>
      <c r="I30" s="1">
        <f>'3.1'!I217</f>
        <v>660627.22018149227</v>
      </c>
      <c r="J30" s="1">
        <f>'3.1'!J217</f>
        <v>189453.16115058181</v>
      </c>
      <c r="K30" s="1">
        <f>'3.1'!K217</f>
        <v>9921.5034652953564</v>
      </c>
      <c r="L30" s="1">
        <f>'3.1'!L217</f>
        <v>7430.8678880164071</v>
      </c>
      <c r="M30" s="1">
        <f>'3.1'!M217</f>
        <v>11314.441017112935</v>
      </c>
      <c r="N30" s="1">
        <f>'3.1'!N217</f>
        <v>2706.1144350106365</v>
      </c>
      <c r="O30" s="1">
        <f>'3.1'!O217</f>
        <v>2549.5416088274992</v>
      </c>
      <c r="P30" s="1">
        <f>'3.1'!P217</f>
        <v>250.49473633463612</v>
      </c>
      <c r="Q30" s="1">
        <f>'3.1'!Q217</f>
        <v>124032.32911448993</v>
      </c>
      <c r="R30" s="1">
        <f>SUM(B30:Q30)</f>
        <v>8025872.0000000028</v>
      </c>
    </row>
    <row r="31" spans="1:18" x14ac:dyDescent="0.3">
      <c r="A31" s="1" t="s">
        <v>606</v>
      </c>
      <c r="B31" s="1">
        <f>'3.1'!B218</f>
        <v>1596940.6816127989</v>
      </c>
      <c r="C31" s="1">
        <f>'3.1'!C218</f>
        <v>508057.47050137399</v>
      </c>
      <c r="D31" s="1">
        <f>'3.1'!D218</f>
        <v>2927942.603209089</v>
      </c>
      <c r="E31" s="1">
        <f>'3.1'!E218</f>
        <v>1309527.7105049277</v>
      </c>
      <c r="F31" s="1">
        <f>'3.1'!F218</f>
        <v>4754548.6880112542</v>
      </c>
      <c r="G31" s="1">
        <f>'3.1'!G218</f>
        <v>2807650.9768394926</v>
      </c>
      <c r="H31" s="1">
        <f>'3.1'!H218</f>
        <v>1605595.6642984664</v>
      </c>
      <c r="I31" s="1">
        <f>'3.1'!I218</f>
        <v>1460117.7639391921</v>
      </c>
      <c r="J31" s="1">
        <f>'3.1'!J218</f>
        <v>418729.22819378047</v>
      </c>
      <c r="K31" s="1">
        <f>'3.1'!K218</f>
        <v>21928.499177920865</v>
      </c>
      <c r="L31" s="1">
        <f>'3.1'!L218</f>
        <v>16423.698378333986</v>
      </c>
      <c r="M31" s="1">
        <f>'3.1'!M218</f>
        <v>25007.168662517732</v>
      </c>
      <c r="N31" s="1">
        <f>'3.1'!N218</f>
        <v>5981.0520019532132</v>
      </c>
      <c r="O31" s="1">
        <f>'3.1'!O218</f>
        <v>5634.9948643176258</v>
      </c>
      <c r="P31" s="1">
        <f>'3.1'!P218</f>
        <v>553.64326979288614</v>
      </c>
      <c r="Q31" s="1">
        <f>'3.1'!Q218</f>
        <v>274136.15653479338</v>
      </c>
      <c r="R31" s="1">
        <f>SUM(B31:Q31)</f>
        <v>17738776.000000007</v>
      </c>
    </row>
    <row r="32" spans="1:18" x14ac:dyDescent="0.3">
      <c r="A32" s="1" t="s">
        <v>629</v>
      </c>
      <c r="B32" s="1">
        <f>SUBTOTAL(9,B6:B31)</f>
        <v>11755195.149589553</v>
      </c>
      <c r="C32" s="1">
        <f>SUBTOTAL(9,C6:C31)</f>
        <v>141361733.25379303</v>
      </c>
      <c r="D32" s="1">
        <f>SUBTOTAL(9,D6:D31)</f>
        <v>23872277.648313079</v>
      </c>
      <c r="E32" s="1">
        <f>SUBTOTAL(9,E6:E31)</f>
        <v>7318790.8564757779</v>
      </c>
      <c r="F32" s="1">
        <f>SUBTOTAL(9,F6:F31)</f>
        <v>24398840.57043441</v>
      </c>
      <c r="G32" s="1">
        <f>SUBTOTAL(9,G6:G31)</f>
        <v>16606045.178235764</v>
      </c>
      <c r="H32" s="1">
        <f>SUBTOTAL(9,H6:H31)</f>
        <v>8479827.201853428</v>
      </c>
      <c r="I32" s="1">
        <f>SUBTOTAL(9,I6:I31)</f>
        <v>7364240.842865169</v>
      </c>
      <c r="J32" s="1">
        <f>SUBTOTAL(9,J6:J31)</f>
        <v>2681685.1199328555</v>
      </c>
      <c r="K32" s="1">
        <f>SUBTOTAL(9,K6:K31)</f>
        <v>1427292.4688874024</v>
      </c>
      <c r="L32" s="1">
        <f>SUBTOTAL(9,L6:L31)</f>
        <v>1088523.1497334708</v>
      </c>
      <c r="M32" s="1">
        <f>SUBTOTAL(9,M6:M31)</f>
        <v>843627.66363990295</v>
      </c>
      <c r="N32" s="1">
        <f>SUBTOTAL(9,N6:N31)</f>
        <v>428134.4676998473</v>
      </c>
      <c r="O32" s="1">
        <f>SUBTOTAL(9,O6:O31)</f>
        <v>184120.62417370733</v>
      </c>
      <c r="P32" s="1">
        <f>SUBTOTAL(9,P6:P31)</f>
        <v>22263.38777660246</v>
      </c>
      <c r="Q32" s="1">
        <f>SUBTOTAL(9,Q6:Q31)</f>
        <v>1292975.4165960243</v>
      </c>
      <c r="R32" s="1">
        <f>SUBTOTAL(9,R6:R31)</f>
        <v>249125573.00000003</v>
      </c>
    </row>
    <row r="33" spans="1:20" x14ac:dyDescent="0.3">
      <c r="A33" s="1" t="s">
        <v>632</v>
      </c>
      <c r="B33" s="1">
        <f>'3.1'!B220</f>
        <v>0</v>
      </c>
      <c r="C33" s="1">
        <f>'3.1'!C220</f>
        <v>0</v>
      </c>
      <c r="D33" s="1">
        <f>'3.1'!D220</f>
        <v>-2725459.0299999993</v>
      </c>
      <c r="E33" s="1">
        <f>'3.1'!E220</f>
        <v>0</v>
      </c>
      <c r="F33" s="1">
        <f>'3.1'!F220</f>
        <v>0</v>
      </c>
      <c r="G33" s="1">
        <f>'3.1'!G220</f>
        <v>0</v>
      </c>
      <c r="H33" s="1">
        <f>'3.1'!H220</f>
        <v>0</v>
      </c>
      <c r="I33" s="1">
        <f>'3.1'!I220</f>
        <v>0</v>
      </c>
      <c r="J33" s="1">
        <f>'3.1'!J220</f>
        <v>0</v>
      </c>
      <c r="K33" s="1">
        <f>'3.1'!K220</f>
        <v>0</v>
      </c>
      <c r="L33" s="1">
        <f>'3.1'!L220</f>
        <v>0</v>
      </c>
      <c r="M33" s="1">
        <f>'3.1'!M220</f>
        <v>0</v>
      </c>
      <c r="N33" s="1">
        <f>'3.1'!N220</f>
        <v>0</v>
      </c>
      <c r="O33" s="1">
        <f>'3.1'!O220</f>
        <v>0</v>
      </c>
      <c r="P33" s="1">
        <f>'3.1'!P220</f>
        <v>0</v>
      </c>
      <c r="Q33" s="1">
        <f>'3.1'!Q220</f>
        <v>0</v>
      </c>
      <c r="R33" s="1">
        <f>SUM(B33:Q33)</f>
        <v>-2725459.0299999993</v>
      </c>
    </row>
    <row r="34" spans="1:20" x14ac:dyDescent="0.3">
      <c r="A34" s="1" t="s">
        <v>631</v>
      </c>
      <c r="B34" s="1">
        <f>'3.1'!B221</f>
        <v>-131242.6518764543</v>
      </c>
      <c r="C34" s="1">
        <f>'3.1'!C221</f>
        <v>-41754.092999185683</v>
      </c>
      <c r="D34" s="1">
        <f>'3.1'!D221</f>
        <v>-240629.44617274258</v>
      </c>
      <c r="E34" s="1">
        <f>'3.1'!E221</f>
        <v>-107621.96204983386</v>
      </c>
      <c r="F34" s="1">
        <f>'3.1'!F221</f>
        <v>-767620.37336546369</v>
      </c>
      <c r="G34" s="1">
        <f>'3.1'!G221</f>
        <v>-230743.42333854863</v>
      </c>
      <c r="H34" s="1">
        <f>'3.1'!H221</f>
        <v>-257578.45123321228</v>
      </c>
      <c r="I34" s="1">
        <f>'3.1'!I221</f>
        <v>-119998.02472172328</v>
      </c>
      <c r="J34" s="1">
        <f>'3.1'!J221</f>
        <v>-34412.758694851371</v>
      </c>
      <c r="K34" s="1">
        <f>'3.1'!K221</f>
        <v>-1802.1673672151987</v>
      </c>
      <c r="L34" s="1">
        <f>'3.1'!L221</f>
        <v>-1349.761925167239</v>
      </c>
      <c r="M34" s="1">
        <f>'3.1'!M221</f>
        <v>-2055.18412110085</v>
      </c>
      <c r="N34" s="1">
        <f>'3.1'!N221</f>
        <v>-491.54557510210805</v>
      </c>
      <c r="O34" s="1">
        <f>'3.1'!O221</f>
        <v>-468377.10528488533</v>
      </c>
      <c r="P34" s="1">
        <f>'3.1'!P221</f>
        <v>-623216.50050716207</v>
      </c>
      <c r="Q34" s="1">
        <f>'3.1'!Q221</f>
        <v>-22529.550767351884</v>
      </c>
      <c r="R34" s="1">
        <f>SUM(B34:Q34)</f>
        <v>-3051423.0000000005</v>
      </c>
    </row>
    <row r="35" spans="1:20" x14ac:dyDescent="0.3">
      <c r="A35" s="1" t="s">
        <v>630</v>
      </c>
      <c r="B35" s="1">
        <f>SUBTOTAL(9,B6:B34)</f>
        <v>11623952.497713098</v>
      </c>
      <c r="C35" s="1">
        <f>SUBTOTAL(9,C6:C34)</f>
        <v>141319979.16079384</v>
      </c>
      <c r="D35" s="1">
        <f>SUBTOTAL(9,D6:D34)</f>
        <v>20906189.172140338</v>
      </c>
      <c r="E35" s="1">
        <f>SUBTOTAL(9,E6:E34)</f>
        <v>7211168.8944259444</v>
      </c>
      <c r="F35" s="1">
        <f>SUBTOTAL(9,F6:F34)</f>
        <v>23631220.197068945</v>
      </c>
      <c r="G35" s="1">
        <f>SUBTOTAL(9,G6:G34)</f>
        <v>16375301.754897214</v>
      </c>
      <c r="H35" s="1">
        <f>SUBTOTAL(9,H6:H34)</f>
        <v>8222248.7506202161</v>
      </c>
      <c r="I35" s="1">
        <f>SUBTOTAL(9,I6:I34)</f>
        <v>7244242.818143446</v>
      </c>
      <c r="J35" s="1">
        <f>SUBTOTAL(9,J6:J34)</f>
        <v>2647272.3612380042</v>
      </c>
      <c r="K35" s="1">
        <f>SUBTOTAL(9,K6:K34)</f>
        <v>1425490.3015201872</v>
      </c>
      <c r="L35" s="1">
        <f>SUBTOTAL(9,L6:L34)</f>
        <v>1087173.3878083036</v>
      </c>
      <c r="M35" s="1">
        <f>SUBTOTAL(9,M6:M34)</f>
        <v>841572.47951880214</v>
      </c>
      <c r="N35" s="1">
        <f>SUBTOTAL(9,N6:N34)</f>
        <v>427642.92212474521</v>
      </c>
      <c r="O35" s="1">
        <f>SUBTOTAL(9,O6:O34)</f>
        <v>-284256.481111178</v>
      </c>
      <c r="P35" s="1">
        <f>SUBTOTAL(9,P6:P34)</f>
        <v>-600953.11273055966</v>
      </c>
      <c r="Q35" s="1">
        <f>SUBTOTAL(9,Q6:Q34)</f>
        <v>1270445.8658286724</v>
      </c>
      <c r="R35" s="1">
        <f>SUBTOTAL(9,R6:R34)</f>
        <v>243348690.97000003</v>
      </c>
      <c r="T35" s="46"/>
    </row>
    <row r="37" spans="1:20" s="5" customFormat="1" x14ac:dyDescent="0.3">
      <c r="A37" s="5" t="s">
        <v>543</v>
      </c>
    </row>
    <row r="38" spans="1:20" s="9" customFormat="1" ht="54" x14ac:dyDescent="0.25">
      <c r="B38" s="17" t="str">
        <f t="array" ref="B38:Q38">TRANSPOSE(List_Functions)</f>
        <v>Generation</v>
      </c>
      <c r="C38" s="17" t="str">
        <v>Purchased Power</v>
      </c>
      <c r="D38" s="17" t="str">
        <v>Transmission</v>
      </c>
      <c r="E38" s="17" t="str">
        <v>Substations</v>
      </c>
      <c r="F38" s="17" t="str">
        <v>Primary Lines</v>
      </c>
      <c r="G38" s="17" t="str">
        <v>Transformers</v>
      </c>
      <c r="H38" s="17" t="str">
        <v>Secondary Lines</v>
      </c>
      <c r="I38" s="17" t="str">
        <v>Service Lines</v>
      </c>
      <c r="J38" s="17" t="str">
        <v>Meter Assets</v>
      </c>
      <c r="K38" s="17" t="str">
        <v>Meter Reading</v>
      </c>
      <c r="L38" s="17" t="str">
        <v>Billing</v>
      </c>
      <c r="M38" s="17" t="str">
        <v>Remittance &amp; Collection</v>
      </c>
      <c r="N38" s="17" t="str">
        <v>Uncollectibles &amp; Damage Claims</v>
      </c>
      <c r="O38" s="17" t="str">
        <v>Service Connections</v>
      </c>
      <c r="P38" s="17" t="str">
        <v>Late Payments</v>
      </c>
      <c r="Q38" s="17" t="str">
        <v>Lighting</v>
      </c>
      <c r="R38" s="17" t="s">
        <v>214</v>
      </c>
    </row>
    <row r="39" spans="1:20" x14ac:dyDescent="0.3">
      <c r="A39" s="1" t="s">
        <v>262</v>
      </c>
    </row>
    <row r="40" spans="1:20" x14ac:dyDescent="0.3">
      <c r="A40" s="3" t="s">
        <v>247</v>
      </c>
      <c r="B40" s="1">
        <f>B7*VLOOKUP(VLOOKUP(B$38,Table_AllocByFunction,2,FALSE),Table_Classification,2,FALSE)</f>
        <v>1487231.1324935874</v>
      </c>
      <c r="C40" s="1">
        <f>C7*VLOOKUP(VLOOKUP(C$38,Table_AllocByFunction,2,FALSE),Table_Classification,2,FALSE)</f>
        <v>23344649.899999999</v>
      </c>
      <c r="D40" s="1">
        <f>D7*VLOOKUP(VLOOKUP(D$38,Table_AllocByFunction,2,FALSE),Table_Classification,2,FALSE)</f>
        <v>8553064.6629211009</v>
      </c>
      <c r="E40" s="1">
        <f>E7*VLOOKUP(VLOOKUP(E$38,Table_AllocByFunction,2,FALSE),Table_Classification,2,FALSE)</f>
        <v>275459.50000000006</v>
      </c>
      <c r="F40" s="1">
        <f>F7*VLOOKUP(VLOOKUP(F$38,Table_AllocByFunction,2,FALSE),Table_Classification,2,FALSE)</f>
        <v>45909.916666666679</v>
      </c>
      <c r="G40" s="1">
        <f>G7*VLOOKUP(VLOOKUP(G$38,Table_AllocByFunction,2,FALSE),Table_Classification,2,FALSE)</f>
        <v>55091.900000000016</v>
      </c>
      <c r="H40" s="1">
        <f>H7*VLOOKUP(VLOOKUP(H$38,Table_AllocByFunction,2,FALSE),Table_Classification,2,FALSE)</f>
        <v>45909.916666666679</v>
      </c>
      <c r="I40" s="1">
        <f>I7*VLOOKUP(VLOOKUP(I$38,Table_AllocByFunction,2,FALSE),Table_Classification,2,FALSE)</f>
        <v>0</v>
      </c>
      <c r="J40" s="1">
        <f>J7*VLOOKUP(VLOOKUP(J$38,Table_AllocByFunction,2,FALSE),Table_Classification,2,FALSE)</f>
        <v>0</v>
      </c>
      <c r="K40" s="1">
        <f>K7*VLOOKUP(VLOOKUP(K$38,Table_AllocByFunction,2,FALSE),Table_Classification,2,FALSE)</f>
        <v>0</v>
      </c>
      <c r="L40" s="1">
        <f>L7*VLOOKUP(VLOOKUP(L$38,Table_AllocByFunction,2,FALSE),Table_Classification,2,FALSE)</f>
        <v>0</v>
      </c>
      <c r="M40" s="1">
        <f>M7*VLOOKUP(VLOOKUP(M$38,Table_AllocByFunction,2,FALSE),Table_Classification,2,FALSE)</f>
        <v>0</v>
      </c>
      <c r="N40" s="1">
        <f>N7*VLOOKUP(VLOOKUP(N$38,Table_AllocByFunction,2,FALSE),Table_Classification,2,FALSE)</f>
        <v>0</v>
      </c>
      <c r="O40" s="1">
        <f>O7*VLOOKUP(VLOOKUP(O$38,Table_AllocByFunction,2,FALSE),Table_Classification,2,FALSE)</f>
        <v>0</v>
      </c>
      <c r="P40" s="1">
        <f>P7*VLOOKUP(VLOOKUP(P$38,Table_AllocByFunction,2,FALSE),Table_Classification,2,FALSE)</f>
        <v>0</v>
      </c>
      <c r="Q40" s="1">
        <f>Q7*VLOOKUP(VLOOKUP(Q$38,Table_AllocByFunction,2,FALSE),Table_Classification,2,FALSE)</f>
        <v>0</v>
      </c>
      <c r="R40" s="1">
        <f>SUM(B40:Q40)</f>
        <v>33807316.928748019</v>
      </c>
    </row>
    <row r="41" spans="1:20" x14ac:dyDescent="0.3">
      <c r="A41" s="3" t="s">
        <v>248</v>
      </c>
      <c r="B41" s="1">
        <f>B8*VLOOKUP(VLOOKUP(B$38,Table_AllocByFunction,2,FALSE),Table_Classification,2,FALSE)</f>
        <v>0</v>
      </c>
      <c r="C41" s="1">
        <f>C8*VLOOKUP(VLOOKUP(C$38,Table_AllocByFunction,2,FALSE),Table_Classification,2,FALSE)</f>
        <v>-1359662.4341016202</v>
      </c>
      <c r="D41" s="1">
        <f>D8*VLOOKUP(VLOOKUP(D$38,Table_AllocByFunction,2,FALSE),Table_Classification,2,FALSE)</f>
        <v>0</v>
      </c>
      <c r="E41" s="1">
        <f>E8*VLOOKUP(VLOOKUP(E$38,Table_AllocByFunction,2,FALSE),Table_Classification,2,FALSE)</f>
        <v>0</v>
      </c>
      <c r="F41" s="1">
        <f>F8*VLOOKUP(VLOOKUP(F$38,Table_AllocByFunction,2,FALSE),Table_Classification,2,FALSE)</f>
        <v>0</v>
      </c>
      <c r="G41" s="1">
        <f>G8*VLOOKUP(VLOOKUP(G$38,Table_AllocByFunction,2,FALSE),Table_Classification,2,FALSE)</f>
        <v>0</v>
      </c>
      <c r="H41" s="1">
        <f>H8*VLOOKUP(VLOOKUP(H$38,Table_AllocByFunction,2,FALSE),Table_Classification,2,FALSE)</f>
        <v>0</v>
      </c>
      <c r="I41" s="1">
        <f>I8*VLOOKUP(VLOOKUP(I$38,Table_AllocByFunction,2,FALSE),Table_Classification,2,FALSE)</f>
        <v>0</v>
      </c>
      <c r="J41" s="1">
        <f>J8*VLOOKUP(VLOOKUP(J$38,Table_AllocByFunction,2,FALSE),Table_Classification,2,FALSE)</f>
        <v>0</v>
      </c>
      <c r="K41" s="1">
        <f>K8*VLOOKUP(VLOOKUP(K$38,Table_AllocByFunction,2,FALSE),Table_Classification,2,FALSE)</f>
        <v>0</v>
      </c>
      <c r="L41" s="1">
        <f>L8*VLOOKUP(VLOOKUP(L$38,Table_AllocByFunction,2,FALSE),Table_Classification,2,FALSE)</f>
        <v>0</v>
      </c>
      <c r="M41" s="1">
        <f>M8*VLOOKUP(VLOOKUP(M$38,Table_AllocByFunction,2,FALSE),Table_Classification,2,FALSE)</f>
        <v>0</v>
      </c>
      <c r="N41" s="1">
        <f>N8*VLOOKUP(VLOOKUP(N$38,Table_AllocByFunction,2,FALSE),Table_Classification,2,FALSE)</f>
        <v>0</v>
      </c>
      <c r="O41" s="1">
        <f>O8*VLOOKUP(VLOOKUP(O$38,Table_AllocByFunction,2,FALSE),Table_Classification,2,FALSE)</f>
        <v>0</v>
      </c>
      <c r="P41" s="1">
        <f>P8*VLOOKUP(VLOOKUP(P$38,Table_AllocByFunction,2,FALSE),Table_Classification,2,FALSE)</f>
        <v>0</v>
      </c>
      <c r="Q41" s="1">
        <f>Q8*VLOOKUP(VLOOKUP(Q$38,Table_AllocByFunction,2,FALSE),Table_Classification,2,FALSE)</f>
        <v>0</v>
      </c>
      <c r="R41" s="1">
        <f>SUM(B41:Q41)</f>
        <v>-1359662.4341016202</v>
      </c>
    </row>
    <row r="42" spans="1:20" x14ac:dyDescent="0.3">
      <c r="A42" s="3" t="s">
        <v>249</v>
      </c>
      <c r="B42" s="1">
        <f>SUBTOTAL(9,B40:B41)</f>
        <v>1487231.1324935874</v>
      </c>
      <c r="C42" s="1">
        <f t="shared" ref="C42:R42" si="5">SUBTOTAL(9,C40:C41)</f>
        <v>21984987.46589838</v>
      </c>
      <c r="D42" s="1">
        <f t="shared" si="5"/>
        <v>8553064.6629211009</v>
      </c>
      <c r="E42" s="1">
        <f t="shared" si="5"/>
        <v>275459.50000000006</v>
      </c>
      <c r="F42" s="1">
        <f t="shared" si="5"/>
        <v>45909.916666666679</v>
      </c>
      <c r="G42" s="1">
        <f t="shared" si="5"/>
        <v>55091.900000000016</v>
      </c>
      <c r="H42" s="1">
        <f t="shared" si="5"/>
        <v>45909.916666666679</v>
      </c>
      <c r="I42" s="1">
        <f t="shared" si="5"/>
        <v>0</v>
      </c>
      <c r="J42" s="1">
        <f t="shared" si="5"/>
        <v>0</v>
      </c>
      <c r="K42" s="1">
        <f t="shared" si="5"/>
        <v>0</v>
      </c>
      <c r="L42" s="1">
        <f t="shared" si="5"/>
        <v>0</v>
      </c>
      <c r="M42" s="1">
        <f t="shared" si="5"/>
        <v>0</v>
      </c>
      <c r="N42" s="1">
        <f t="shared" si="5"/>
        <v>0</v>
      </c>
      <c r="O42" s="1">
        <f t="shared" si="5"/>
        <v>0</v>
      </c>
      <c r="P42" s="1">
        <f t="shared" si="5"/>
        <v>0</v>
      </c>
      <c r="Q42" s="1">
        <f t="shared" si="5"/>
        <v>0</v>
      </c>
      <c r="R42" s="1">
        <f t="shared" si="5"/>
        <v>32447654.4946464</v>
      </c>
    </row>
    <row r="43" spans="1:20" x14ac:dyDescent="0.3">
      <c r="A43" s="3" t="s">
        <v>124</v>
      </c>
      <c r="B43" s="1">
        <f>B10*VLOOKUP(VLOOKUP(B$38,Table_AllocByFunction,2,FALSE),Table_Classification,2,FALSE)</f>
        <v>56253.362695126692</v>
      </c>
      <c r="C43" s="1">
        <f>C10*VLOOKUP(VLOOKUP(C$38,Table_AllocByFunction,2,FALSE),Table_Classification,2,FALSE)</f>
        <v>0</v>
      </c>
      <c r="D43" s="1">
        <f>D10*VLOOKUP(VLOOKUP(D$38,Table_AllocByFunction,2,FALSE),Table_Classification,2,FALSE)</f>
        <v>84987.500000000015</v>
      </c>
      <c r="E43" s="1">
        <f>E10*VLOOKUP(VLOOKUP(E$38,Table_AllocByFunction,2,FALSE),Table_Classification,2,FALSE)</f>
        <v>983180.74251953792</v>
      </c>
      <c r="F43" s="1">
        <f>F10*VLOOKUP(VLOOKUP(F$38,Table_AllocByFunction,2,FALSE),Table_Classification,2,FALSE)</f>
        <v>1752180.6882407574</v>
      </c>
      <c r="G43" s="1">
        <f>G10*VLOOKUP(VLOOKUP(G$38,Table_AllocByFunction,2,FALSE),Table_Classification,2,FALSE)</f>
        <v>1350007.8035620833</v>
      </c>
      <c r="H43" s="1">
        <f>H10*VLOOKUP(VLOOKUP(H$38,Table_AllocByFunction,2,FALSE),Table_Classification,2,FALSE)</f>
        <v>593503.28496914124</v>
      </c>
      <c r="I43" s="1">
        <f>I10*VLOOKUP(VLOOKUP(I$38,Table_AllocByFunction,2,FALSE),Table_Classification,2,FALSE)</f>
        <v>0</v>
      </c>
      <c r="J43" s="1">
        <f>J10*VLOOKUP(VLOOKUP(J$38,Table_AllocByFunction,2,FALSE),Table_Classification,2,FALSE)</f>
        <v>0</v>
      </c>
      <c r="K43" s="1">
        <f>K10*VLOOKUP(VLOOKUP(K$38,Table_AllocByFunction,2,FALSE),Table_Classification,2,FALSE)</f>
        <v>0</v>
      </c>
      <c r="L43" s="1">
        <f>L10*VLOOKUP(VLOOKUP(L$38,Table_AllocByFunction,2,FALSE),Table_Classification,2,FALSE)</f>
        <v>0</v>
      </c>
      <c r="M43" s="1">
        <f>M10*VLOOKUP(VLOOKUP(M$38,Table_AllocByFunction,2,FALSE),Table_Classification,2,FALSE)</f>
        <v>0</v>
      </c>
      <c r="N43" s="1">
        <f>N10*VLOOKUP(VLOOKUP(N$38,Table_AllocByFunction,2,FALSE),Table_Classification,2,FALSE)</f>
        <v>0</v>
      </c>
      <c r="O43" s="1">
        <f>O10*VLOOKUP(VLOOKUP(O$38,Table_AllocByFunction,2,FALSE),Table_Classification,2,FALSE)</f>
        <v>0</v>
      </c>
      <c r="P43" s="1">
        <f>P10*VLOOKUP(VLOOKUP(P$38,Table_AllocByFunction,2,FALSE),Table_Classification,2,FALSE)</f>
        <v>0</v>
      </c>
      <c r="Q43" s="1">
        <f>Q10*VLOOKUP(VLOOKUP(Q$38,Table_AllocByFunction,2,FALSE),Table_Classification,2,FALSE)</f>
        <v>0</v>
      </c>
      <c r="R43" s="1">
        <f>SUM(B43:Q43)</f>
        <v>4820113.381986646</v>
      </c>
    </row>
    <row r="44" spans="1:20" x14ac:dyDescent="0.3">
      <c r="A44" s="3" t="s">
        <v>12</v>
      </c>
      <c r="B44" s="1">
        <f>B11*VLOOKUP(VLOOKUP(B$38,Table_AllocByFunction,2,FALSE),Table_Classification,2,FALSE)</f>
        <v>0</v>
      </c>
      <c r="C44" s="1">
        <f>C11*VLOOKUP(VLOOKUP(C$38,Table_AllocByFunction,2,FALSE),Table_Classification,2,FALSE)</f>
        <v>0</v>
      </c>
      <c r="D44" s="1">
        <f>D11*VLOOKUP(VLOOKUP(D$38,Table_AllocByFunction,2,FALSE),Table_Classification,2,FALSE)</f>
        <v>1795035</v>
      </c>
      <c r="E44" s="1">
        <f>E11*VLOOKUP(VLOOKUP(E$38,Table_AllocByFunction,2,FALSE),Table_Classification,2,FALSE)</f>
        <v>0</v>
      </c>
      <c r="F44" s="1">
        <f>F11*VLOOKUP(VLOOKUP(F$38,Table_AllocByFunction,2,FALSE),Table_Classification,2,FALSE)</f>
        <v>0</v>
      </c>
      <c r="G44" s="1">
        <f>G11*VLOOKUP(VLOOKUP(G$38,Table_AllocByFunction,2,FALSE),Table_Classification,2,FALSE)</f>
        <v>0</v>
      </c>
      <c r="H44" s="1">
        <f>H11*VLOOKUP(VLOOKUP(H$38,Table_AllocByFunction,2,FALSE),Table_Classification,2,FALSE)</f>
        <v>0</v>
      </c>
      <c r="I44" s="1">
        <f>I11*VLOOKUP(VLOOKUP(I$38,Table_AllocByFunction,2,FALSE),Table_Classification,2,FALSE)</f>
        <v>0</v>
      </c>
      <c r="J44" s="1">
        <f>J11*VLOOKUP(VLOOKUP(J$38,Table_AllocByFunction,2,FALSE),Table_Classification,2,FALSE)</f>
        <v>0</v>
      </c>
      <c r="K44" s="1">
        <f>K11*VLOOKUP(VLOOKUP(K$38,Table_AllocByFunction,2,FALSE),Table_Classification,2,FALSE)</f>
        <v>0</v>
      </c>
      <c r="L44" s="1">
        <f>L11*VLOOKUP(VLOOKUP(L$38,Table_AllocByFunction,2,FALSE),Table_Classification,2,FALSE)</f>
        <v>0</v>
      </c>
      <c r="M44" s="1">
        <f>M11*VLOOKUP(VLOOKUP(M$38,Table_AllocByFunction,2,FALSE),Table_Classification,2,FALSE)</f>
        <v>0</v>
      </c>
      <c r="N44" s="1">
        <f>N11*VLOOKUP(VLOOKUP(N$38,Table_AllocByFunction,2,FALSE),Table_Classification,2,FALSE)</f>
        <v>0</v>
      </c>
      <c r="O44" s="1">
        <f>O11*VLOOKUP(VLOOKUP(O$38,Table_AllocByFunction,2,FALSE),Table_Classification,2,FALSE)</f>
        <v>0</v>
      </c>
      <c r="P44" s="1">
        <f>P11*VLOOKUP(VLOOKUP(P$38,Table_AllocByFunction,2,FALSE),Table_Classification,2,FALSE)</f>
        <v>0</v>
      </c>
      <c r="Q44" s="1">
        <f>Q11*VLOOKUP(VLOOKUP(Q$38,Table_AllocByFunction,2,FALSE),Table_Classification,2,FALSE)</f>
        <v>0</v>
      </c>
      <c r="R44" s="1">
        <f>SUM(B44:Q44)</f>
        <v>1795035</v>
      </c>
    </row>
    <row r="45" spans="1:20" x14ac:dyDescent="0.3">
      <c r="A45" s="3" t="s">
        <v>250</v>
      </c>
      <c r="B45" s="1">
        <f>B12*VLOOKUP(VLOOKUP(B$38,Table_AllocByFunction,2,FALSE),Table_Classification,2,FALSE)</f>
        <v>0</v>
      </c>
      <c r="C45" s="1">
        <f>C12*VLOOKUP(VLOOKUP(C$38,Table_AllocByFunction,2,FALSE),Table_Classification,2,FALSE)</f>
        <v>0</v>
      </c>
      <c r="D45" s="1">
        <f>D12*VLOOKUP(VLOOKUP(D$38,Table_AllocByFunction,2,FALSE),Table_Classification,2,FALSE)</f>
        <v>0</v>
      </c>
      <c r="E45" s="1">
        <f>E12*VLOOKUP(VLOOKUP(E$38,Table_AllocByFunction,2,FALSE),Table_Classification,2,FALSE)</f>
        <v>615390.40546372079</v>
      </c>
      <c r="F45" s="1">
        <f>F12*VLOOKUP(VLOOKUP(F$38,Table_AllocByFunction,2,FALSE),Table_Classification,2,FALSE)</f>
        <v>564588.63882752776</v>
      </c>
      <c r="G45" s="1">
        <f>G12*VLOOKUP(VLOOKUP(G$38,Table_AllocByFunction,2,FALSE),Table_Classification,2,FALSE)</f>
        <v>420862.13459772314</v>
      </c>
      <c r="H45" s="1">
        <f>H12*VLOOKUP(VLOOKUP(H$38,Table_AllocByFunction,2,FALSE),Table_Classification,2,FALSE)</f>
        <v>188196.21294250924</v>
      </c>
      <c r="I45" s="1">
        <f>I12*VLOOKUP(VLOOKUP(I$38,Table_AllocByFunction,2,FALSE),Table_Classification,2,FALSE)</f>
        <v>0</v>
      </c>
      <c r="J45" s="1">
        <f>J12*VLOOKUP(VLOOKUP(J$38,Table_AllocByFunction,2,FALSE),Table_Classification,2,FALSE)</f>
        <v>0</v>
      </c>
      <c r="K45" s="1">
        <f>K12*VLOOKUP(VLOOKUP(K$38,Table_AllocByFunction,2,FALSE),Table_Classification,2,FALSE)</f>
        <v>0</v>
      </c>
      <c r="L45" s="1">
        <f>L12*VLOOKUP(VLOOKUP(L$38,Table_AllocByFunction,2,FALSE),Table_Classification,2,FALSE)</f>
        <v>0</v>
      </c>
      <c r="M45" s="1">
        <f>M12*VLOOKUP(VLOOKUP(M$38,Table_AllocByFunction,2,FALSE),Table_Classification,2,FALSE)</f>
        <v>0</v>
      </c>
      <c r="N45" s="1">
        <f>N12*VLOOKUP(VLOOKUP(N$38,Table_AllocByFunction,2,FALSE),Table_Classification,2,FALSE)</f>
        <v>0</v>
      </c>
      <c r="O45" s="1">
        <f>O12*VLOOKUP(VLOOKUP(O$38,Table_AllocByFunction,2,FALSE),Table_Classification,2,FALSE)</f>
        <v>0</v>
      </c>
      <c r="P45" s="1">
        <f>P12*VLOOKUP(VLOOKUP(P$38,Table_AllocByFunction,2,FALSE),Table_Classification,2,FALSE)</f>
        <v>0</v>
      </c>
      <c r="Q45" s="1">
        <f>Q12*VLOOKUP(VLOOKUP(Q$38,Table_AllocByFunction,2,FALSE),Table_Classification,2,FALSE)</f>
        <v>0</v>
      </c>
      <c r="R45" s="1">
        <f>SUM(B45:Q45)</f>
        <v>1789037.3918314809</v>
      </c>
    </row>
    <row r="46" spans="1:20" x14ac:dyDescent="0.3">
      <c r="A46" s="3" t="s">
        <v>251</v>
      </c>
      <c r="B46" s="1">
        <f>B13*VLOOKUP(VLOOKUP(B$38,Table_AllocByFunction,2,FALSE),Table_Classification,2,FALSE)</f>
        <v>0</v>
      </c>
      <c r="C46" s="1">
        <f>C13*VLOOKUP(VLOOKUP(C$38,Table_AllocByFunction,2,FALSE),Table_Classification,2,FALSE)</f>
        <v>0</v>
      </c>
      <c r="D46" s="1">
        <f>D13*VLOOKUP(VLOOKUP(D$38,Table_AllocByFunction,2,FALSE),Table_Classification,2,FALSE)</f>
        <v>292618</v>
      </c>
      <c r="E46" s="1">
        <f>E13*VLOOKUP(VLOOKUP(E$38,Table_AllocByFunction,2,FALSE),Table_Classification,2,FALSE)</f>
        <v>0</v>
      </c>
      <c r="F46" s="1">
        <f>F13*VLOOKUP(VLOOKUP(F$38,Table_AllocByFunction,2,FALSE),Table_Classification,2,FALSE)</f>
        <v>0</v>
      </c>
      <c r="G46" s="1">
        <f>G13*VLOOKUP(VLOOKUP(G$38,Table_AllocByFunction,2,FALSE),Table_Classification,2,FALSE)</f>
        <v>0</v>
      </c>
      <c r="H46" s="1">
        <f>H13*VLOOKUP(VLOOKUP(H$38,Table_AllocByFunction,2,FALSE),Table_Classification,2,FALSE)</f>
        <v>0</v>
      </c>
      <c r="I46" s="1">
        <f>I13*VLOOKUP(VLOOKUP(I$38,Table_AllocByFunction,2,FALSE),Table_Classification,2,FALSE)</f>
        <v>0</v>
      </c>
      <c r="J46" s="1">
        <f>J13*VLOOKUP(VLOOKUP(J$38,Table_AllocByFunction,2,FALSE),Table_Classification,2,FALSE)</f>
        <v>0</v>
      </c>
      <c r="K46" s="1">
        <f>K13*VLOOKUP(VLOOKUP(K$38,Table_AllocByFunction,2,FALSE),Table_Classification,2,FALSE)</f>
        <v>0</v>
      </c>
      <c r="L46" s="1">
        <f>L13*VLOOKUP(VLOOKUP(L$38,Table_AllocByFunction,2,FALSE),Table_Classification,2,FALSE)</f>
        <v>0</v>
      </c>
      <c r="M46" s="1">
        <f>M13*VLOOKUP(VLOOKUP(M$38,Table_AllocByFunction,2,FALSE),Table_Classification,2,FALSE)</f>
        <v>0</v>
      </c>
      <c r="N46" s="1">
        <f>N13*VLOOKUP(VLOOKUP(N$38,Table_AllocByFunction,2,FALSE),Table_Classification,2,FALSE)</f>
        <v>0</v>
      </c>
      <c r="O46" s="1">
        <f>O13*VLOOKUP(VLOOKUP(O$38,Table_AllocByFunction,2,FALSE),Table_Classification,2,FALSE)</f>
        <v>0</v>
      </c>
      <c r="P46" s="1">
        <f>P13*VLOOKUP(VLOOKUP(P$38,Table_AllocByFunction,2,FALSE),Table_Classification,2,FALSE)</f>
        <v>0</v>
      </c>
      <c r="Q46" s="1">
        <f>Q13*VLOOKUP(VLOOKUP(Q$38,Table_AllocByFunction,2,FALSE),Table_Classification,2,FALSE)</f>
        <v>0</v>
      </c>
      <c r="R46" s="1">
        <f>SUM(B46:Q46)</f>
        <v>292618</v>
      </c>
    </row>
    <row r="47" spans="1:20" x14ac:dyDescent="0.3">
      <c r="A47" s="3" t="s">
        <v>252</v>
      </c>
      <c r="B47" s="1">
        <f>B14*VLOOKUP(VLOOKUP(B$38,Table_AllocByFunction,2,FALSE),Table_Classification,2,FALSE)</f>
        <v>702971.18545394833</v>
      </c>
      <c r="C47" s="1">
        <f>C14*VLOOKUP(VLOOKUP(C$38,Table_AllocByFunction,2,FALSE),Table_Classification,2,FALSE)</f>
        <v>44338.63230266561</v>
      </c>
      <c r="D47" s="1">
        <f>D14*VLOOKUP(VLOOKUP(D$38,Table_AllocByFunction,2,FALSE),Table_Classification,2,FALSE)</f>
        <v>2310163.503435344</v>
      </c>
      <c r="E47" s="1">
        <f>E14*VLOOKUP(VLOOKUP(E$38,Table_AllocByFunction,2,FALSE),Table_Classification,2,FALSE)</f>
        <v>948394.82534987468</v>
      </c>
      <c r="F47" s="1">
        <f>F14*VLOOKUP(VLOOKUP(F$38,Table_AllocByFunction,2,FALSE),Table_Classification,2,FALSE)</f>
        <v>966908.74754998647</v>
      </c>
      <c r="G47" s="1">
        <f>G14*VLOOKUP(VLOOKUP(G$38,Table_AllocByFunction,2,FALSE),Table_Classification,2,FALSE)</f>
        <v>1172518.2140663909</v>
      </c>
      <c r="H47" s="1">
        <f>H14*VLOOKUP(VLOOKUP(H$38,Table_AllocByFunction,2,FALSE),Table_Classification,2,FALSE)</f>
        <v>390958.85745210724</v>
      </c>
      <c r="I47" s="1">
        <f>I14*VLOOKUP(VLOOKUP(I$38,Table_AllocByFunction,2,FALSE),Table_Classification,2,FALSE)</f>
        <v>0</v>
      </c>
      <c r="J47" s="1">
        <f>J14*VLOOKUP(VLOOKUP(J$38,Table_AllocByFunction,2,FALSE),Table_Classification,2,FALSE)</f>
        <v>0</v>
      </c>
      <c r="K47" s="1">
        <f>K14*VLOOKUP(VLOOKUP(K$38,Table_AllocByFunction,2,FALSE),Table_Classification,2,FALSE)</f>
        <v>0</v>
      </c>
      <c r="L47" s="1">
        <f>L14*VLOOKUP(VLOOKUP(L$38,Table_AllocByFunction,2,FALSE),Table_Classification,2,FALSE)</f>
        <v>0</v>
      </c>
      <c r="M47" s="1">
        <f>M14*VLOOKUP(VLOOKUP(M$38,Table_AllocByFunction,2,FALSE),Table_Classification,2,FALSE)</f>
        <v>0</v>
      </c>
      <c r="N47" s="1">
        <f>N14*VLOOKUP(VLOOKUP(N$38,Table_AllocByFunction,2,FALSE),Table_Classification,2,FALSE)</f>
        <v>0</v>
      </c>
      <c r="O47" s="1">
        <f>O14*VLOOKUP(VLOOKUP(O$38,Table_AllocByFunction,2,FALSE),Table_Classification,2,FALSE)</f>
        <v>0</v>
      </c>
      <c r="P47" s="1">
        <f>P14*VLOOKUP(VLOOKUP(P$38,Table_AllocByFunction,2,FALSE),Table_Classification,2,FALSE)</f>
        <v>0</v>
      </c>
      <c r="Q47" s="1">
        <f>Q14*VLOOKUP(VLOOKUP(Q$38,Table_AllocByFunction,2,FALSE),Table_Classification,2,FALSE)</f>
        <v>0</v>
      </c>
      <c r="R47" s="1">
        <f>SUM(B47:Q47)</f>
        <v>6536253.9656103179</v>
      </c>
    </row>
    <row r="48" spans="1:20" x14ac:dyDescent="0.3">
      <c r="A48" s="3" t="s">
        <v>253</v>
      </c>
      <c r="B48" s="1">
        <f t="shared" ref="B48:R48" si="6">SUBTOTAL(9,B39:B47)</f>
        <v>2246455.6806426626</v>
      </c>
      <c r="C48" s="1">
        <f t="shared" si="6"/>
        <v>22029326.098201044</v>
      </c>
      <c r="D48" s="1">
        <f t="shared" si="6"/>
        <v>13035868.666356444</v>
      </c>
      <c r="E48" s="1">
        <f t="shared" si="6"/>
        <v>2822425.4733331334</v>
      </c>
      <c r="F48" s="1">
        <f t="shared" si="6"/>
        <v>3329587.9912849385</v>
      </c>
      <c r="G48" s="1">
        <f t="shared" si="6"/>
        <v>2998480.052226197</v>
      </c>
      <c r="H48" s="1">
        <f t="shared" si="6"/>
        <v>1218568.2720304243</v>
      </c>
      <c r="I48" s="1">
        <f t="shared" si="6"/>
        <v>0</v>
      </c>
      <c r="J48" s="1">
        <f t="shared" si="6"/>
        <v>0</v>
      </c>
      <c r="K48" s="1">
        <f t="shared" si="6"/>
        <v>0</v>
      </c>
      <c r="L48" s="1">
        <f t="shared" si="6"/>
        <v>0</v>
      </c>
      <c r="M48" s="1">
        <f t="shared" si="6"/>
        <v>0</v>
      </c>
      <c r="N48" s="1">
        <f t="shared" si="6"/>
        <v>0</v>
      </c>
      <c r="O48" s="1">
        <f t="shared" si="6"/>
        <v>0</v>
      </c>
      <c r="P48" s="1">
        <f t="shared" si="6"/>
        <v>0</v>
      </c>
      <c r="Q48" s="1">
        <f t="shared" si="6"/>
        <v>0</v>
      </c>
      <c r="R48" s="1">
        <f t="shared" si="6"/>
        <v>47680712.234074846</v>
      </c>
    </row>
    <row r="49" spans="1:18" x14ac:dyDescent="0.3">
      <c r="A49" s="2" t="s">
        <v>138</v>
      </c>
    </row>
    <row r="50" spans="1:18" x14ac:dyDescent="0.3">
      <c r="A50" s="3" t="s">
        <v>479</v>
      </c>
      <c r="B50" s="1">
        <f t="shared" ref="B50:Q50" si="7">B17*VLOOKUP(VLOOKUP(B$38,Table_AllocByFunction,2,FALSE),Table_Classification,2,FALSE)</f>
        <v>22525.158728264014</v>
      </c>
      <c r="C50" s="1">
        <f t="shared" si="7"/>
        <v>16215.451753490575</v>
      </c>
      <c r="D50" s="1">
        <f t="shared" si="7"/>
        <v>121773.27395260964</v>
      </c>
      <c r="E50" s="1">
        <f t="shared" si="7"/>
        <v>27155.366411247553</v>
      </c>
      <c r="F50" s="1">
        <f t="shared" si="7"/>
        <v>20048.75241959768</v>
      </c>
      <c r="G50" s="1">
        <f t="shared" si="7"/>
        <v>32665.086014861685</v>
      </c>
      <c r="H50" s="1">
        <f t="shared" si="7"/>
        <v>8688.2658788292283</v>
      </c>
      <c r="I50" s="1">
        <f t="shared" si="7"/>
        <v>0</v>
      </c>
      <c r="J50" s="1">
        <f t="shared" si="7"/>
        <v>0</v>
      </c>
      <c r="K50" s="1">
        <f t="shared" si="7"/>
        <v>0</v>
      </c>
      <c r="L50" s="1">
        <f t="shared" si="7"/>
        <v>0</v>
      </c>
      <c r="M50" s="1">
        <f t="shared" si="7"/>
        <v>0</v>
      </c>
      <c r="N50" s="1">
        <f t="shared" si="7"/>
        <v>0</v>
      </c>
      <c r="O50" s="1">
        <f t="shared" si="7"/>
        <v>0</v>
      </c>
      <c r="P50" s="1">
        <f t="shared" si="7"/>
        <v>0</v>
      </c>
      <c r="Q50" s="1">
        <f t="shared" si="7"/>
        <v>0</v>
      </c>
      <c r="R50" s="1">
        <f>SUM(B50:Q50)</f>
        <v>249071.35515890035</v>
      </c>
    </row>
    <row r="51" spans="1:18" x14ac:dyDescent="0.3">
      <c r="A51" s="47" t="s">
        <v>725</v>
      </c>
      <c r="B51" s="1">
        <f t="shared" ref="B51:Q51" si="8">B18*VLOOKUP(VLOOKUP(B$38,Table_AllocByFunction,2,FALSE),Table_Classification,2,FALSE)</f>
        <v>1412797.8675064126</v>
      </c>
      <c r="C51" s="1">
        <f t="shared" si="8"/>
        <v>0</v>
      </c>
      <c r="D51" s="1">
        <f t="shared" si="8"/>
        <v>0</v>
      </c>
      <c r="E51" s="1">
        <f t="shared" si="8"/>
        <v>0</v>
      </c>
      <c r="F51" s="1">
        <f t="shared" si="8"/>
        <v>0</v>
      </c>
      <c r="G51" s="1">
        <f t="shared" si="8"/>
        <v>0</v>
      </c>
      <c r="H51" s="1">
        <f t="shared" si="8"/>
        <v>0</v>
      </c>
      <c r="I51" s="1">
        <f t="shared" si="8"/>
        <v>0</v>
      </c>
      <c r="J51" s="1">
        <f t="shared" si="8"/>
        <v>0</v>
      </c>
      <c r="K51" s="1">
        <f t="shared" si="8"/>
        <v>0</v>
      </c>
      <c r="L51" s="1">
        <f t="shared" si="8"/>
        <v>0</v>
      </c>
      <c r="M51" s="1">
        <f t="shared" si="8"/>
        <v>0</v>
      </c>
      <c r="N51" s="1">
        <f t="shared" si="8"/>
        <v>0</v>
      </c>
      <c r="O51" s="1">
        <f t="shared" si="8"/>
        <v>0</v>
      </c>
      <c r="P51" s="1">
        <f t="shared" si="8"/>
        <v>0</v>
      </c>
      <c r="Q51" s="1">
        <f t="shared" si="8"/>
        <v>0</v>
      </c>
      <c r="R51" s="1">
        <f>SUM(B51:Q51)</f>
        <v>1412797.8675064126</v>
      </c>
    </row>
    <row r="52" spans="1:18" x14ac:dyDescent="0.3">
      <c r="A52" s="3" t="s">
        <v>480</v>
      </c>
      <c r="B52" s="1">
        <f t="shared" ref="B52:Q52" si="9">B19*VLOOKUP(VLOOKUP(B$38,Table_AllocByFunction,2,FALSE),Table_Classification,2,FALSE)</f>
        <v>1653470.4038894703</v>
      </c>
      <c r="C52" s="1">
        <f t="shared" si="9"/>
        <v>12062.721818990807</v>
      </c>
      <c r="D52" s="1">
        <f t="shared" si="9"/>
        <v>3940499.1992600765</v>
      </c>
      <c r="E52" s="1">
        <f t="shared" si="9"/>
        <v>1439465.0131167122</v>
      </c>
      <c r="F52" s="1">
        <f t="shared" si="9"/>
        <v>3349682.2391925594</v>
      </c>
      <c r="G52" s="1">
        <f t="shared" si="9"/>
        <v>3034985.2831082703</v>
      </c>
      <c r="H52" s="1">
        <f t="shared" si="9"/>
        <v>1155290.7000490867</v>
      </c>
      <c r="I52" s="1">
        <f t="shared" si="9"/>
        <v>0</v>
      </c>
      <c r="J52" s="1">
        <f t="shared" si="9"/>
        <v>0</v>
      </c>
      <c r="K52" s="1">
        <f t="shared" si="9"/>
        <v>0</v>
      </c>
      <c r="L52" s="1">
        <f t="shared" si="9"/>
        <v>0</v>
      </c>
      <c r="M52" s="1">
        <f t="shared" si="9"/>
        <v>0</v>
      </c>
      <c r="N52" s="1">
        <f t="shared" si="9"/>
        <v>0</v>
      </c>
      <c r="O52" s="1">
        <f t="shared" si="9"/>
        <v>0</v>
      </c>
      <c r="P52" s="1">
        <f t="shared" si="9"/>
        <v>0</v>
      </c>
      <c r="Q52" s="1">
        <f t="shared" si="9"/>
        <v>0</v>
      </c>
      <c r="R52" s="1">
        <f>SUM(B52:Q52)</f>
        <v>14585455.560435167</v>
      </c>
    </row>
    <row r="53" spans="1:18" x14ac:dyDescent="0.3">
      <c r="A53" s="3" t="s">
        <v>254</v>
      </c>
      <c r="B53" s="1">
        <f>SUBTOTAL(9,B49:B52)</f>
        <v>3088793.4301241469</v>
      </c>
      <c r="C53" s="1">
        <f t="shared" ref="C53:R53" si="10">SUBTOTAL(9,C49:C52)</f>
        <v>28278.173572481384</v>
      </c>
      <c r="D53" s="1">
        <f t="shared" si="10"/>
        <v>4062272.4732126864</v>
      </c>
      <c r="E53" s="1">
        <f t="shared" si="10"/>
        <v>1466620.3795279597</v>
      </c>
      <c r="F53" s="1">
        <f t="shared" si="10"/>
        <v>3369730.9916121569</v>
      </c>
      <c r="G53" s="1">
        <f t="shared" si="10"/>
        <v>3067650.369123132</v>
      </c>
      <c r="H53" s="1">
        <f t="shared" si="10"/>
        <v>1163978.9659279159</v>
      </c>
      <c r="I53" s="1">
        <f t="shared" si="10"/>
        <v>0</v>
      </c>
      <c r="J53" s="1">
        <f t="shared" si="10"/>
        <v>0</v>
      </c>
      <c r="K53" s="1">
        <f t="shared" si="10"/>
        <v>0</v>
      </c>
      <c r="L53" s="1">
        <f t="shared" si="10"/>
        <v>0</v>
      </c>
      <c r="M53" s="1">
        <f t="shared" si="10"/>
        <v>0</v>
      </c>
      <c r="N53" s="1">
        <f t="shared" si="10"/>
        <v>0</v>
      </c>
      <c r="O53" s="1">
        <f t="shared" si="10"/>
        <v>0</v>
      </c>
      <c r="P53" s="1">
        <f t="shared" si="10"/>
        <v>0</v>
      </c>
      <c r="Q53" s="1">
        <f t="shared" si="10"/>
        <v>0</v>
      </c>
      <c r="R53" s="1">
        <f t="shared" si="10"/>
        <v>16247324.78310048</v>
      </c>
    </row>
    <row r="54" spans="1:18" x14ac:dyDescent="0.3">
      <c r="A54" s="1" t="s">
        <v>263</v>
      </c>
      <c r="B54" s="1">
        <f t="shared" ref="B54:R54" si="11">SUBTOTAL(9,B39:B53)</f>
        <v>5335249.1107668094</v>
      </c>
      <c r="C54" s="1">
        <f t="shared" si="11"/>
        <v>22057604.271773525</v>
      </c>
      <c r="D54" s="1">
        <f t="shared" si="11"/>
        <v>17098141.13956913</v>
      </c>
      <c r="E54" s="1">
        <f t="shared" si="11"/>
        <v>4289045.8528610934</v>
      </c>
      <c r="F54" s="1">
        <f t="shared" si="11"/>
        <v>6699318.9828970954</v>
      </c>
      <c r="G54" s="1">
        <f t="shared" si="11"/>
        <v>6066130.4213493289</v>
      </c>
      <c r="H54" s="1">
        <f t="shared" si="11"/>
        <v>2382547.23795834</v>
      </c>
      <c r="I54" s="1">
        <f t="shared" si="11"/>
        <v>0</v>
      </c>
      <c r="J54" s="1">
        <f t="shared" si="11"/>
        <v>0</v>
      </c>
      <c r="K54" s="1">
        <f t="shared" si="11"/>
        <v>0</v>
      </c>
      <c r="L54" s="1">
        <f t="shared" si="11"/>
        <v>0</v>
      </c>
      <c r="M54" s="1">
        <f t="shared" si="11"/>
        <v>0</v>
      </c>
      <c r="N54" s="1">
        <f t="shared" si="11"/>
        <v>0</v>
      </c>
      <c r="O54" s="1">
        <f t="shared" si="11"/>
        <v>0</v>
      </c>
      <c r="P54" s="1">
        <f t="shared" si="11"/>
        <v>0</v>
      </c>
      <c r="Q54" s="1">
        <f t="shared" si="11"/>
        <v>0</v>
      </c>
      <c r="R54" s="1">
        <f t="shared" si="11"/>
        <v>63928037.017175332</v>
      </c>
    </row>
    <row r="55" spans="1:18" x14ac:dyDescent="0.3">
      <c r="A55" s="1" t="s">
        <v>246</v>
      </c>
      <c r="C55" s="1">
        <f>SUMIFS('6.1'!$L$6:$L$74,Assets_PresHeader,$A55,Assets_BasisFunc,C$5)</f>
        <v>0</v>
      </c>
      <c r="D55" s="1">
        <f>SUMIFS('6.1'!$L$6:$L$74,Assets_PresHeader,$A55,Assets_BasisFunc,D$5)</f>
        <v>0</v>
      </c>
      <c r="E55" s="1">
        <f>SUMIFS('6.1'!$L$6:$L$74,Assets_PresHeader,$A55,Assets_BasisFunc,E$5)</f>
        <v>0</v>
      </c>
      <c r="F55" s="1">
        <f>SUMIFS('6.1'!$L$6:$L$74,Assets_PresHeader,$A55,Assets_BasisFunc,F$5)</f>
        <v>0</v>
      </c>
      <c r="G55" s="1">
        <f>SUMIFS('6.1'!$L$6:$L$74,Assets_PresHeader,$A55,Assets_BasisFunc,G$5)</f>
        <v>0</v>
      </c>
      <c r="H55" s="1">
        <f>SUMIFS('6.1'!$L$6:$L$74,Assets_PresHeader,$A55,Assets_BasisFunc,H$5)</f>
        <v>0</v>
      </c>
      <c r="I55" s="1">
        <f>SUMIFS('6.1'!$L$6:$L$74,Assets_PresHeader,$A55,Assets_BasisFunc,I$5)</f>
        <v>0</v>
      </c>
      <c r="J55" s="1">
        <f>SUMIFS('6.1'!$L$6:$L$74,Assets_PresHeader,$A55,Assets_BasisFunc,J$5)</f>
        <v>0</v>
      </c>
      <c r="K55" s="1">
        <f>SUMIFS('6.1'!$L$6:$L$74,Assets_PresHeader,$A55,Assets_BasisFunc,K$5)</f>
        <v>0</v>
      </c>
      <c r="L55" s="1">
        <f>SUMIFS('6.1'!$L$6:$L$74,Assets_PresHeader,$A55,Assets_BasisFunc,L$5)</f>
        <v>0</v>
      </c>
      <c r="M55" s="1">
        <f>SUMIFS('6.1'!$L$6:$L$74,Assets_PresHeader,$A55,Assets_BasisFunc,M$5)</f>
        <v>0</v>
      </c>
      <c r="N55" s="1">
        <f>SUMIFS('6.1'!$L$6:$L$74,Assets_PresHeader,$A55,Assets_BasisFunc,N$5)</f>
        <v>0</v>
      </c>
      <c r="O55" s="1">
        <f>SUMIFS('6.1'!$L$6:$L$74,Assets_PresHeader,$A55,Assets_BasisFunc,O$5)</f>
        <v>0</v>
      </c>
      <c r="P55" s="1">
        <f>SUMIFS('6.1'!$L$6:$L$74,Assets_PresHeader,$A55,Assets_BasisFunc,P$5)</f>
        <v>0</v>
      </c>
      <c r="Q55" s="1">
        <f>SUMIFS('6.1'!$L$6:$L$74,Assets_PresHeader,$A55,Assets_BasisFunc,Q$5)</f>
        <v>0</v>
      </c>
      <c r="R55" s="1">
        <f t="shared" ref="R55:R60" si="12">SUM(B55:Q55)</f>
        <v>0</v>
      </c>
    </row>
    <row r="56" spans="1:18" x14ac:dyDescent="0.3">
      <c r="A56" s="3" t="s">
        <v>255</v>
      </c>
      <c r="B56" s="1">
        <f>B23*VLOOKUP(VLOOKUP(B$38,Table_AllocByFunction,2,FALSE),Table_Classification,2,FALSE)</f>
        <v>878460.58907181548</v>
      </c>
      <c r="C56" s="1">
        <f t="shared" ref="C56:Q56" si="13">C23*VLOOKUP(VLOOKUP(C$38,Table_AllocByFunction,2,FALSE),Table_Classification,2,FALSE)</f>
        <v>66436.343947419489</v>
      </c>
      <c r="D56" s="1">
        <f t="shared" si="13"/>
        <v>2433339.0300590065</v>
      </c>
      <c r="E56" s="1">
        <f t="shared" si="13"/>
        <v>1088315.3533894247</v>
      </c>
      <c r="F56" s="1">
        <f t="shared" si="13"/>
        <v>1975692.5699590696</v>
      </c>
      <c r="G56" s="1">
        <f t="shared" si="13"/>
        <v>1400020.6214231486</v>
      </c>
      <c r="H56" s="1">
        <f t="shared" si="13"/>
        <v>667184.97011329129</v>
      </c>
      <c r="I56" s="1">
        <f t="shared" si="13"/>
        <v>0</v>
      </c>
      <c r="J56" s="1">
        <f t="shared" si="13"/>
        <v>0</v>
      </c>
      <c r="K56" s="1">
        <f t="shared" si="13"/>
        <v>0</v>
      </c>
      <c r="L56" s="1">
        <f t="shared" si="13"/>
        <v>0</v>
      </c>
      <c r="M56" s="1">
        <f t="shared" si="13"/>
        <v>0</v>
      </c>
      <c r="N56" s="1">
        <f t="shared" si="13"/>
        <v>0</v>
      </c>
      <c r="O56" s="1">
        <f t="shared" si="13"/>
        <v>0</v>
      </c>
      <c r="P56" s="1">
        <f t="shared" si="13"/>
        <v>0</v>
      </c>
      <c r="Q56" s="1">
        <f t="shared" si="13"/>
        <v>0</v>
      </c>
      <c r="R56" s="1">
        <f t="shared" si="12"/>
        <v>8509449.4779631756</v>
      </c>
    </row>
    <row r="57" spans="1:18" x14ac:dyDescent="0.3">
      <c r="A57" s="3" t="s">
        <v>256</v>
      </c>
      <c r="B57" s="1">
        <f t="shared" ref="B57:Q57" si="14">B24*VLOOKUP(VLOOKUP(B$38,Table_AllocByFunction,2,FALSE),Table_Classification,2,FALSE)</f>
        <v>79652.010290422026</v>
      </c>
      <c r="C57" s="1">
        <f t="shared" si="14"/>
        <v>6023.9337058355641</v>
      </c>
      <c r="D57" s="1">
        <f t="shared" si="14"/>
        <v>220636.35850429765</v>
      </c>
      <c r="E57" s="1">
        <f t="shared" si="14"/>
        <v>98680.016845140461</v>
      </c>
      <c r="F57" s="1">
        <f t="shared" si="14"/>
        <v>179140.51793645704</v>
      </c>
      <c r="G57" s="1">
        <f t="shared" si="14"/>
        <v>126943.03914331121</v>
      </c>
      <c r="H57" s="1">
        <f t="shared" si="14"/>
        <v>60495.17162884846</v>
      </c>
      <c r="I57" s="1">
        <f t="shared" si="14"/>
        <v>0</v>
      </c>
      <c r="J57" s="1">
        <f t="shared" si="14"/>
        <v>0</v>
      </c>
      <c r="K57" s="1">
        <f t="shared" si="14"/>
        <v>0</v>
      </c>
      <c r="L57" s="1">
        <f t="shared" si="14"/>
        <v>0</v>
      </c>
      <c r="M57" s="1">
        <f t="shared" si="14"/>
        <v>0</v>
      </c>
      <c r="N57" s="1">
        <f t="shared" si="14"/>
        <v>0</v>
      </c>
      <c r="O57" s="1">
        <f t="shared" si="14"/>
        <v>0</v>
      </c>
      <c r="P57" s="1">
        <f t="shared" si="14"/>
        <v>0</v>
      </c>
      <c r="Q57" s="1">
        <f t="shared" si="14"/>
        <v>0</v>
      </c>
      <c r="R57" s="1">
        <f t="shared" si="12"/>
        <v>771571.04805431236</v>
      </c>
    </row>
    <row r="58" spans="1:18" x14ac:dyDescent="0.3">
      <c r="A58" s="3" t="s">
        <v>257</v>
      </c>
      <c r="B58" s="1">
        <f t="shared" ref="B58:Q59" si="15">B25*VLOOKUP(VLOOKUP(B$38,Table_AllocByFunction,2,FALSE),Table_Classification,2,FALSE)</f>
        <v>-46416.583278397724</v>
      </c>
      <c r="C58" s="1">
        <f t="shared" si="15"/>
        <v>-3510.4000451585089</v>
      </c>
      <c r="D58" s="1">
        <f t="shared" si="15"/>
        <v>-128574.10467628368</v>
      </c>
      <c r="E58" s="1">
        <f t="shared" si="15"/>
        <v>-57505.004620792773</v>
      </c>
      <c r="F58" s="1">
        <f t="shared" si="15"/>
        <v>-104392.72956219071</v>
      </c>
      <c r="G58" s="1">
        <f t="shared" si="15"/>
        <v>-73975.05884062963</v>
      </c>
      <c r="H58" s="1">
        <f t="shared" si="15"/>
        <v>-35253.086037792833</v>
      </c>
      <c r="I58" s="1">
        <f t="shared" si="15"/>
        <v>0</v>
      </c>
      <c r="J58" s="1">
        <f t="shared" si="15"/>
        <v>0</v>
      </c>
      <c r="K58" s="1">
        <f t="shared" si="15"/>
        <v>0</v>
      </c>
      <c r="L58" s="1">
        <f t="shared" si="15"/>
        <v>0</v>
      </c>
      <c r="M58" s="1">
        <f t="shared" si="15"/>
        <v>0</v>
      </c>
      <c r="N58" s="1">
        <f t="shared" si="15"/>
        <v>0</v>
      </c>
      <c r="O58" s="1">
        <f t="shared" si="15"/>
        <v>0</v>
      </c>
      <c r="P58" s="1">
        <f t="shared" si="15"/>
        <v>0</v>
      </c>
      <c r="Q58" s="1">
        <f t="shared" si="15"/>
        <v>0</v>
      </c>
      <c r="R58" s="1">
        <f t="shared" si="12"/>
        <v>-449626.96706124593</v>
      </c>
    </row>
    <row r="59" spans="1:18" x14ac:dyDescent="0.3">
      <c r="A59" s="3" t="s">
        <v>728</v>
      </c>
      <c r="B59" s="1">
        <f t="shared" si="15"/>
        <v>-2908.6078509718095</v>
      </c>
      <c r="C59" s="1">
        <f t="shared" si="15"/>
        <v>-219.97261345497915</v>
      </c>
      <c r="D59" s="1">
        <f t="shared" si="15"/>
        <v>-8056.8543369532399</v>
      </c>
      <c r="E59" s="1">
        <f t="shared" si="15"/>
        <v>-3603.4429097682118</v>
      </c>
      <c r="F59" s="1">
        <f t="shared" si="15"/>
        <v>-6541.573966524109</v>
      </c>
      <c r="G59" s="1">
        <f t="shared" si="15"/>
        <v>-4635.5078664330385</v>
      </c>
      <c r="H59" s="1">
        <f t="shared" si="15"/>
        <v>-2209.0683022813059</v>
      </c>
      <c r="I59" s="1">
        <f t="shared" si="15"/>
        <v>0</v>
      </c>
      <c r="J59" s="1">
        <f t="shared" si="15"/>
        <v>0</v>
      </c>
      <c r="K59" s="1">
        <f t="shared" si="15"/>
        <v>0</v>
      </c>
      <c r="L59" s="1">
        <f t="shared" si="15"/>
        <v>0</v>
      </c>
      <c r="M59" s="1">
        <f t="shared" si="15"/>
        <v>0</v>
      </c>
      <c r="N59" s="1">
        <f t="shared" si="15"/>
        <v>0</v>
      </c>
      <c r="O59" s="1">
        <f t="shared" si="15"/>
        <v>0</v>
      </c>
      <c r="P59" s="1">
        <f t="shared" si="15"/>
        <v>0</v>
      </c>
      <c r="Q59" s="1">
        <f t="shared" si="15"/>
        <v>0</v>
      </c>
      <c r="R59" s="1">
        <f t="shared" si="12"/>
        <v>-28175.027846386693</v>
      </c>
    </row>
    <row r="60" spans="1:18" x14ac:dyDescent="0.3">
      <c r="A60" s="3" t="s">
        <v>258</v>
      </c>
      <c r="B60" s="1">
        <f t="shared" ref="B60:Q60" si="16">B27*VLOOKUP(VLOOKUP(B$38,Table_AllocByFunction,2,FALSE),Table_Classification,2,FALSE)</f>
        <v>1483.0253256368594</v>
      </c>
      <c r="C60" s="1">
        <f t="shared" si="16"/>
        <v>112.15845291460136</v>
      </c>
      <c r="D60" s="1">
        <f t="shared" si="16"/>
        <v>4107.9855514646442</v>
      </c>
      <c r="E60" s="1">
        <f t="shared" si="16"/>
        <v>1837.304087894601</v>
      </c>
      <c r="F60" s="1">
        <f t="shared" si="16"/>
        <v>3335.3825468911746</v>
      </c>
      <c r="G60" s="1">
        <f t="shared" si="16"/>
        <v>2363.5278165161326</v>
      </c>
      <c r="H60" s="1">
        <f t="shared" si="16"/>
        <v>1126.3478633773896</v>
      </c>
      <c r="I60" s="1">
        <f t="shared" si="16"/>
        <v>0</v>
      </c>
      <c r="J60" s="1">
        <f t="shared" si="16"/>
        <v>0</v>
      </c>
      <c r="K60" s="1">
        <f t="shared" si="16"/>
        <v>0</v>
      </c>
      <c r="L60" s="1">
        <f t="shared" si="16"/>
        <v>0</v>
      </c>
      <c r="M60" s="1">
        <f t="shared" si="16"/>
        <v>0</v>
      </c>
      <c r="N60" s="1">
        <f t="shared" si="16"/>
        <v>0</v>
      </c>
      <c r="O60" s="1">
        <f t="shared" si="16"/>
        <v>0</v>
      </c>
      <c r="P60" s="1">
        <f t="shared" si="16"/>
        <v>0</v>
      </c>
      <c r="Q60" s="1">
        <f t="shared" si="16"/>
        <v>0</v>
      </c>
      <c r="R60" s="1">
        <f t="shared" si="12"/>
        <v>14365.731644695405</v>
      </c>
    </row>
    <row r="61" spans="1:18" x14ac:dyDescent="0.3">
      <c r="A61" s="3" t="s">
        <v>259</v>
      </c>
      <c r="B61" s="1">
        <f>SUBTOTAL(9,B55:B60)</f>
        <v>910270.4335585048</v>
      </c>
      <c r="C61" s="1">
        <f t="shared" ref="C61:R61" si="17">SUBTOTAL(9,C55:C60)</f>
        <v>68842.063447556167</v>
      </c>
      <c r="D61" s="1">
        <f t="shared" si="17"/>
        <v>2521452.4151015319</v>
      </c>
      <c r="E61" s="1">
        <f t="shared" si="17"/>
        <v>1127724.2267918985</v>
      </c>
      <c r="F61" s="1">
        <f t="shared" si="17"/>
        <v>2047234.1669137029</v>
      </c>
      <c r="G61" s="1">
        <f t="shared" si="17"/>
        <v>1450716.6216759132</v>
      </c>
      <c r="H61" s="1">
        <f t="shared" si="17"/>
        <v>691344.33526544296</v>
      </c>
      <c r="I61" s="1">
        <f t="shared" si="17"/>
        <v>0</v>
      </c>
      <c r="J61" s="1">
        <f t="shared" si="17"/>
        <v>0</v>
      </c>
      <c r="K61" s="1">
        <f t="shared" si="17"/>
        <v>0</v>
      </c>
      <c r="L61" s="1">
        <f t="shared" si="17"/>
        <v>0</v>
      </c>
      <c r="M61" s="1">
        <f t="shared" si="17"/>
        <v>0</v>
      </c>
      <c r="N61" s="1">
        <f t="shared" si="17"/>
        <v>0</v>
      </c>
      <c r="O61" s="1">
        <f t="shared" si="17"/>
        <v>0</v>
      </c>
      <c r="P61" s="1">
        <f t="shared" si="17"/>
        <v>0</v>
      </c>
      <c r="Q61" s="1">
        <f t="shared" si="17"/>
        <v>0</v>
      </c>
      <c r="R61" s="1">
        <f t="shared" si="17"/>
        <v>8817584.2627545502</v>
      </c>
    </row>
    <row r="62" spans="1:18" x14ac:dyDescent="0.3">
      <c r="A62" s="1" t="s">
        <v>260</v>
      </c>
      <c r="B62" s="1">
        <f>SUBTOTAL(9,B63:B64)</f>
        <v>1535262.9978350636</v>
      </c>
      <c r="C62" s="1">
        <f t="shared" ref="C62:R62" si="18">SUBTOTAL(9,C63:C64)</f>
        <v>116109.09111094818</v>
      </c>
      <c r="D62" s="1">
        <f t="shared" si="18"/>
        <v>4252684.0936424164</v>
      </c>
      <c r="E62" s="1">
        <f t="shared" si="18"/>
        <v>1902020.7768227844</v>
      </c>
      <c r="F62" s="1">
        <f t="shared" si="18"/>
        <v>3452867.1354064052</v>
      </c>
      <c r="G62" s="1">
        <f t="shared" si="18"/>
        <v>2446780.0639162143</v>
      </c>
      <c r="H62" s="1">
        <f t="shared" si="18"/>
        <v>1166022.0277029304</v>
      </c>
      <c r="I62" s="1">
        <f t="shared" si="18"/>
        <v>0</v>
      </c>
      <c r="J62" s="1">
        <f t="shared" si="18"/>
        <v>0</v>
      </c>
      <c r="K62" s="1">
        <f t="shared" si="18"/>
        <v>0</v>
      </c>
      <c r="L62" s="1">
        <f t="shared" si="18"/>
        <v>0</v>
      </c>
      <c r="M62" s="1">
        <f t="shared" si="18"/>
        <v>0</v>
      </c>
      <c r="N62" s="1">
        <f t="shared" si="18"/>
        <v>0</v>
      </c>
      <c r="O62" s="1">
        <f t="shared" si="18"/>
        <v>0</v>
      </c>
      <c r="P62" s="1">
        <f t="shared" si="18"/>
        <v>0</v>
      </c>
      <c r="Q62" s="1">
        <f t="shared" si="18"/>
        <v>0</v>
      </c>
      <c r="R62" s="1">
        <f t="shared" si="18"/>
        <v>14871746.186436765</v>
      </c>
    </row>
    <row r="63" spans="1:18" x14ac:dyDescent="0.3">
      <c r="A63" s="1" t="s">
        <v>261</v>
      </c>
      <c r="B63" s="1">
        <f t="shared" ref="B63:Q63" si="19">B30*VLOOKUP(VLOOKUP(B$38,Table_AllocByFunction,2,FALSE),Table_Classification,2,FALSE)</f>
        <v>478245.3968305912</v>
      </c>
      <c r="C63" s="1">
        <f t="shared" si="19"/>
        <v>36168.811749060485</v>
      </c>
      <c r="D63" s="1">
        <f t="shared" si="19"/>
        <v>1324741.4904333274</v>
      </c>
      <c r="E63" s="1">
        <f t="shared" si="19"/>
        <v>592493.06631785666</v>
      </c>
      <c r="F63" s="1">
        <f t="shared" si="19"/>
        <v>1075592.7914007781</v>
      </c>
      <c r="G63" s="1">
        <f t="shared" si="19"/>
        <v>762189.47781251871</v>
      </c>
      <c r="H63" s="1">
        <f t="shared" si="19"/>
        <v>363224.19555369718</v>
      </c>
      <c r="I63" s="1">
        <f t="shared" si="19"/>
        <v>0</v>
      </c>
      <c r="J63" s="1">
        <f t="shared" si="19"/>
        <v>0</v>
      </c>
      <c r="K63" s="1">
        <f t="shared" si="19"/>
        <v>0</v>
      </c>
      <c r="L63" s="1">
        <f t="shared" si="19"/>
        <v>0</v>
      </c>
      <c r="M63" s="1">
        <f t="shared" si="19"/>
        <v>0</v>
      </c>
      <c r="N63" s="1">
        <f t="shared" si="19"/>
        <v>0</v>
      </c>
      <c r="O63" s="1">
        <f t="shared" si="19"/>
        <v>0</v>
      </c>
      <c r="P63" s="1">
        <f t="shared" si="19"/>
        <v>0</v>
      </c>
      <c r="Q63" s="1">
        <f t="shared" si="19"/>
        <v>0</v>
      </c>
      <c r="R63" s="1">
        <f>SUM(B63:Q63)</f>
        <v>4632655.2300978303</v>
      </c>
    </row>
    <row r="64" spans="1:18" x14ac:dyDescent="0.3">
      <c r="A64" s="1" t="s">
        <v>606</v>
      </c>
      <c r="B64" s="1">
        <f t="shared" ref="B64:Q64" si="20">B31*VLOOKUP(VLOOKUP(B$38,Table_AllocByFunction,2,FALSE),Table_Classification,2,FALSE)</f>
        <v>1057017.6010044725</v>
      </c>
      <c r="C64" s="1">
        <f t="shared" si="20"/>
        <v>79940.279361887689</v>
      </c>
      <c r="D64" s="1">
        <f t="shared" si="20"/>
        <v>2927942.603209089</v>
      </c>
      <c r="E64" s="1">
        <f t="shared" si="20"/>
        <v>1309527.7105049277</v>
      </c>
      <c r="F64" s="1">
        <f t="shared" si="20"/>
        <v>2377274.3440056271</v>
      </c>
      <c r="G64" s="1">
        <f t="shared" si="20"/>
        <v>1684590.5861036954</v>
      </c>
      <c r="H64" s="1">
        <f t="shared" si="20"/>
        <v>802797.8321492332</v>
      </c>
      <c r="I64" s="1">
        <f t="shared" si="20"/>
        <v>0</v>
      </c>
      <c r="J64" s="1">
        <f t="shared" si="20"/>
        <v>0</v>
      </c>
      <c r="K64" s="1">
        <f t="shared" si="20"/>
        <v>0</v>
      </c>
      <c r="L64" s="1">
        <f t="shared" si="20"/>
        <v>0</v>
      </c>
      <c r="M64" s="1">
        <f t="shared" si="20"/>
        <v>0</v>
      </c>
      <c r="N64" s="1">
        <f t="shared" si="20"/>
        <v>0</v>
      </c>
      <c r="O64" s="1">
        <f t="shared" si="20"/>
        <v>0</v>
      </c>
      <c r="P64" s="1">
        <f t="shared" si="20"/>
        <v>0</v>
      </c>
      <c r="Q64" s="1">
        <f t="shared" si="20"/>
        <v>0</v>
      </c>
      <c r="R64" s="1">
        <f>SUM(B64:Q64)</f>
        <v>10239090.956338935</v>
      </c>
    </row>
    <row r="65" spans="1:18" x14ac:dyDescent="0.3">
      <c r="A65" s="1" t="s">
        <v>629</v>
      </c>
      <c r="B65" s="1">
        <f>SUBTOTAL(9,B39:B64)</f>
        <v>7780782.5421603788</v>
      </c>
      <c r="C65" s="1">
        <f t="shared" ref="C65:R65" si="21">SUBTOTAL(9,C39:C64)</f>
        <v>22242555.426332027</v>
      </c>
      <c r="D65" s="1">
        <f t="shared" si="21"/>
        <v>23872277.648313079</v>
      </c>
      <c r="E65" s="1">
        <f t="shared" si="21"/>
        <v>7318790.8564757779</v>
      </c>
      <c r="F65" s="1">
        <f t="shared" si="21"/>
        <v>12199420.285217205</v>
      </c>
      <c r="G65" s="1">
        <f t="shared" si="21"/>
        <v>9963627.106941456</v>
      </c>
      <c r="H65" s="1">
        <f t="shared" si="21"/>
        <v>4239913.600926714</v>
      </c>
      <c r="I65" s="1">
        <f t="shared" si="21"/>
        <v>0</v>
      </c>
      <c r="J65" s="1">
        <f t="shared" si="21"/>
        <v>0</v>
      </c>
      <c r="K65" s="1">
        <f t="shared" si="21"/>
        <v>0</v>
      </c>
      <c r="L65" s="1">
        <f t="shared" si="21"/>
        <v>0</v>
      </c>
      <c r="M65" s="1">
        <f t="shared" si="21"/>
        <v>0</v>
      </c>
      <c r="N65" s="1">
        <f t="shared" si="21"/>
        <v>0</v>
      </c>
      <c r="O65" s="1">
        <f t="shared" si="21"/>
        <v>0</v>
      </c>
      <c r="P65" s="1">
        <f t="shared" si="21"/>
        <v>0</v>
      </c>
      <c r="Q65" s="1">
        <f t="shared" si="21"/>
        <v>0</v>
      </c>
      <c r="R65" s="1">
        <f t="shared" si="21"/>
        <v>87617367.466366649</v>
      </c>
    </row>
    <row r="66" spans="1:18" x14ac:dyDescent="0.3">
      <c r="A66" s="1" t="s">
        <v>632</v>
      </c>
      <c r="B66" s="1">
        <f t="shared" ref="B66:Q66" si="22">B33*VLOOKUP(VLOOKUP(B$38,Table_AllocByFunction,2,FALSE),Table_Classification,2,FALSE)</f>
        <v>0</v>
      </c>
      <c r="C66" s="1">
        <f t="shared" si="22"/>
        <v>0</v>
      </c>
      <c r="D66" s="1">
        <f t="shared" si="22"/>
        <v>-2725459.0299999993</v>
      </c>
      <c r="E66" s="1">
        <f t="shared" si="22"/>
        <v>0</v>
      </c>
      <c r="F66" s="1">
        <f t="shared" si="22"/>
        <v>0</v>
      </c>
      <c r="G66" s="1">
        <f t="shared" si="22"/>
        <v>0</v>
      </c>
      <c r="H66" s="1">
        <f t="shared" si="22"/>
        <v>0</v>
      </c>
      <c r="I66" s="1">
        <f t="shared" si="22"/>
        <v>0</v>
      </c>
      <c r="J66" s="1">
        <f t="shared" si="22"/>
        <v>0</v>
      </c>
      <c r="K66" s="1">
        <f t="shared" si="22"/>
        <v>0</v>
      </c>
      <c r="L66" s="1">
        <f t="shared" si="22"/>
        <v>0</v>
      </c>
      <c r="M66" s="1">
        <f t="shared" si="22"/>
        <v>0</v>
      </c>
      <c r="N66" s="1">
        <f t="shared" si="22"/>
        <v>0</v>
      </c>
      <c r="O66" s="1">
        <f t="shared" si="22"/>
        <v>0</v>
      </c>
      <c r="P66" s="1">
        <f t="shared" si="22"/>
        <v>0</v>
      </c>
      <c r="Q66" s="1">
        <f t="shared" si="22"/>
        <v>0</v>
      </c>
      <c r="R66" s="1">
        <f>SUM(B66:Q66)</f>
        <v>-2725459.0299999993</v>
      </c>
    </row>
    <row r="67" spans="1:18" x14ac:dyDescent="0.3">
      <c r="A67" s="1" t="s">
        <v>631</v>
      </c>
      <c r="B67" s="1">
        <f t="shared" ref="B67:Q67" si="23">B34*VLOOKUP(VLOOKUP(B$38,Table_AllocByFunction,2,FALSE),Table_Classification,2,FALSE)</f>
        <v>-86869.721983543845</v>
      </c>
      <c r="C67" s="1">
        <f t="shared" si="23"/>
        <v>-6569.7958452676967</v>
      </c>
      <c r="D67" s="1">
        <f t="shared" si="23"/>
        <v>-240629.44617274258</v>
      </c>
      <c r="E67" s="1">
        <f t="shared" si="23"/>
        <v>-107621.96204983386</v>
      </c>
      <c r="F67" s="1">
        <f t="shared" si="23"/>
        <v>-383810.18668273184</v>
      </c>
      <c r="G67" s="1">
        <f t="shared" si="23"/>
        <v>-138446.05400312916</v>
      </c>
      <c r="H67" s="1">
        <f t="shared" si="23"/>
        <v>-128789.22561660614</v>
      </c>
      <c r="I67" s="1">
        <f t="shared" si="23"/>
        <v>0</v>
      </c>
      <c r="J67" s="1">
        <f t="shared" si="23"/>
        <v>0</v>
      </c>
      <c r="K67" s="1">
        <f t="shared" si="23"/>
        <v>0</v>
      </c>
      <c r="L67" s="1">
        <f t="shared" si="23"/>
        <v>0</v>
      </c>
      <c r="M67" s="1">
        <f t="shared" si="23"/>
        <v>0</v>
      </c>
      <c r="N67" s="1">
        <f t="shared" si="23"/>
        <v>0</v>
      </c>
      <c r="O67" s="1">
        <f t="shared" si="23"/>
        <v>0</v>
      </c>
      <c r="P67" s="1">
        <f t="shared" si="23"/>
        <v>0</v>
      </c>
      <c r="Q67" s="1">
        <f t="shared" si="23"/>
        <v>0</v>
      </c>
      <c r="R67" s="1">
        <f>SUM(B67:Q67)</f>
        <v>-1092736.3923538551</v>
      </c>
    </row>
    <row r="68" spans="1:18" x14ac:dyDescent="0.3">
      <c r="A68" s="1" t="s">
        <v>630</v>
      </c>
      <c r="B68" s="1">
        <f t="shared" ref="B68:R68" si="24">SUBTOTAL(9,B39:B67)</f>
        <v>7693912.8201768352</v>
      </c>
      <c r="C68" s="1">
        <f t="shared" si="24"/>
        <v>22235985.63048676</v>
      </c>
      <c r="D68" s="1">
        <f t="shared" si="24"/>
        <v>20906189.172140338</v>
      </c>
      <c r="E68" s="1">
        <f t="shared" si="24"/>
        <v>7211168.8944259444</v>
      </c>
      <c r="F68" s="1">
        <f t="shared" si="24"/>
        <v>11815610.098534472</v>
      </c>
      <c r="G68" s="1">
        <f t="shared" si="24"/>
        <v>9825181.0529383272</v>
      </c>
      <c r="H68" s="1">
        <f t="shared" si="24"/>
        <v>4111124.3753101081</v>
      </c>
      <c r="I68" s="1">
        <f t="shared" si="24"/>
        <v>0</v>
      </c>
      <c r="J68" s="1">
        <f t="shared" si="24"/>
        <v>0</v>
      </c>
      <c r="K68" s="1">
        <f t="shared" si="24"/>
        <v>0</v>
      </c>
      <c r="L68" s="1">
        <f t="shared" si="24"/>
        <v>0</v>
      </c>
      <c r="M68" s="1">
        <f t="shared" si="24"/>
        <v>0</v>
      </c>
      <c r="N68" s="1">
        <f t="shared" si="24"/>
        <v>0</v>
      </c>
      <c r="O68" s="1">
        <f t="shared" si="24"/>
        <v>0</v>
      </c>
      <c r="P68" s="1">
        <f t="shared" si="24"/>
        <v>0</v>
      </c>
      <c r="Q68" s="1">
        <f t="shared" si="24"/>
        <v>0</v>
      </c>
      <c r="R68" s="1">
        <f t="shared" si="24"/>
        <v>83799172.044012785</v>
      </c>
    </row>
    <row r="70" spans="1:18" s="5" customFormat="1" x14ac:dyDescent="0.3">
      <c r="A70" s="5" t="s">
        <v>545</v>
      </c>
    </row>
    <row r="71" spans="1:18" s="9" customFormat="1" ht="54" x14ac:dyDescent="0.25">
      <c r="B71" s="17" t="str">
        <f t="array" ref="B71:Q71">TRANSPOSE(List_Functions)</f>
        <v>Generation</v>
      </c>
      <c r="C71" s="17" t="str">
        <v>Purchased Power</v>
      </c>
      <c r="D71" s="17" t="str">
        <v>Transmission</v>
      </c>
      <c r="E71" s="17" t="str">
        <v>Substations</v>
      </c>
      <c r="F71" s="17" t="str">
        <v>Primary Lines</v>
      </c>
      <c r="G71" s="17" t="str">
        <v>Transformers</v>
      </c>
      <c r="H71" s="17" t="str">
        <v>Secondary Lines</v>
      </c>
      <c r="I71" s="17" t="str">
        <v>Service Lines</v>
      </c>
      <c r="J71" s="17" t="str">
        <v>Meter Assets</v>
      </c>
      <c r="K71" s="17" t="str">
        <v>Meter Reading</v>
      </c>
      <c r="L71" s="17" t="str">
        <v>Billing</v>
      </c>
      <c r="M71" s="17" t="str">
        <v>Remittance &amp; Collection</v>
      </c>
      <c r="N71" s="17" t="str">
        <v>Uncollectibles &amp; Damage Claims</v>
      </c>
      <c r="O71" s="17" t="str">
        <v>Service Connections</v>
      </c>
      <c r="P71" s="17" t="str">
        <v>Late Payments</v>
      </c>
      <c r="Q71" s="17" t="str">
        <v>Lighting</v>
      </c>
      <c r="R71" s="17" t="s">
        <v>214</v>
      </c>
    </row>
    <row r="72" spans="1:18" x14ac:dyDescent="0.3">
      <c r="A72" s="1" t="s">
        <v>262</v>
      </c>
    </row>
    <row r="73" spans="1:18" x14ac:dyDescent="0.3">
      <c r="A73" s="3" t="s">
        <v>247</v>
      </c>
      <c r="B73" s="1">
        <f>B7*VLOOKUP(VLOOKUP(B$71,Table_AllocByFunction,2,FALSE),Table_Classification,3,FALSE)</f>
        <v>759675.53791864472</v>
      </c>
      <c r="C73" s="1">
        <f>C7*VLOOKUP(VLOOKUP(C$71,Table_AllocByFunction,2,FALSE),Table_Classification,3,FALSE)</f>
        <v>125021403.76666665</v>
      </c>
      <c r="D73" s="1">
        <f>D7*VLOOKUP(VLOOKUP(D$71,Table_AllocByFunction,2,FALSE),Table_Classification,3,FALSE)</f>
        <v>0</v>
      </c>
      <c r="E73" s="1">
        <f>E7*VLOOKUP(VLOOKUP(E$71,Table_AllocByFunction,2,FALSE),Table_Classification,3,FALSE)</f>
        <v>0</v>
      </c>
      <c r="F73" s="1">
        <f>F7*VLOOKUP(VLOOKUP(F$71,Table_AllocByFunction,2,FALSE),Table_Classification,3,FALSE)</f>
        <v>0</v>
      </c>
      <c r="G73" s="1">
        <f>G7*VLOOKUP(VLOOKUP(G$71,Table_AllocByFunction,2,FALSE),Table_Classification,3,FALSE)</f>
        <v>0</v>
      </c>
      <c r="H73" s="1">
        <f>H7*VLOOKUP(VLOOKUP(H$71,Table_AllocByFunction,2,FALSE),Table_Classification,3,FALSE)</f>
        <v>0</v>
      </c>
      <c r="I73" s="1">
        <f>I7*VLOOKUP(VLOOKUP(I$71,Table_AllocByFunction,2,FALSE),Table_Classification,3,FALSE)</f>
        <v>0</v>
      </c>
      <c r="J73" s="1">
        <f>J7*VLOOKUP(VLOOKUP(J$71,Table_AllocByFunction,2,FALSE),Table_Classification,3,FALSE)</f>
        <v>0</v>
      </c>
      <c r="K73" s="1">
        <f>K7*VLOOKUP(VLOOKUP(K$71,Table_AllocByFunction,2,FALSE),Table_Classification,3,FALSE)</f>
        <v>0</v>
      </c>
      <c r="L73" s="1">
        <f>L7*VLOOKUP(VLOOKUP(L$71,Table_AllocByFunction,2,FALSE),Table_Classification,3,FALSE)</f>
        <v>0</v>
      </c>
      <c r="M73" s="1">
        <f>M7*VLOOKUP(VLOOKUP(M$71,Table_AllocByFunction,2,FALSE),Table_Classification,3,FALSE)</f>
        <v>0</v>
      </c>
      <c r="N73" s="1">
        <f>N7*VLOOKUP(VLOOKUP(N$71,Table_AllocByFunction,2,FALSE),Table_Classification,3,FALSE)</f>
        <v>0</v>
      </c>
      <c r="O73" s="1">
        <f>O7*VLOOKUP(VLOOKUP(O$71,Table_AllocByFunction,2,FALSE),Table_Classification,3,FALSE)</f>
        <v>0</v>
      </c>
      <c r="P73" s="1">
        <f>P7*VLOOKUP(VLOOKUP(P$71,Table_AllocByFunction,2,FALSE),Table_Classification,3,FALSE)</f>
        <v>0</v>
      </c>
      <c r="Q73" s="1">
        <f>Q7*VLOOKUP(VLOOKUP(Q$71,Table_AllocByFunction,2,FALSE),Table_Classification,3,FALSE)</f>
        <v>0</v>
      </c>
      <c r="R73" s="1">
        <f>SUM(B73:Q73)</f>
        <v>125781079.30458529</v>
      </c>
    </row>
    <row r="74" spans="1:18" x14ac:dyDescent="0.3">
      <c r="A74" s="3" t="s">
        <v>248</v>
      </c>
      <c r="B74" s="1">
        <f>B8*VLOOKUP(VLOOKUP(B$71,Table_AllocByFunction,2,FALSE),Table_Classification,3,FALSE)</f>
        <v>0</v>
      </c>
      <c r="C74" s="1">
        <f>C8*VLOOKUP(VLOOKUP(C$71,Table_AllocByFunction,2,FALSE),Table_Classification,3,FALSE)</f>
        <v>-7281621.5658983793</v>
      </c>
      <c r="D74" s="1">
        <f>D8*VLOOKUP(VLOOKUP(D$71,Table_AllocByFunction,2,FALSE),Table_Classification,3,FALSE)</f>
        <v>0</v>
      </c>
      <c r="E74" s="1">
        <f>E8*VLOOKUP(VLOOKUP(E$71,Table_AllocByFunction,2,FALSE),Table_Classification,3,FALSE)</f>
        <v>0</v>
      </c>
      <c r="F74" s="1">
        <f>F8*VLOOKUP(VLOOKUP(F$71,Table_AllocByFunction,2,FALSE),Table_Classification,3,FALSE)</f>
        <v>0</v>
      </c>
      <c r="G74" s="1">
        <f>G8*VLOOKUP(VLOOKUP(G$71,Table_AllocByFunction,2,FALSE),Table_Classification,3,FALSE)</f>
        <v>0</v>
      </c>
      <c r="H74" s="1">
        <f>H8*VLOOKUP(VLOOKUP(H$71,Table_AllocByFunction,2,FALSE),Table_Classification,3,FALSE)</f>
        <v>0</v>
      </c>
      <c r="I74" s="1">
        <f>I8*VLOOKUP(VLOOKUP(I$71,Table_AllocByFunction,2,FALSE),Table_Classification,3,FALSE)</f>
        <v>0</v>
      </c>
      <c r="J74" s="1">
        <f>J8*VLOOKUP(VLOOKUP(J$71,Table_AllocByFunction,2,FALSE),Table_Classification,3,FALSE)</f>
        <v>0</v>
      </c>
      <c r="K74" s="1">
        <f>K8*VLOOKUP(VLOOKUP(K$71,Table_AllocByFunction,2,FALSE),Table_Classification,3,FALSE)</f>
        <v>0</v>
      </c>
      <c r="L74" s="1">
        <f>L8*VLOOKUP(VLOOKUP(L$71,Table_AllocByFunction,2,FALSE),Table_Classification,3,FALSE)</f>
        <v>0</v>
      </c>
      <c r="M74" s="1">
        <f>M8*VLOOKUP(VLOOKUP(M$71,Table_AllocByFunction,2,FALSE),Table_Classification,3,FALSE)</f>
        <v>0</v>
      </c>
      <c r="N74" s="1">
        <f>N8*VLOOKUP(VLOOKUP(N$71,Table_AllocByFunction,2,FALSE),Table_Classification,3,FALSE)</f>
        <v>0</v>
      </c>
      <c r="O74" s="1">
        <f>O8*VLOOKUP(VLOOKUP(O$71,Table_AllocByFunction,2,FALSE),Table_Classification,3,FALSE)</f>
        <v>0</v>
      </c>
      <c r="P74" s="1">
        <f>P8*VLOOKUP(VLOOKUP(P$71,Table_AllocByFunction,2,FALSE),Table_Classification,3,FALSE)</f>
        <v>0</v>
      </c>
      <c r="Q74" s="1">
        <f>Q8*VLOOKUP(VLOOKUP(Q$71,Table_AllocByFunction,2,FALSE),Table_Classification,3,FALSE)</f>
        <v>0</v>
      </c>
      <c r="R74" s="1">
        <f>SUM(B74:Q74)</f>
        <v>-7281621.5658983793</v>
      </c>
    </row>
    <row r="75" spans="1:18" x14ac:dyDescent="0.3">
      <c r="A75" s="3" t="s">
        <v>249</v>
      </c>
      <c r="B75" s="1">
        <f>SUBTOTAL(9,B73:B74)</f>
        <v>759675.53791864472</v>
      </c>
      <c r="C75" s="1">
        <f t="shared" ref="C75:R75" si="25">SUBTOTAL(9,C73:C74)</f>
        <v>117739782.20076828</v>
      </c>
      <c r="D75" s="1">
        <f t="shared" si="25"/>
        <v>0</v>
      </c>
      <c r="E75" s="1">
        <f t="shared" si="25"/>
        <v>0</v>
      </c>
      <c r="F75" s="1">
        <f t="shared" si="25"/>
        <v>0</v>
      </c>
      <c r="G75" s="1">
        <f t="shared" si="25"/>
        <v>0</v>
      </c>
      <c r="H75" s="1">
        <f t="shared" si="25"/>
        <v>0</v>
      </c>
      <c r="I75" s="1">
        <f t="shared" si="25"/>
        <v>0</v>
      </c>
      <c r="J75" s="1">
        <f t="shared" si="25"/>
        <v>0</v>
      </c>
      <c r="K75" s="1">
        <f t="shared" si="25"/>
        <v>0</v>
      </c>
      <c r="L75" s="1">
        <f t="shared" si="25"/>
        <v>0</v>
      </c>
      <c r="M75" s="1">
        <f t="shared" si="25"/>
        <v>0</v>
      </c>
      <c r="N75" s="1">
        <f t="shared" si="25"/>
        <v>0</v>
      </c>
      <c r="O75" s="1">
        <f t="shared" si="25"/>
        <v>0</v>
      </c>
      <c r="P75" s="1">
        <f t="shared" si="25"/>
        <v>0</v>
      </c>
      <c r="Q75" s="1">
        <f t="shared" si="25"/>
        <v>0</v>
      </c>
      <c r="R75" s="1">
        <f t="shared" si="25"/>
        <v>118499457.73868692</v>
      </c>
    </row>
    <row r="76" spans="1:18" x14ac:dyDescent="0.3">
      <c r="A76" s="3" t="s">
        <v>124</v>
      </c>
      <c r="B76" s="1">
        <f>B10*VLOOKUP(VLOOKUP(B$71,Table_AllocByFunction,2,FALSE),Table_Classification,3,FALSE)</f>
        <v>28734.137304873322</v>
      </c>
      <c r="C76" s="1">
        <f>C10*VLOOKUP(VLOOKUP(C$71,Table_AllocByFunction,2,FALSE),Table_Classification,3,FALSE)</f>
        <v>0</v>
      </c>
      <c r="D76" s="1">
        <f>D10*VLOOKUP(VLOOKUP(D$71,Table_AllocByFunction,2,FALSE),Table_Classification,3,FALSE)</f>
        <v>0</v>
      </c>
      <c r="E76" s="1">
        <f>E10*VLOOKUP(VLOOKUP(E$71,Table_AllocByFunction,2,FALSE),Table_Classification,3,FALSE)</f>
        <v>0</v>
      </c>
      <c r="F76" s="1">
        <f>F10*VLOOKUP(VLOOKUP(F$71,Table_AllocByFunction,2,FALSE),Table_Classification,3,FALSE)</f>
        <v>0</v>
      </c>
      <c r="G76" s="1">
        <f>G10*VLOOKUP(VLOOKUP(G$71,Table_AllocByFunction,2,FALSE),Table_Classification,3,FALSE)</f>
        <v>0</v>
      </c>
      <c r="H76" s="1">
        <f>H10*VLOOKUP(VLOOKUP(H$71,Table_AllocByFunction,2,FALSE),Table_Classification,3,FALSE)</f>
        <v>0</v>
      </c>
      <c r="I76" s="1">
        <f>I10*VLOOKUP(VLOOKUP(I$71,Table_AllocByFunction,2,FALSE),Table_Classification,3,FALSE)</f>
        <v>0</v>
      </c>
      <c r="J76" s="1">
        <f>J10*VLOOKUP(VLOOKUP(J$71,Table_AllocByFunction,2,FALSE),Table_Classification,3,FALSE)</f>
        <v>0</v>
      </c>
      <c r="K76" s="1">
        <f>K10*VLOOKUP(VLOOKUP(K$71,Table_AllocByFunction,2,FALSE),Table_Classification,3,FALSE)</f>
        <v>0</v>
      </c>
      <c r="L76" s="1">
        <f>L10*VLOOKUP(VLOOKUP(L$71,Table_AllocByFunction,2,FALSE),Table_Classification,3,FALSE)</f>
        <v>0</v>
      </c>
      <c r="M76" s="1">
        <f>M10*VLOOKUP(VLOOKUP(M$71,Table_AllocByFunction,2,FALSE),Table_Classification,3,FALSE)</f>
        <v>0</v>
      </c>
      <c r="N76" s="1">
        <f>N10*VLOOKUP(VLOOKUP(N$71,Table_AllocByFunction,2,FALSE),Table_Classification,3,FALSE)</f>
        <v>0</v>
      </c>
      <c r="O76" s="1">
        <f>O10*VLOOKUP(VLOOKUP(O$71,Table_AllocByFunction,2,FALSE),Table_Classification,3,FALSE)</f>
        <v>0</v>
      </c>
      <c r="P76" s="1">
        <f>P10*VLOOKUP(VLOOKUP(P$71,Table_AllocByFunction,2,FALSE),Table_Classification,3,FALSE)</f>
        <v>0</v>
      </c>
      <c r="Q76" s="1">
        <f>Q10*VLOOKUP(VLOOKUP(Q$71,Table_AllocByFunction,2,FALSE),Table_Classification,3,FALSE)</f>
        <v>0</v>
      </c>
      <c r="R76" s="1">
        <f>SUM(B76:Q76)</f>
        <v>28734.137304873322</v>
      </c>
    </row>
    <row r="77" spans="1:18" x14ac:dyDescent="0.3">
      <c r="A77" s="3" t="s">
        <v>12</v>
      </c>
      <c r="B77" s="1">
        <f>B11*VLOOKUP(VLOOKUP(B$71,Table_AllocByFunction,2,FALSE),Table_Classification,3,FALSE)</f>
        <v>0</v>
      </c>
      <c r="C77" s="1">
        <f>C11*VLOOKUP(VLOOKUP(C$71,Table_AllocByFunction,2,FALSE),Table_Classification,3,FALSE)</f>
        <v>0</v>
      </c>
      <c r="D77" s="1">
        <f>D11*VLOOKUP(VLOOKUP(D$71,Table_AllocByFunction,2,FALSE),Table_Classification,3,FALSE)</f>
        <v>0</v>
      </c>
      <c r="E77" s="1">
        <f>E11*VLOOKUP(VLOOKUP(E$71,Table_AllocByFunction,2,FALSE),Table_Classification,3,FALSE)</f>
        <v>0</v>
      </c>
      <c r="F77" s="1">
        <f>F11*VLOOKUP(VLOOKUP(F$71,Table_AllocByFunction,2,FALSE),Table_Classification,3,FALSE)</f>
        <v>0</v>
      </c>
      <c r="G77" s="1">
        <f>G11*VLOOKUP(VLOOKUP(G$71,Table_AllocByFunction,2,FALSE),Table_Classification,3,FALSE)</f>
        <v>0</v>
      </c>
      <c r="H77" s="1">
        <f>H11*VLOOKUP(VLOOKUP(H$71,Table_AllocByFunction,2,FALSE),Table_Classification,3,FALSE)</f>
        <v>0</v>
      </c>
      <c r="I77" s="1">
        <f>I11*VLOOKUP(VLOOKUP(I$71,Table_AllocByFunction,2,FALSE),Table_Classification,3,FALSE)</f>
        <v>0</v>
      </c>
      <c r="J77" s="1">
        <f>J11*VLOOKUP(VLOOKUP(J$71,Table_AllocByFunction,2,FALSE),Table_Classification,3,FALSE)</f>
        <v>0</v>
      </c>
      <c r="K77" s="1">
        <f>K11*VLOOKUP(VLOOKUP(K$71,Table_AllocByFunction,2,FALSE),Table_Classification,3,FALSE)</f>
        <v>0</v>
      </c>
      <c r="L77" s="1">
        <f>L11*VLOOKUP(VLOOKUP(L$71,Table_AllocByFunction,2,FALSE),Table_Classification,3,FALSE)</f>
        <v>0</v>
      </c>
      <c r="M77" s="1">
        <f>M11*VLOOKUP(VLOOKUP(M$71,Table_AllocByFunction,2,FALSE),Table_Classification,3,FALSE)</f>
        <v>0</v>
      </c>
      <c r="N77" s="1">
        <f>N11*VLOOKUP(VLOOKUP(N$71,Table_AllocByFunction,2,FALSE),Table_Classification,3,FALSE)</f>
        <v>0</v>
      </c>
      <c r="O77" s="1">
        <f>O11*VLOOKUP(VLOOKUP(O$71,Table_AllocByFunction,2,FALSE),Table_Classification,3,FALSE)</f>
        <v>0</v>
      </c>
      <c r="P77" s="1">
        <f>P11*VLOOKUP(VLOOKUP(P$71,Table_AllocByFunction,2,FALSE),Table_Classification,3,FALSE)</f>
        <v>0</v>
      </c>
      <c r="Q77" s="1">
        <f>Q11*VLOOKUP(VLOOKUP(Q$71,Table_AllocByFunction,2,FALSE),Table_Classification,3,FALSE)</f>
        <v>0</v>
      </c>
      <c r="R77" s="1">
        <f>SUM(B77:Q77)</f>
        <v>0</v>
      </c>
    </row>
    <row r="78" spans="1:18" x14ac:dyDescent="0.3">
      <c r="A78" s="3" t="s">
        <v>250</v>
      </c>
      <c r="B78" s="1">
        <f>B12*VLOOKUP(VLOOKUP(B$71,Table_AllocByFunction,2,FALSE),Table_Classification,3,FALSE)</f>
        <v>0</v>
      </c>
      <c r="C78" s="1">
        <f>C12*VLOOKUP(VLOOKUP(C$71,Table_AllocByFunction,2,FALSE),Table_Classification,3,FALSE)</f>
        <v>0</v>
      </c>
      <c r="D78" s="1">
        <f>D12*VLOOKUP(VLOOKUP(D$71,Table_AllocByFunction,2,FALSE),Table_Classification,3,FALSE)</f>
        <v>0</v>
      </c>
      <c r="E78" s="1">
        <f>E12*VLOOKUP(VLOOKUP(E$71,Table_AllocByFunction,2,FALSE),Table_Classification,3,FALSE)</f>
        <v>0</v>
      </c>
      <c r="F78" s="1">
        <f>F12*VLOOKUP(VLOOKUP(F$71,Table_AllocByFunction,2,FALSE),Table_Classification,3,FALSE)</f>
        <v>0</v>
      </c>
      <c r="G78" s="1">
        <f>G12*VLOOKUP(VLOOKUP(G$71,Table_AllocByFunction,2,FALSE),Table_Classification,3,FALSE)</f>
        <v>0</v>
      </c>
      <c r="H78" s="1">
        <f>H12*VLOOKUP(VLOOKUP(H$71,Table_AllocByFunction,2,FALSE),Table_Classification,3,FALSE)</f>
        <v>0</v>
      </c>
      <c r="I78" s="1">
        <f>I12*VLOOKUP(VLOOKUP(I$71,Table_AllocByFunction,2,FALSE),Table_Classification,3,FALSE)</f>
        <v>0</v>
      </c>
      <c r="J78" s="1">
        <f>J12*VLOOKUP(VLOOKUP(J$71,Table_AllocByFunction,2,FALSE),Table_Classification,3,FALSE)</f>
        <v>0</v>
      </c>
      <c r="K78" s="1">
        <f>K12*VLOOKUP(VLOOKUP(K$71,Table_AllocByFunction,2,FALSE),Table_Classification,3,FALSE)</f>
        <v>0</v>
      </c>
      <c r="L78" s="1">
        <f>L12*VLOOKUP(VLOOKUP(L$71,Table_AllocByFunction,2,FALSE),Table_Classification,3,FALSE)</f>
        <v>0</v>
      </c>
      <c r="M78" s="1">
        <f>M12*VLOOKUP(VLOOKUP(M$71,Table_AllocByFunction,2,FALSE),Table_Classification,3,FALSE)</f>
        <v>0</v>
      </c>
      <c r="N78" s="1">
        <f>N12*VLOOKUP(VLOOKUP(N$71,Table_AllocByFunction,2,FALSE),Table_Classification,3,FALSE)</f>
        <v>0</v>
      </c>
      <c r="O78" s="1">
        <f>O12*VLOOKUP(VLOOKUP(O$71,Table_AllocByFunction,2,FALSE),Table_Classification,3,FALSE)</f>
        <v>0</v>
      </c>
      <c r="P78" s="1">
        <f>P12*VLOOKUP(VLOOKUP(P$71,Table_AllocByFunction,2,FALSE),Table_Classification,3,FALSE)</f>
        <v>0</v>
      </c>
      <c r="Q78" s="1">
        <f>Q12*VLOOKUP(VLOOKUP(Q$71,Table_AllocByFunction,2,FALSE),Table_Classification,3,FALSE)</f>
        <v>0</v>
      </c>
      <c r="R78" s="1">
        <f>SUM(B78:Q78)</f>
        <v>0</v>
      </c>
    </row>
    <row r="79" spans="1:18" x14ac:dyDescent="0.3">
      <c r="A79" s="3" t="s">
        <v>251</v>
      </c>
      <c r="B79" s="1">
        <f>B13*VLOOKUP(VLOOKUP(B$71,Table_AllocByFunction,2,FALSE),Table_Classification,3,FALSE)</f>
        <v>0</v>
      </c>
      <c r="C79" s="1">
        <f>C13*VLOOKUP(VLOOKUP(C$71,Table_AllocByFunction,2,FALSE),Table_Classification,3,FALSE)</f>
        <v>0</v>
      </c>
      <c r="D79" s="1">
        <f>D13*VLOOKUP(VLOOKUP(D$71,Table_AllocByFunction,2,FALSE),Table_Classification,3,FALSE)</f>
        <v>0</v>
      </c>
      <c r="E79" s="1">
        <f>E13*VLOOKUP(VLOOKUP(E$71,Table_AllocByFunction,2,FALSE),Table_Classification,3,FALSE)</f>
        <v>0</v>
      </c>
      <c r="F79" s="1">
        <f>F13*VLOOKUP(VLOOKUP(F$71,Table_AllocByFunction,2,FALSE),Table_Classification,3,FALSE)</f>
        <v>0</v>
      </c>
      <c r="G79" s="1">
        <f>G13*VLOOKUP(VLOOKUP(G$71,Table_AllocByFunction,2,FALSE),Table_Classification,3,FALSE)</f>
        <v>0</v>
      </c>
      <c r="H79" s="1">
        <f>H13*VLOOKUP(VLOOKUP(H$71,Table_AllocByFunction,2,FALSE),Table_Classification,3,FALSE)</f>
        <v>0</v>
      </c>
      <c r="I79" s="1">
        <f>I13*VLOOKUP(VLOOKUP(I$71,Table_AllocByFunction,2,FALSE),Table_Classification,3,FALSE)</f>
        <v>0</v>
      </c>
      <c r="J79" s="1">
        <f>J13*VLOOKUP(VLOOKUP(J$71,Table_AllocByFunction,2,FALSE),Table_Classification,3,FALSE)</f>
        <v>0</v>
      </c>
      <c r="K79" s="1">
        <f>K13*VLOOKUP(VLOOKUP(K$71,Table_AllocByFunction,2,FALSE),Table_Classification,3,FALSE)</f>
        <v>0</v>
      </c>
      <c r="L79" s="1">
        <f>L13*VLOOKUP(VLOOKUP(L$71,Table_AllocByFunction,2,FALSE),Table_Classification,3,FALSE)</f>
        <v>0</v>
      </c>
      <c r="M79" s="1">
        <f>M13*VLOOKUP(VLOOKUP(M$71,Table_AllocByFunction,2,FALSE),Table_Classification,3,FALSE)</f>
        <v>0</v>
      </c>
      <c r="N79" s="1">
        <f>N13*VLOOKUP(VLOOKUP(N$71,Table_AllocByFunction,2,FALSE),Table_Classification,3,FALSE)</f>
        <v>0</v>
      </c>
      <c r="O79" s="1">
        <f>O13*VLOOKUP(VLOOKUP(O$71,Table_AllocByFunction,2,FALSE),Table_Classification,3,FALSE)</f>
        <v>0</v>
      </c>
      <c r="P79" s="1">
        <f>P13*VLOOKUP(VLOOKUP(P$71,Table_AllocByFunction,2,FALSE),Table_Classification,3,FALSE)</f>
        <v>0</v>
      </c>
      <c r="Q79" s="1">
        <f>Q13*VLOOKUP(VLOOKUP(Q$71,Table_AllocByFunction,2,FALSE),Table_Classification,3,FALSE)</f>
        <v>0</v>
      </c>
      <c r="R79" s="1">
        <f>SUM(B79:Q79)</f>
        <v>0</v>
      </c>
    </row>
    <row r="80" spans="1:18" x14ac:dyDescent="0.3">
      <c r="A80" s="3" t="s">
        <v>252</v>
      </c>
      <c r="B80" s="1">
        <f>B14*VLOOKUP(VLOOKUP(B$71,Table_AllocByFunction,2,FALSE),Table_Classification,3,FALSE)</f>
        <v>359076.67731218511</v>
      </c>
      <c r="C80" s="1">
        <f>C14*VLOOKUP(VLOOKUP(C$71,Table_AllocByFunction,2,FALSE),Table_Classification,3,FALSE)</f>
        <v>237453.89523161476</v>
      </c>
      <c r="D80" s="1">
        <f>D14*VLOOKUP(VLOOKUP(D$71,Table_AllocByFunction,2,FALSE),Table_Classification,3,FALSE)</f>
        <v>0</v>
      </c>
      <c r="E80" s="1">
        <f>E14*VLOOKUP(VLOOKUP(E$71,Table_AllocByFunction,2,FALSE),Table_Classification,3,FALSE)</f>
        <v>0</v>
      </c>
      <c r="F80" s="1">
        <f>F14*VLOOKUP(VLOOKUP(F$71,Table_AllocByFunction,2,FALSE),Table_Classification,3,FALSE)</f>
        <v>0</v>
      </c>
      <c r="G80" s="1">
        <f>G14*VLOOKUP(VLOOKUP(G$71,Table_AllocByFunction,2,FALSE),Table_Classification,3,FALSE)</f>
        <v>0</v>
      </c>
      <c r="H80" s="1">
        <f>H14*VLOOKUP(VLOOKUP(H$71,Table_AllocByFunction,2,FALSE),Table_Classification,3,FALSE)</f>
        <v>0</v>
      </c>
      <c r="I80" s="1">
        <f>I14*VLOOKUP(VLOOKUP(I$71,Table_AllocByFunction,2,FALSE),Table_Classification,3,FALSE)</f>
        <v>0</v>
      </c>
      <c r="J80" s="1">
        <f>J14*VLOOKUP(VLOOKUP(J$71,Table_AllocByFunction,2,FALSE),Table_Classification,3,FALSE)</f>
        <v>0</v>
      </c>
      <c r="K80" s="1">
        <f>K14*VLOOKUP(VLOOKUP(K$71,Table_AllocByFunction,2,FALSE),Table_Classification,3,FALSE)</f>
        <v>0</v>
      </c>
      <c r="L80" s="1">
        <f>L14*VLOOKUP(VLOOKUP(L$71,Table_AllocByFunction,2,FALSE),Table_Classification,3,FALSE)</f>
        <v>0</v>
      </c>
      <c r="M80" s="1">
        <f>M14*VLOOKUP(VLOOKUP(M$71,Table_AllocByFunction,2,FALSE),Table_Classification,3,FALSE)</f>
        <v>0</v>
      </c>
      <c r="N80" s="1">
        <f>N14*VLOOKUP(VLOOKUP(N$71,Table_AllocByFunction,2,FALSE),Table_Classification,3,FALSE)</f>
        <v>0</v>
      </c>
      <c r="O80" s="1">
        <f>O14*VLOOKUP(VLOOKUP(O$71,Table_AllocByFunction,2,FALSE),Table_Classification,3,FALSE)</f>
        <v>0</v>
      </c>
      <c r="P80" s="1">
        <f>P14*VLOOKUP(VLOOKUP(P$71,Table_AllocByFunction,2,FALSE),Table_Classification,3,FALSE)</f>
        <v>0</v>
      </c>
      <c r="Q80" s="1">
        <f>Q14*VLOOKUP(VLOOKUP(Q$71,Table_AllocByFunction,2,FALSE),Table_Classification,3,FALSE)</f>
        <v>0</v>
      </c>
      <c r="R80" s="1">
        <f>SUM(B80:Q80)</f>
        <v>596530.57254379988</v>
      </c>
    </row>
    <row r="81" spans="1:18" x14ac:dyDescent="0.3">
      <c r="A81" s="3" t="s">
        <v>253</v>
      </c>
      <c r="B81" s="1">
        <f t="shared" ref="B81:R81" si="26">SUBTOTAL(9,B72:B80)</f>
        <v>1147486.3525357032</v>
      </c>
      <c r="C81" s="1">
        <f t="shared" si="26"/>
        <v>117977236.0959999</v>
      </c>
      <c r="D81" s="1">
        <f t="shared" si="26"/>
        <v>0</v>
      </c>
      <c r="E81" s="1">
        <f t="shared" si="26"/>
        <v>0</v>
      </c>
      <c r="F81" s="1">
        <f t="shared" si="26"/>
        <v>0</v>
      </c>
      <c r="G81" s="1">
        <f t="shared" si="26"/>
        <v>0</v>
      </c>
      <c r="H81" s="1">
        <f t="shared" si="26"/>
        <v>0</v>
      </c>
      <c r="I81" s="1">
        <f t="shared" si="26"/>
        <v>0</v>
      </c>
      <c r="J81" s="1">
        <f t="shared" si="26"/>
        <v>0</v>
      </c>
      <c r="K81" s="1">
        <f t="shared" si="26"/>
        <v>0</v>
      </c>
      <c r="L81" s="1">
        <f t="shared" si="26"/>
        <v>0</v>
      </c>
      <c r="M81" s="1">
        <f t="shared" si="26"/>
        <v>0</v>
      </c>
      <c r="N81" s="1">
        <f t="shared" si="26"/>
        <v>0</v>
      </c>
      <c r="O81" s="1">
        <f t="shared" si="26"/>
        <v>0</v>
      </c>
      <c r="P81" s="1">
        <f t="shared" si="26"/>
        <v>0</v>
      </c>
      <c r="Q81" s="1">
        <f t="shared" si="26"/>
        <v>0</v>
      </c>
      <c r="R81" s="1">
        <f t="shared" si="26"/>
        <v>119124722.44853559</v>
      </c>
    </row>
    <row r="82" spans="1:18" x14ac:dyDescent="0.3">
      <c r="A82" s="2" t="s">
        <v>138</v>
      </c>
    </row>
    <row r="83" spans="1:18" x14ac:dyDescent="0.3">
      <c r="A83" s="3" t="s">
        <v>479</v>
      </c>
      <c r="B83" s="1">
        <f t="shared" ref="B83:Q83" si="27">B17*VLOOKUP(VLOOKUP(B$71,Table_AllocByFunction,2,FALSE),Table_Classification,3,FALSE)</f>
        <v>11505.818900459712</v>
      </c>
      <c r="C83" s="1">
        <f t="shared" si="27"/>
        <v>86841.248406644474</v>
      </c>
      <c r="D83" s="1">
        <f t="shared" si="27"/>
        <v>0</v>
      </c>
      <c r="E83" s="1">
        <f t="shared" si="27"/>
        <v>0</v>
      </c>
      <c r="F83" s="1">
        <f t="shared" si="27"/>
        <v>0</v>
      </c>
      <c r="G83" s="1">
        <f t="shared" si="27"/>
        <v>0</v>
      </c>
      <c r="H83" s="1">
        <f t="shared" si="27"/>
        <v>0</v>
      </c>
      <c r="I83" s="1">
        <f t="shared" si="27"/>
        <v>0</v>
      </c>
      <c r="J83" s="1">
        <f t="shared" si="27"/>
        <v>0</v>
      </c>
      <c r="K83" s="1">
        <f t="shared" si="27"/>
        <v>0</v>
      </c>
      <c r="L83" s="1">
        <f t="shared" si="27"/>
        <v>0</v>
      </c>
      <c r="M83" s="1">
        <f t="shared" si="27"/>
        <v>0</v>
      </c>
      <c r="N83" s="1">
        <f t="shared" si="27"/>
        <v>0</v>
      </c>
      <c r="O83" s="1">
        <f t="shared" si="27"/>
        <v>0</v>
      </c>
      <c r="P83" s="1">
        <f t="shared" si="27"/>
        <v>0</v>
      </c>
      <c r="Q83" s="1">
        <f t="shared" si="27"/>
        <v>0</v>
      </c>
      <c r="R83" s="1">
        <f>SUM(B83:Q83)</f>
        <v>98347.067307104182</v>
      </c>
    </row>
    <row r="84" spans="1:18" x14ac:dyDescent="0.3">
      <c r="A84" s="47" t="s">
        <v>725</v>
      </c>
      <c r="B84" s="1">
        <f t="shared" ref="B84:Q84" si="28">B18*VLOOKUP(VLOOKUP(B$71,Table_AllocByFunction,2,FALSE),Table_Classification,3,FALSE)</f>
        <v>721655.13249358744</v>
      </c>
      <c r="C84" s="1">
        <f t="shared" si="28"/>
        <v>0</v>
      </c>
      <c r="D84" s="1">
        <f t="shared" si="28"/>
        <v>0</v>
      </c>
      <c r="E84" s="1">
        <f t="shared" si="28"/>
        <v>0</v>
      </c>
      <c r="F84" s="1">
        <f t="shared" si="28"/>
        <v>0</v>
      </c>
      <c r="G84" s="1">
        <f t="shared" si="28"/>
        <v>0</v>
      </c>
      <c r="H84" s="1">
        <f t="shared" si="28"/>
        <v>0</v>
      </c>
      <c r="I84" s="1">
        <f t="shared" si="28"/>
        <v>0</v>
      </c>
      <c r="J84" s="1">
        <f t="shared" si="28"/>
        <v>0</v>
      </c>
      <c r="K84" s="1">
        <f t="shared" si="28"/>
        <v>0</v>
      </c>
      <c r="L84" s="1">
        <f t="shared" si="28"/>
        <v>0</v>
      </c>
      <c r="M84" s="1">
        <f t="shared" si="28"/>
        <v>0</v>
      </c>
      <c r="N84" s="1">
        <f t="shared" si="28"/>
        <v>0</v>
      </c>
      <c r="O84" s="1">
        <f t="shared" si="28"/>
        <v>0</v>
      </c>
      <c r="P84" s="1">
        <f t="shared" si="28"/>
        <v>0</v>
      </c>
      <c r="Q84" s="1">
        <f t="shared" si="28"/>
        <v>0</v>
      </c>
      <c r="R84" s="1">
        <f>SUM(B84:Q84)</f>
        <v>721655.13249358744</v>
      </c>
    </row>
    <row r="85" spans="1:18" x14ac:dyDescent="0.3">
      <c r="A85" s="3" t="s">
        <v>480</v>
      </c>
      <c r="B85" s="1">
        <f t="shared" ref="B85:Q85" si="29">B19*VLOOKUP(VLOOKUP(B$71,Table_AllocByFunction,2,FALSE),Table_Classification,3,FALSE)</f>
        <v>844590.32026933983</v>
      </c>
      <c r="C85" s="1">
        <f t="shared" si="29"/>
        <v>64601.457786566731</v>
      </c>
      <c r="D85" s="1">
        <f t="shared" si="29"/>
        <v>0</v>
      </c>
      <c r="E85" s="1">
        <f t="shared" si="29"/>
        <v>0</v>
      </c>
      <c r="F85" s="1">
        <f t="shared" si="29"/>
        <v>0</v>
      </c>
      <c r="G85" s="1">
        <f t="shared" si="29"/>
        <v>0</v>
      </c>
      <c r="H85" s="1">
        <f t="shared" si="29"/>
        <v>0</v>
      </c>
      <c r="I85" s="1">
        <f t="shared" si="29"/>
        <v>0</v>
      </c>
      <c r="J85" s="1">
        <f t="shared" si="29"/>
        <v>0</v>
      </c>
      <c r="K85" s="1">
        <f t="shared" si="29"/>
        <v>0</v>
      </c>
      <c r="L85" s="1">
        <f t="shared" si="29"/>
        <v>0</v>
      </c>
      <c r="M85" s="1">
        <f t="shared" si="29"/>
        <v>0</v>
      </c>
      <c r="N85" s="1">
        <f t="shared" si="29"/>
        <v>0</v>
      </c>
      <c r="O85" s="1">
        <f t="shared" si="29"/>
        <v>0</v>
      </c>
      <c r="P85" s="1">
        <f t="shared" si="29"/>
        <v>0</v>
      </c>
      <c r="Q85" s="1">
        <f t="shared" si="29"/>
        <v>0</v>
      </c>
      <c r="R85" s="1">
        <f>SUM(B85:Q85)</f>
        <v>909191.77805590653</v>
      </c>
    </row>
    <row r="86" spans="1:18" x14ac:dyDescent="0.3">
      <c r="A86" s="3" t="s">
        <v>254</v>
      </c>
      <c r="B86" s="1">
        <f>SUBTOTAL(9,B82:B85)</f>
        <v>1577751.2716633868</v>
      </c>
      <c r="C86" s="1">
        <f t="shared" ref="C86:R86" si="30">SUBTOTAL(9,C82:C85)</f>
        <v>151442.7061932112</v>
      </c>
      <c r="D86" s="1">
        <f t="shared" si="30"/>
        <v>0</v>
      </c>
      <c r="E86" s="1">
        <f t="shared" si="30"/>
        <v>0</v>
      </c>
      <c r="F86" s="1">
        <f t="shared" si="30"/>
        <v>0</v>
      </c>
      <c r="G86" s="1">
        <f t="shared" si="30"/>
        <v>0</v>
      </c>
      <c r="H86" s="1">
        <f t="shared" si="30"/>
        <v>0</v>
      </c>
      <c r="I86" s="1">
        <f t="shared" si="30"/>
        <v>0</v>
      </c>
      <c r="J86" s="1">
        <f t="shared" si="30"/>
        <v>0</v>
      </c>
      <c r="K86" s="1">
        <f t="shared" si="30"/>
        <v>0</v>
      </c>
      <c r="L86" s="1">
        <f t="shared" si="30"/>
        <v>0</v>
      </c>
      <c r="M86" s="1">
        <f t="shared" si="30"/>
        <v>0</v>
      </c>
      <c r="N86" s="1">
        <f t="shared" si="30"/>
        <v>0</v>
      </c>
      <c r="O86" s="1">
        <f t="shared" si="30"/>
        <v>0</v>
      </c>
      <c r="P86" s="1">
        <f t="shared" si="30"/>
        <v>0</v>
      </c>
      <c r="Q86" s="1">
        <f t="shared" si="30"/>
        <v>0</v>
      </c>
      <c r="R86" s="1">
        <f t="shared" si="30"/>
        <v>1729193.9778565981</v>
      </c>
    </row>
    <row r="87" spans="1:18" x14ac:dyDescent="0.3">
      <c r="A87" s="1" t="s">
        <v>263</v>
      </c>
      <c r="B87" s="1">
        <f t="shared" ref="B87:R87" si="31">SUBTOTAL(9,B72:B86)</f>
        <v>2725237.6241990901</v>
      </c>
      <c r="C87" s="1">
        <f t="shared" si="31"/>
        <v>118128678.80219311</v>
      </c>
      <c r="D87" s="1">
        <f t="shared" si="31"/>
        <v>0</v>
      </c>
      <c r="E87" s="1">
        <f t="shared" si="31"/>
        <v>0</v>
      </c>
      <c r="F87" s="1">
        <f t="shared" si="31"/>
        <v>0</v>
      </c>
      <c r="G87" s="1">
        <f t="shared" si="31"/>
        <v>0</v>
      </c>
      <c r="H87" s="1">
        <f t="shared" si="31"/>
        <v>0</v>
      </c>
      <c r="I87" s="1">
        <f t="shared" si="31"/>
        <v>0</v>
      </c>
      <c r="J87" s="1">
        <f t="shared" si="31"/>
        <v>0</v>
      </c>
      <c r="K87" s="1">
        <f t="shared" si="31"/>
        <v>0</v>
      </c>
      <c r="L87" s="1">
        <f t="shared" si="31"/>
        <v>0</v>
      </c>
      <c r="M87" s="1">
        <f t="shared" si="31"/>
        <v>0</v>
      </c>
      <c r="N87" s="1">
        <f t="shared" si="31"/>
        <v>0</v>
      </c>
      <c r="O87" s="1">
        <f t="shared" si="31"/>
        <v>0</v>
      </c>
      <c r="P87" s="1">
        <f t="shared" si="31"/>
        <v>0</v>
      </c>
      <c r="Q87" s="1">
        <f t="shared" si="31"/>
        <v>0</v>
      </c>
      <c r="R87" s="1">
        <f t="shared" si="31"/>
        <v>120853916.42639218</v>
      </c>
    </row>
    <row r="88" spans="1:18" x14ac:dyDescent="0.3">
      <c r="A88" s="1" t="s">
        <v>246</v>
      </c>
      <c r="C88" s="1">
        <f>SUMIFS('6.1'!$L$6:$L$74,Assets_PresHeader,$A88,Assets_BasisFunc,C$5)</f>
        <v>0</v>
      </c>
      <c r="D88" s="1">
        <f>SUMIFS('6.1'!$L$6:$L$74,Assets_PresHeader,$A88,Assets_BasisFunc,D$5)</f>
        <v>0</v>
      </c>
      <c r="E88" s="1">
        <f>SUMIFS('6.1'!$L$6:$L$74,Assets_PresHeader,$A88,Assets_BasisFunc,E$5)</f>
        <v>0</v>
      </c>
      <c r="F88" s="1">
        <f>SUMIFS('6.1'!$L$6:$L$74,Assets_PresHeader,$A88,Assets_BasisFunc,F$5)</f>
        <v>0</v>
      </c>
      <c r="G88" s="1">
        <f>SUMIFS('6.1'!$L$6:$L$74,Assets_PresHeader,$A88,Assets_BasisFunc,G$5)</f>
        <v>0</v>
      </c>
      <c r="H88" s="1">
        <f>SUMIFS('6.1'!$L$6:$L$74,Assets_PresHeader,$A88,Assets_BasisFunc,H$5)</f>
        <v>0</v>
      </c>
      <c r="I88" s="1">
        <f>SUMIFS('6.1'!$L$6:$L$74,Assets_PresHeader,$A88,Assets_BasisFunc,I$5)</f>
        <v>0</v>
      </c>
      <c r="J88" s="1">
        <f>SUMIFS('6.1'!$L$6:$L$74,Assets_PresHeader,$A88,Assets_BasisFunc,J$5)</f>
        <v>0</v>
      </c>
      <c r="K88" s="1">
        <f>SUMIFS('6.1'!$L$6:$L$74,Assets_PresHeader,$A88,Assets_BasisFunc,K$5)</f>
        <v>0</v>
      </c>
      <c r="L88" s="1">
        <f>SUMIFS('6.1'!$L$6:$L$74,Assets_PresHeader,$A88,Assets_BasisFunc,L$5)</f>
        <v>0</v>
      </c>
      <c r="M88" s="1">
        <f>SUMIFS('6.1'!$L$6:$L$74,Assets_PresHeader,$A88,Assets_BasisFunc,M$5)</f>
        <v>0</v>
      </c>
      <c r="N88" s="1">
        <f>SUMIFS('6.1'!$L$6:$L$74,Assets_PresHeader,$A88,Assets_BasisFunc,N$5)</f>
        <v>0</v>
      </c>
      <c r="O88" s="1">
        <f>SUMIFS('6.1'!$L$6:$L$74,Assets_PresHeader,$A88,Assets_BasisFunc,O$5)</f>
        <v>0</v>
      </c>
      <c r="P88" s="1">
        <f>SUMIFS('6.1'!$L$6:$L$74,Assets_PresHeader,$A88,Assets_BasisFunc,P$5)</f>
        <v>0</v>
      </c>
      <c r="Q88" s="1">
        <f>SUMIFS('6.1'!$L$6:$L$74,Assets_PresHeader,$A88,Assets_BasisFunc,Q$5)</f>
        <v>0</v>
      </c>
      <c r="R88" s="1">
        <f t="shared" ref="R88:R93" si="32">SUM(B88:Q88)</f>
        <v>0</v>
      </c>
    </row>
    <row r="89" spans="1:18" x14ac:dyDescent="0.3">
      <c r="A89" s="3" t="s">
        <v>255</v>
      </c>
      <c r="B89" s="1">
        <f t="shared" ref="B89:Q89" si="33">B23*VLOOKUP(VLOOKUP(B$71,Table_AllocByFunction,2,FALSE),Table_Classification,3,FALSE)</f>
        <v>448716.41398774867</v>
      </c>
      <c r="C89" s="1">
        <f t="shared" si="33"/>
        <v>355797.36757720541</v>
      </c>
      <c r="D89" s="1">
        <f t="shared" si="33"/>
        <v>0</v>
      </c>
      <c r="E89" s="1">
        <f t="shared" si="33"/>
        <v>0</v>
      </c>
      <c r="F89" s="1">
        <f t="shared" si="33"/>
        <v>0</v>
      </c>
      <c r="G89" s="1">
        <f t="shared" si="33"/>
        <v>0</v>
      </c>
      <c r="H89" s="1">
        <f t="shared" si="33"/>
        <v>0</v>
      </c>
      <c r="I89" s="1">
        <f t="shared" si="33"/>
        <v>0</v>
      </c>
      <c r="J89" s="1">
        <f t="shared" si="33"/>
        <v>0</v>
      </c>
      <c r="K89" s="1">
        <f t="shared" si="33"/>
        <v>0</v>
      </c>
      <c r="L89" s="1">
        <f t="shared" si="33"/>
        <v>0</v>
      </c>
      <c r="M89" s="1">
        <f t="shared" si="33"/>
        <v>0</v>
      </c>
      <c r="N89" s="1">
        <f t="shared" si="33"/>
        <v>0</v>
      </c>
      <c r="O89" s="1">
        <f t="shared" si="33"/>
        <v>0</v>
      </c>
      <c r="P89" s="1">
        <f t="shared" si="33"/>
        <v>0</v>
      </c>
      <c r="Q89" s="1">
        <f t="shared" si="33"/>
        <v>0</v>
      </c>
      <c r="R89" s="1">
        <f t="shared" si="32"/>
        <v>804513.78156495409</v>
      </c>
    </row>
    <row r="90" spans="1:18" x14ac:dyDescent="0.3">
      <c r="A90" s="3" t="s">
        <v>256</v>
      </c>
      <c r="B90" s="1">
        <f t="shared" ref="B90:Q90" si="34">B24*VLOOKUP(VLOOKUP(B$71,Table_AllocByFunction,2,FALSE),Table_Classification,3,FALSE)</f>
        <v>40686.133070804768</v>
      </c>
      <c r="C90" s="1">
        <f t="shared" si="34"/>
        <v>32260.952780487001</v>
      </c>
      <c r="D90" s="1">
        <f t="shared" si="34"/>
        <v>0</v>
      </c>
      <c r="E90" s="1">
        <f t="shared" si="34"/>
        <v>0</v>
      </c>
      <c r="F90" s="1">
        <f t="shared" si="34"/>
        <v>0</v>
      </c>
      <c r="G90" s="1">
        <f t="shared" si="34"/>
        <v>0</v>
      </c>
      <c r="H90" s="1">
        <f t="shared" si="34"/>
        <v>0</v>
      </c>
      <c r="I90" s="1">
        <f t="shared" si="34"/>
        <v>0</v>
      </c>
      <c r="J90" s="1">
        <f t="shared" si="34"/>
        <v>0</v>
      </c>
      <c r="K90" s="1">
        <f t="shared" si="34"/>
        <v>0</v>
      </c>
      <c r="L90" s="1">
        <f t="shared" si="34"/>
        <v>0</v>
      </c>
      <c r="M90" s="1">
        <f t="shared" si="34"/>
        <v>0</v>
      </c>
      <c r="N90" s="1">
        <f t="shared" si="34"/>
        <v>0</v>
      </c>
      <c r="O90" s="1">
        <f t="shared" si="34"/>
        <v>0</v>
      </c>
      <c r="P90" s="1">
        <f t="shared" si="34"/>
        <v>0</v>
      </c>
      <c r="Q90" s="1">
        <f t="shared" si="34"/>
        <v>0</v>
      </c>
      <c r="R90" s="1">
        <f t="shared" si="32"/>
        <v>72947.085851291777</v>
      </c>
    </row>
    <row r="91" spans="1:18" x14ac:dyDescent="0.3">
      <c r="A91" s="3" t="s">
        <v>257</v>
      </c>
      <c r="B91" s="1">
        <f t="shared" ref="B91:Q92" si="35">B25*VLOOKUP(VLOOKUP(B$71,Table_AllocByFunction,2,FALSE),Table_Classification,3,FALSE)</f>
        <v>-23709.524430974347</v>
      </c>
      <c r="C91" s="1">
        <f t="shared" si="35"/>
        <v>-18799.816802062505</v>
      </c>
      <c r="D91" s="1">
        <f t="shared" si="35"/>
        <v>0</v>
      </c>
      <c r="E91" s="1">
        <f t="shared" si="35"/>
        <v>0</v>
      </c>
      <c r="F91" s="1">
        <f t="shared" si="35"/>
        <v>0</v>
      </c>
      <c r="G91" s="1">
        <f t="shared" si="35"/>
        <v>0</v>
      </c>
      <c r="H91" s="1">
        <f t="shared" si="35"/>
        <v>0</v>
      </c>
      <c r="I91" s="1">
        <f t="shared" si="35"/>
        <v>0</v>
      </c>
      <c r="J91" s="1">
        <f t="shared" si="35"/>
        <v>0</v>
      </c>
      <c r="K91" s="1">
        <f t="shared" si="35"/>
        <v>0</v>
      </c>
      <c r="L91" s="1">
        <f t="shared" si="35"/>
        <v>0</v>
      </c>
      <c r="M91" s="1">
        <f t="shared" si="35"/>
        <v>0</v>
      </c>
      <c r="N91" s="1">
        <f t="shared" si="35"/>
        <v>0</v>
      </c>
      <c r="O91" s="1">
        <f t="shared" si="35"/>
        <v>0</v>
      </c>
      <c r="P91" s="1">
        <f t="shared" si="35"/>
        <v>0</v>
      </c>
      <c r="Q91" s="1">
        <f t="shared" si="35"/>
        <v>0</v>
      </c>
      <c r="R91" s="1">
        <f t="shared" si="32"/>
        <v>-42509.341233036852</v>
      </c>
    </row>
    <row r="92" spans="1:18" x14ac:dyDescent="0.3">
      <c r="A92" s="3" t="s">
        <v>728</v>
      </c>
      <c r="B92" s="1">
        <f t="shared" si="35"/>
        <v>-1485.7127352334587</v>
      </c>
      <c r="C92" s="1">
        <f t="shared" si="35"/>
        <v>-1178.055145061903</v>
      </c>
      <c r="D92" s="1">
        <f t="shared" si="35"/>
        <v>0</v>
      </c>
      <c r="E92" s="1">
        <f t="shared" si="35"/>
        <v>0</v>
      </c>
      <c r="F92" s="1">
        <f t="shared" si="35"/>
        <v>0</v>
      </c>
      <c r="G92" s="1">
        <f t="shared" si="35"/>
        <v>0</v>
      </c>
      <c r="H92" s="1">
        <f t="shared" si="35"/>
        <v>0</v>
      </c>
      <c r="I92" s="1">
        <f t="shared" si="35"/>
        <v>0</v>
      </c>
      <c r="J92" s="1">
        <f t="shared" si="35"/>
        <v>0</v>
      </c>
      <c r="K92" s="1">
        <f t="shared" si="35"/>
        <v>0</v>
      </c>
      <c r="L92" s="1">
        <f t="shared" si="35"/>
        <v>0</v>
      </c>
      <c r="M92" s="1">
        <f t="shared" si="35"/>
        <v>0</v>
      </c>
      <c r="N92" s="1">
        <f t="shared" si="35"/>
        <v>0</v>
      </c>
      <c r="O92" s="1">
        <f t="shared" si="35"/>
        <v>0</v>
      </c>
      <c r="P92" s="1">
        <f t="shared" si="35"/>
        <v>0</v>
      </c>
      <c r="Q92" s="1">
        <f t="shared" si="35"/>
        <v>0</v>
      </c>
      <c r="R92" s="1">
        <f t="shared" si="32"/>
        <v>-2663.7678802953615</v>
      </c>
    </row>
    <row r="93" spans="1:18" x14ac:dyDescent="0.3">
      <c r="A93" s="3" t="s">
        <v>258</v>
      </c>
      <c r="B93" s="1">
        <f t="shared" ref="B93:Q93" si="36">B27*VLOOKUP(VLOOKUP(B$71,Table_AllocByFunction,2,FALSE),Table_Classification,3,FALSE)</f>
        <v>757.52721778436285</v>
      </c>
      <c r="C93" s="1">
        <f t="shared" si="36"/>
        <v>600.66042059945585</v>
      </c>
      <c r="D93" s="1">
        <f t="shared" si="36"/>
        <v>0</v>
      </c>
      <c r="E93" s="1">
        <f t="shared" si="36"/>
        <v>0</v>
      </c>
      <c r="F93" s="1">
        <f t="shared" si="36"/>
        <v>0</v>
      </c>
      <c r="G93" s="1">
        <f t="shared" si="36"/>
        <v>0</v>
      </c>
      <c r="H93" s="1">
        <f t="shared" si="36"/>
        <v>0</v>
      </c>
      <c r="I93" s="1">
        <f t="shared" si="36"/>
        <v>0</v>
      </c>
      <c r="J93" s="1">
        <f t="shared" si="36"/>
        <v>0</v>
      </c>
      <c r="K93" s="1">
        <f t="shared" si="36"/>
        <v>0</v>
      </c>
      <c r="L93" s="1">
        <f t="shared" si="36"/>
        <v>0</v>
      </c>
      <c r="M93" s="1">
        <f t="shared" si="36"/>
        <v>0</v>
      </c>
      <c r="N93" s="1">
        <f t="shared" si="36"/>
        <v>0</v>
      </c>
      <c r="O93" s="1">
        <f t="shared" si="36"/>
        <v>0</v>
      </c>
      <c r="P93" s="1">
        <f t="shared" si="36"/>
        <v>0</v>
      </c>
      <c r="Q93" s="1">
        <f t="shared" si="36"/>
        <v>0</v>
      </c>
      <c r="R93" s="1">
        <f t="shared" si="32"/>
        <v>1358.1876383838187</v>
      </c>
    </row>
    <row r="94" spans="1:18" x14ac:dyDescent="0.3">
      <c r="A94" s="3" t="s">
        <v>259</v>
      </c>
      <c r="B94" s="1">
        <f>SUBTOTAL(9,B88:B93)</f>
        <v>464964.83711013</v>
      </c>
      <c r="C94" s="1">
        <f t="shared" ref="C94:R94" si="37">SUBTOTAL(9,C88:C93)</f>
        <v>368681.10883116745</v>
      </c>
      <c r="D94" s="1">
        <f t="shared" si="37"/>
        <v>0</v>
      </c>
      <c r="E94" s="1">
        <f t="shared" si="37"/>
        <v>0</v>
      </c>
      <c r="F94" s="1">
        <f t="shared" si="37"/>
        <v>0</v>
      </c>
      <c r="G94" s="1">
        <f t="shared" si="37"/>
        <v>0</v>
      </c>
      <c r="H94" s="1">
        <f t="shared" si="37"/>
        <v>0</v>
      </c>
      <c r="I94" s="1">
        <f t="shared" si="37"/>
        <v>0</v>
      </c>
      <c r="J94" s="1">
        <f t="shared" si="37"/>
        <v>0</v>
      </c>
      <c r="K94" s="1">
        <f t="shared" si="37"/>
        <v>0</v>
      </c>
      <c r="L94" s="1">
        <f t="shared" si="37"/>
        <v>0</v>
      </c>
      <c r="M94" s="1">
        <f t="shared" si="37"/>
        <v>0</v>
      </c>
      <c r="N94" s="1">
        <f t="shared" si="37"/>
        <v>0</v>
      </c>
      <c r="O94" s="1">
        <f t="shared" si="37"/>
        <v>0</v>
      </c>
      <c r="P94" s="1">
        <f t="shared" si="37"/>
        <v>0</v>
      </c>
      <c r="Q94" s="1">
        <f t="shared" si="37"/>
        <v>0</v>
      </c>
      <c r="R94" s="1">
        <f t="shared" si="37"/>
        <v>833645.94594129745</v>
      </c>
    </row>
    <row r="95" spans="1:18" x14ac:dyDescent="0.3">
      <c r="A95" s="1" t="s">
        <v>260</v>
      </c>
      <c r="B95" s="1">
        <f>SUBTOTAL(9,B96:B97)</f>
        <v>784210.14611995546</v>
      </c>
      <c r="C95" s="1">
        <f t="shared" ref="C95:R95" si="38">SUBTOTAL(9,C96:C97)</f>
        <v>621817.91643671365</v>
      </c>
      <c r="D95" s="1">
        <f t="shared" si="38"/>
        <v>0</v>
      </c>
      <c r="E95" s="1">
        <f t="shared" si="38"/>
        <v>0</v>
      </c>
      <c r="F95" s="1">
        <f t="shared" si="38"/>
        <v>0</v>
      </c>
      <c r="G95" s="1">
        <f t="shared" si="38"/>
        <v>0</v>
      </c>
      <c r="H95" s="1">
        <f t="shared" si="38"/>
        <v>0</v>
      </c>
      <c r="I95" s="1">
        <f t="shared" si="38"/>
        <v>0</v>
      </c>
      <c r="J95" s="1">
        <f t="shared" si="38"/>
        <v>0</v>
      </c>
      <c r="K95" s="1">
        <f t="shared" si="38"/>
        <v>0</v>
      </c>
      <c r="L95" s="1">
        <f t="shared" si="38"/>
        <v>0</v>
      </c>
      <c r="M95" s="1">
        <f t="shared" si="38"/>
        <v>0</v>
      </c>
      <c r="N95" s="1">
        <f t="shared" si="38"/>
        <v>0</v>
      </c>
      <c r="O95" s="1">
        <f t="shared" si="38"/>
        <v>0</v>
      </c>
      <c r="P95" s="1">
        <f t="shared" si="38"/>
        <v>0</v>
      </c>
      <c r="Q95" s="1">
        <f t="shared" si="38"/>
        <v>0</v>
      </c>
      <c r="R95" s="1">
        <f t="shared" si="38"/>
        <v>1406028.0625566691</v>
      </c>
    </row>
    <row r="96" spans="1:18" x14ac:dyDescent="0.3">
      <c r="A96" s="1" t="s">
        <v>261</v>
      </c>
      <c r="B96" s="1">
        <f t="shared" ref="B96:Q96" si="39">B30*VLOOKUP(VLOOKUP(B$71,Table_AllocByFunction,2,FALSE),Table_Classification,3,FALSE)</f>
        <v>244287.06551162893</v>
      </c>
      <c r="C96" s="1">
        <f t="shared" si="39"/>
        <v>193700.72529722744</v>
      </c>
      <c r="D96" s="1">
        <f t="shared" si="39"/>
        <v>0</v>
      </c>
      <c r="E96" s="1">
        <f t="shared" si="39"/>
        <v>0</v>
      </c>
      <c r="F96" s="1">
        <f t="shared" si="39"/>
        <v>0</v>
      </c>
      <c r="G96" s="1">
        <f t="shared" si="39"/>
        <v>0</v>
      </c>
      <c r="H96" s="1">
        <f t="shared" si="39"/>
        <v>0</v>
      </c>
      <c r="I96" s="1">
        <f t="shared" si="39"/>
        <v>0</v>
      </c>
      <c r="J96" s="1">
        <f t="shared" si="39"/>
        <v>0</v>
      </c>
      <c r="K96" s="1">
        <f t="shared" si="39"/>
        <v>0</v>
      </c>
      <c r="L96" s="1">
        <f t="shared" si="39"/>
        <v>0</v>
      </c>
      <c r="M96" s="1">
        <f t="shared" si="39"/>
        <v>0</v>
      </c>
      <c r="N96" s="1">
        <f t="shared" si="39"/>
        <v>0</v>
      </c>
      <c r="O96" s="1">
        <f t="shared" si="39"/>
        <v>0</v>
      </c>
      <c r="P96" s="1">
        <f t="shared" si="39"/>
        <v>0</v>
      </c>
      <c r="Q96" s="1">
        <f t="shared" si="39"/>
        <v>0</v>
      </c>
      <c r="R96" s="1">
        <f>SUM(B96:Q96)</f>
        <v>437987.79080885637</v>
      </c>
    </row>
    <row r="97" spans="1:18" x14ac:dyDescent="0.3">
      <c r="A97" s="1" t="s">
        <v>606</v>
      </c>
      <c r="B97" s="1">
        <f t="shared" ref="B97:Q97" si="40">B31*VLOOKUP(VLOOKUP(B$71,Table_AllocByFunction,2,FALSE),Table_Classification,3,FALSE)</f>
        <v>539923.08060832648</v>
      </c>
      <c r="C97" s="1">
        <f t="shared" si="40"/>
        <v>428117.19113948627</v>
      </c>
      <c r="D97" s="1">
        <f t="shared" si="40"/>
        <v>0</v>
      </c>
      <c r="E97" s="1">
        <f t="shared" si="40"/>
        <v>0</v>
      </c>
      <c r="F97" s="1">
        <f t="shared" si="40"/>
        <v>0</v>
      </c>
      <c r="G97" s="1">
        <f t="shared" si="40"/>
        <v>0</v>
      </c>
      <c r="H97" s="1">
        <f t="shared" si="40"/>
        <v>0</v>
      </c>
      <c r="I97" s="1">
        <f t="shared" si="40"/>
        <v>0</v>
      </c>
      <c r="J97" s="1">
        <f t="shared" si="40"/>
        <v>0</v>
      </c>
      <c r="K97" s="1">
        <f t="shared" si="40"/>
        <v>0</v>
      </c>
      <c r="L97" s="1">
        <f t="shared" si="40"/>
        <v>0</v>
      </c>
      <c r="M97" s="1">
        <f t="shared" si="40"/>
        <v>0</v>
      </c>
      <c r="N97" s="1">
        <f t="shared" si="40"/>
        <v>0</v>
      </c>
      <c r="O97" s="1">
        <f t="shared" si="40"/>
        <v>0</v>
      </c>
      <c r="P97" s="1">
        <f t="shared" si="40"/>
        <v>0</v>
      </c>
      <c r="Q97" s="1">
        <f t="shared" si="40"/>
        <v>0</v>
      </c>
      <c r="R97" s="1">
        <f>SUM(B97:Q97)</f>
        <v>968040.27174781275</v>
      </c>
    </row>
    <row r="98" spans="1:18" x14ac:dyDescent="0.3">
      <c r="A98" s="1" t="s">
        <v>629</v>
      </c>
      <c r="B98" s="1">
        <f>SUBTOTAL(9,B72:B97)</f>
        <v>3974412.6074291756</v>
      </c>
      <c r="C98" s="1">
        <f t="shared" ref="C98:R98" si="41">SUBTOTAL(9,C72:C97)</f>
        <v>119119177.82746099</v>
      </c>
      <c r="D98" s="1">
        <f t="shared" si="41"/>
        <v>0</v>
      </c>
      <c r="E98" s="1">
        <f t="shared" si="41"/>
        <v>0</v>
      </c>
      <c r="F98" s="1">
        <f t="shared" si="41"/>
        <v>0</v>
      </c>
      <c r="G98" s="1">
        <f t="shared" si="41"/>
        <v>0</v>
      </c>
      <c r="H98" s="1">
        <f t="shared" si="41"/>
        <v>0</v>
      </c>
      <c r="I98" s="1">
        <f t="shared" si="41"/>
        <v>0</v>
      </c>
      <c r="J98" s="1">
        <f t="shared" si="41"/>
        <v>0</v>
      </c>
      <c r="K98" s="1">
        <f t="shared" si="41"/>
        <v>0</v>
      </c>
      <c r="L98" s="1">
        <f t="shared" si="41"/>
        <v>0</v>
      </c>
      <c r="M98" s="1">
        <f t="shared" si="41"/>
        <v>0</v>
      </c>
      <c r="N98" s="1">
        <f t="shared" si="41"/>
        <v>0</v>
      </c>
      <c r="O98" s="1">
        <f t="shared" si="41"/>
        <v>0</v>
      </c>
      <c r="P98" s="1">
        <f t="shared" si="41"/>
        <v>0</v>
      </c>
      <c r="Q98" s="1">
        <f t="shared" si="41"/>
        <v>0</v>
      </c>
      <c r="R98" s="1">
        <f t="shared" si="41"/>
        <v>123093590.43489017</v>
      </c>
    </row>
    <row r="99" spans="1:18" x14ac:dyDescent="0.3">
      <c r="A99" s="1" t="s">
        <v>632</v>
      </c>
      <c r="B99" s="1">
        <f t="shared" ref="B99:Q99" si="42">B33*VLOOKUP(VLOOKUP(B$71,Table_AllocByFunction,2,FALSE),Table_Classification,3,FALSE)</f>
        <v>0</v>
      </c>
      <c r="C99" s="1">
        <f t="shared" si="42"/>
        <v>0</v>
      </c>
      <c r="D99" s="1">
        <f t="shared" si="42"/>
        <v>0</v>
      </c>
      <c r="E99" s="1">
        <f t="shared" si="42"/>
        <v>0</v>
      </c>
      <c r="F99" s="1">
        <f t="shared" si="42"/>
        <v>0</v>
      </c>
      <c r="G99" s="1">
        <f t="shared" si="42"/>
        <v>0</v>
      </c>
      <c r="H99" s="1">
        <f t="shared" si="42"/>
        <v>0</v>
      </c>
      <c r="I99" s="1">
        <f t="shared" si="42"/>
        <v>0</v>
      </c>
      <c r="J99" s="1">
        <f t="shared" si="42"/>
        <v>0</v>
      </c>
      <c r="K99" s="1">
        <f t="shared" si="42"/>
        <v>0</v>
      </c>
      <c r="L99" s="1">
        <f t="shared" si="42"/>
        <v>0</v>
      </c>
      <c r="M99" s="1">
        <f t="shared" si="42"/>
        <v>0</v>
      </c>
      <c r="N99" s="1">
        <f t="shared" si="42"/>
        <v>0</v>
      </c>
      <c r="O99" s="1">
        <f t="shared" si="42"/>
        <v>0</v>
      </c>
      <c r="P99" s="1">
        <f t="shared" si="42"/>
        <v>0</v>
      </c>
      <c r="Q99" s="1">
        <f t="shared" si="42"/>
        <v>0</v>
      </c>
      <c r="R99" s="1">
        <f>SUM(B99:Q99)</f>
        <v>0</v>
      </c>
    </row>
    <row r="100" spans="1:18" x14ac:dyDescent="0.3">
      <c r="A100" s="1" t="s">
        <v>631</v>
      </c>
      <c r="B100" s="1">
        <f t="shared" ref="B100:Q100" si="43">B34*VLOOKUP(VLOOKUP(B$71,Table_AllocByFunction,2,FALSE),Table_Classification,3,FALSE)</f>
        <v>-44372.929892910455</v>
      </c>
      <c r="C100" s="1">
        <f t="shared" si="43"/>
        <v>-35184.297153917985</v>
      </c>
      <c r="D100" s="1">
        <f t="shared" si="43"/>
        <v>0</v>
      </c>
      <c r="E100" s="1">
        <f t="shared" si="43"/>
        <v>0</v>
      </c>
      <c r="F100" s="1">
        <f t="shared" si="43"/>
        <v>0</v>
      </c>
      <c r="G100" s="1">
        <f t="shared" si="43"/>
        <v>0</v>
      </c>
      <c r="H100" s="1">
        <f t="shared" si="43"/>
        <v>0</v>
      </c>
      <c r="I100" s="1">
        <f t="shared" si="43"/>
        <v>0</v>
      </c>
      <c r="J100" s="1">
        <f t="shared" si="43"/>
        <v>0</v>
      </c>
      <c r="K100" s="1">
        <f t="shared" si="43"/>
        <v>0</v>
      </c>
      <c r="L100" s="1">
        <f t="shared" si="43"/>
        <v>0</v>
      </c>
      <c r="M100" s="1">
        <f t="shared" si="43"/>
        <v>0</v>
      </c>
      <c r="N100" s="1">
        <f t="shared" si="43"/>
        <v>0</v>
      </c>
      <c r="O100" s="1">
        <f t="shared" si="43"/>
        <v>0</v>
      </c>
      <c r="P100" s="1">
        <f t="shared" si="43"/>
        <v>0</v>
      </c>
      <c r="Q100" s="1">
        <f t="shared" si="43"/>
        <v>0</v>
      </c>
      <c r="R100" s="1">
        <f>SUM(B100:Q100)</f>
        <v>-79557.227046828441</v>
      </c>
    </row>
    <row r="101" spans="1:18" x14ac:dyDescent="0.3">
      <c r="A101" s="1" t="s">
        <v>630</v>
      </c>
      <c r="B101" s="1">
        <f t="shared" ref="B101:R101" si="44">SUBTOTAL(9,B72:B100)</f>
        <v>3930039.677536265</v>
      </c>
      <c r="C101" s="1">
        <f t="shared" si="44"/>
        <v>119083993.53030707</v>
      </c>
      <c r="D101" s="1">
        <f t="shared" si="44"/>
        <v>0</v>
      </c>
      <c r="E101" s="1">
        <f t="shared" si="44"/>
        <v>0</v>
      </c>
      <c r="F101" s="1">
        <f t="shared" si="44"/>
        <v>0</v>
      </c>
      <c r="G101" s="1">
        <f t="shared" si="44"/>
        <v>0</v>
      </c>
      <c r="H101" s="1">
        <f t="shared" si="44"/>
        <v>0</v>
      </c>
      <c r="I101" s="1">
        <f t="shared" si="44"/>
        <v>0</v>
      </c>
      <c r="J101" s="1">
        <f t="shared" si="44"/>
        <v>0</v>
      </c>
      <c r="K101" s="1">
        <f t="shared" si="44"/>
        <v>0</v>
      </c>
      <c r="L101" s="1">
        <f t="shared" si="44"/>
        <v>0</v>
      </c>
      <c r="M101" s="1">
        <f t="shared" si="44"/>
        <v>0</v>
      </c>
      <c r="N101" s="1">
        <f t="shared" si="44"/>
        <v>0</v>
      </c>
      <c r="O101" s="1">
        <f t="shared" si="44"/>
        <v>0</v>
      </c>
      <c r="P101" s="1">
        <f t="shared" si="44"/>
        <v>0</v>
      </c>
      <c r="Q101" s="1">
        <f t="shared" si="44"/>
        <v>0</v>
      </c>
      <c r="R101" s="1">
        <f t="shared" si="44"/>
        <v>123014033.20784333</v>
      </c>
    </row>
    <row r="103" spans="1:18" s="5" customFormat="1" x14ac:dyDescent="0.3">
      <c r="A103" s="5" t="s">
        <v>544</v>
      </c>
    </row>
    <row r="104" spans="1:18" s="9" customFormat="1" ht="54" x14ac:dyDescent="0.25">
      <c r="B104" s="17" t="str">
        <f t="array" ref="B104:Q104">TRANSPOSE(List_Functions)</f>
        <v>Generation</v>
      </c>
      <c r="C104" s="17" t="str">
        <v>Purchased Power</v>
      </c>
      <c r="D104" s="17" t="str">
        <v>Transmission</v>
      </c>
      <c r="E104" s="17" t="str">
        <v>Substations</v>
      </c>
      <c r="F104" s="17" t="str">
        <v>Primary Lines</v>
      </c>
      <c r="G104" s="17" t="str">
        <v>Transformers</v>
      </c>
      <c r="H104" s="17" t="str">
        <v>Secondary Lines</v>
      </c>
      <c r="I104" s="17" t="str">
        <v>Service Lines</v>
      </c>
      <c r="J104" s="17" t="str">
        <v>Meter Assets</v>
      </c>
      <c r="K104" s="17" t="str">
        <v>Meter Reading</v>
      </c>
      <c r="L104" s="17" t="str">
        <v>Billing</v>
      </c>
      <c r="M104" s="17" t="str">
        <v>Remittance &amp; Collection</v>
      </c>
      <c r="N104" s="17" t="str">
        <v>Uncollectibles &amp; Damage Claims</v>
      </c>
      <c r="O104" s="17" t="str">
        <v>Service Connections</v>
      </c>
      <c r="P104" s="17" t="str">
        <v>Late Payments</v>
      </c>
      <c r="Q104" s="17" t="str">
        <v>Lighting</v>
      </c>
      <c r="R104" s="17" t="s">
        <v>214</v>
      </c>
    </row>
    <row r="105" spans="1:18" x14ac:dyDescent="0.3">
      <c r="A105" s="1" t="s">
        <v>262</v>
      </c>
    </row>
    <row r="106" spans="1:18" x14ac:dyDescent="0.3">
      <c r="A106" s="3" t="s">
        <v>247</v>
      </c>
      <c r="B106" s="1">
        <f>B7*VLOOKUP(VLOOKUP(B$104,Table_AllocByFunction,2,FALSE),Table_Classification,4,FALSE)</f>
        <v>0</v>
      </c>
      <c r="C106" s="1">
        <f>C7*VLOOKUP(VLOOKUP(C$104,Table_AllocByFunction,2,FALSE),Table_Classification,4,FALSE)</f>
        <v>0</v>
      </c>
      <c r="D106" s="1">
        <f>D7*VLOOKUP(VLOOKUP(D$104,Table_AllocByFunction,2,FALSE),Table_Classification,4,FALSE)</f>
        <v>0</v>
      </c>
      <c r="E106" s="1">
        <f>E7*VLOOKUP(VLOOKUP(E$104,Table_AllocByFunction,2,FALSE),Table_Classification,4,FALSE)</f>
        <v>0</v>
      </c>
      <c r="F106" s="1">
        <f>F7*VLOOKUP(VLOOKUP(F$104,Table_AllocByFunction,2,FALSE),Table_Classification,4,FALSE)</f>
        <v>45909.916666666679</v>
      </c>
      <c r="G106" s="1">
        <f>G7*VLOOKUP(VLOOKUP(G$104,Table_AllocByFunction,2,FALSE),Table_Classification,4,FALSE)</f>
        <v>36727.933333333342</v>
      </c>
      <c r="H106" s="1">
        <f>H7*VLOOKUP(VLOOKUP(H$104,Table_AllocByFunction,2,FALSE),Table_Classification,4,FALSE)</f>
        <v>45909.916666666679</v>
      </c>
      <c r="I106" s="1">
        <f>I7*VLOOKUP(VLOOKUP(I$104,Table_AllocByFunction,2,FALSE),Table_Classification,4,FALSE)</f>
        <v>0</v>
      </c>
      <c r="J106" s="1">
        <f>J7*VLOOKUP(VLOOKUP(J$104,Table_AllocByFunction,2,FALSE),Table_Classification,4,FALSE)</f>
        <v>0</v>
      </c>
      <c r="K106" s="1">
        <f>K7*VLOOKUP(VLOOKUP(K$104,Table_AllocByFunction,2,FALSE),Table_Classification,4,FALSE)</f>
        <v>0</v>
      </c>
      <c r="L106" s="1">
        <f>L7*VLOOKUP(VLOOKUP(L$104,Table_AllocByFunction,2,FALSE),Table_Classification,4,FALSE)</f>
        <v>0</v>
      </c>
      <c r="M106" s="1">
        <f>M7*VLOOKUP(VLOOKUP(M$104,Table_AllocByFunction,2,FALSE),Table_Classification,4,FALSE)</f>
        <v>0</v>
      </c>
      <c r="N106" s="1">
        <f>N7*VLOOKUP(VLOOKUP(N$104,Table_AllocByFunction,2,FALSE),Table_Classification,4,FALSE)</f>
        <v>0</v>
      </c>
      <c r="O106" s="1">
        <f>O7*VLOOKUP(VLOOKUP(O$104,Table_AllocByFunction,2,FALSE),Table_Classification,4,FALSE)</f>
        <v>0</v>
      </c>
      <c r="P106" s="1">
        <f>P7*VLOOKUP(VLOOKUP(P$104,Table_AllocByFunction,2,FALSE),Table_Classification,4,FALSE)</f>
        <v>0</v>
      </c>
      <c r="Q106" s="1">
        <f>Q7*VLOOKUP(VLOOKUP(Q$104,Table_AllocByFunction,2,FALSE),Table_Classification,4,FALSE)</f>
        <v>0</v>
      </c>
      <c r="R106" s="1">
        <f>SUM(B106:Q106)</f>
        <v>128547.76666666669</v>
      </c>
    </row>
    <row r="107" spans="1:18" x14ac:dyDescent="0.3">
      <c r="A107" s="3" t="s">
        <v>248</v>
      </c>
      <c r="B107" s="1">
        <f>B8*VLOOKUP(VLOOKUP(B$104,Table_AllocByFunction,2,FALSE),Table_Classification,4,FALSE)</f>
        <v>0</v>
      </c>
      <c r="C107" s="1">
        <f>C8*VLOOKUP(VLOOKUP(C$104,Table_AllocByFunction,2,FALSE),Table_Classification,4,FALSE)</f>
        <v>0</v>
      </c>
      <c r="D107" s="1">
        <f>D8*VLOOKUP(VLOOKUP(D$104,Table_AllocByFunction,2,FALSE),Table_Classification,4,FALSE)</f>
        <v>0</v>
      </c>
      <c r="E107" s="1">
        <f>E8*VLOOKUP(VLOOKUP(E$104,Table_AllocByFunction,2,FALSE),Table_Classification,4,FALSE)</f>
        <v>0</v>
      </c>
      <c r="F107" s="1">
        <f>F8*VLOOKUP(VLOOKUP(F$104,Table_AllocByFunction,2,FALSE),Table_Classification,4,FALSE)</f>
        <v>0</v>
      </c>
      <c r="G107" s="1">
        <f>G8*VLOOKUP(VLOOKUP(G$104,Table_AllocByFunction,2,FALSE),Table_Classification,4,FALSE)</f>
        <v>0</v>
      </c>
      <c r="H107" s="1">
        <f>H8*VLOOKUP(VLOOKUP(H$104,Table_AllocByFunction,2,FALSE),Table_Classification,4,FALSE)</f>
        <v>0</v>
      </c>
      <c r="I107" s="1">
        <f>I8*VLOOKUP(VLOOKUP(I$104,Table_AllocByFunction,2,FALSE),Table_Classification,4,FALSE)</f>
        <v>0</v>
      </c>
      <c r="J107" s="1">
        <f>J8*VLOOKUP(VLOOKUP(J$104,Table_AllocByFunction,2,FALSE),Table_Classification,4,FALSE)</f>
        <v>0</v>
      </c>
      <c r="K107" s="1">
        <f>K8*VLOOKUP(VLOOKUP(K$104,Table_AllocByFunction,2,FALSE),Table_Classification,4,FALSE)</f>
        <v>0</v>
      </c>
      <c r="L107" s="1">
        <f>L8*VLOOKUP(VLOOKUP(L$104,Table_AllocByFunction,2,FALSE),Table_Classification,4,FALSE)</f>
        <v>0</v>
      </c>
      <c r="M107" s="1">
        <f>M8*VLOOKUP(VLOOKUP(M$104,Table_AllocByFunction,2,FALSE),Table_Classification,4,FALSE)</f>
        <v>0</v>
      </c>
      <c r="N107" s="1">
        <f>N8*VLOOKUP(VLOOKUP(N$104,Table_AllocByFunction,2,FALSE),Table_Classification,4,FALSE)</f>
        <v>0</v>
      </c>
      <c r="O107" s="1">
        <f>O8*VLOOKUP(VLOOKUP(O$104,Table_AllocByFunction,2,FALSE),Table_Classification,4,FALSE)</f>
        <v>0</v>
      </c>
      <c r="P107" s="1">
        <f>P8*VLOOKUP(VLOOKUP(P$104,Table_AllocByFunction,2,FALSE),Table_Classification,4,FALSE)</f>
        <v>0</v>
      </c>
      <c r="Q107" s="1">
        <f>Q8*VLOOKUP(VLOOKUP(Q$104,Table_AllocByFunction,2,FALSE),Table_Classification,4,FALSE)</f>
        <v>0</v>
      </c>
      <c r="R107" s="1">
        <f>SUM(B107:Q107)</f>
        <v>0</v>
      </c>
    </row>
    <row r="108" spans="1:18" x14ac:dyDescent="0.3">
      <c r="A108" s="3" t="s">
        <v>249</v>
      </c>
      <c r="B108" s="1">
        <f>SUBTOTAL(9,B106:B107)</f>
        <v>0</v>
      </c>
      <c r="C108" s="1">
        <f t="shared" ref="C108:R108" si="45">SUBTOTAL(9,C106:C107)</f>
        <v>0</v>
      </c>
      <c r="D108" s="1">
        <f t="shared" si="45"/>
        <v>0</v>
      </c>
      <c r="E108" s="1">
        <f t="shared" si="45"/>
        <v>0</v>
      </c>
      <c r="F108" s="1">
        <f t="shared" si="45"/>
        <v>45909.916666666679</v>
      </c>
      <c r="G108" s="1">
        <f t="shared" si="45"/>
        <v>36727.933333333342</v>
      </c>
      <c r="H108" s="1">
        <f t="shared" si="45"/>
        <v>45909.916666666679</v>
      </c>
      <c r="I108" s="1">
        <f t="shared" si="45"/>
        <v>0</v>
      </c>
      <c r="J108" s="1">
        <f t="shared" si="45"/>
        <v>0</v>
      </c>
      <c r="K108" s="1">
        <f t="shared" si="45"/>
        <v>0</v>
      </c>
      <c r="L108" s="1">
        <f t="shared" si="45"/>
        <v>0</v>
      </c>
      <c r="M108" s="1">
        <f t="shared" si="45"/>
        <v>0</v>
      </c>
      <c r="N108" s="1">
        <f t="shared" si="45"/>
        <v>0</v>
      </c>
      <c r="O108" s="1">
        <f t="shared" si="45"/>
        <v>0</v>
      </c>
      <c r="P108" s="1">
        <f t="shared" si="45"/>
        <v>0</v>
      </c>
      <c r="Q108" s="1">
        <f t="shared" si="45"/>
        <v>0</v>
      </c>
      <c r="R108" s="1">
        <f t="shared" si="45"/>
        <v>128547.76666666669</v>
      </c>
    </row>
    <row r="109" spans="1:18" x14ac:dyDescent="0.3">
      <c r="A109" s="3" t="s">
        <v>124</v>
      </c>
      <c r="B109" s="1">
        <f>B10*VLOOKUP(VLOOKUP(B$104,Table_AllocByFunction,2,FALSE),Table_Classification,4,FALSE)</f>
        <v>0</v>
      </c>
      <c r="C109" s="1">
        <f>C10*VLOOKUP(VLOOKUP(C$104,Table_AllocByFunction,2,FALSE),Table_Classification,4,FALSE)</f>
        <v>0</v>
      </c>
      <c r="D109" s="1">
        <f>D10*VLOOKUP(VLOOKUP(D$104,Table_AllocByFunction,2,FALSE),Table_Classification,4,FALSE)</f>
        <v>0</v>
      </c>
      <c r="E109" s="1">
        <f>E10*VLOOKUP(VLOOKUP(E$104,Table_AllocByFunction,2,FALSE),Table_Classification,4,FALSE)</f>
        <v>0</v>
      </c>
      <c r="F109" s="1">
        <f>F10*VLOOKUP(VLOOKUP(F$104,Table_AllocByFunction,2,FALSE),Table_Classification,4,FALSE)</f>
        <v>1752180.6882407574</v>
      </c>
      <c r="G109" s="1">
        <f>G10*VLOOKUP(VLOOKUP(G$104,Table_AllocByFunction,2,FALSE),Table_Classification,4,FALSE)</f>
        <v>900005.20237472234</v>
      </c>
      <c r="H109" s="1">
        <f>H10*VLOOKUP(VLOOKUP(H$104,Table_AllocByFunction,2,FALSE),Table_Classification,4,FALSE)</f>
        <v>593503.28496914124</v>
      </c>
      <c r="I109" s="1">
        <f>I10*VLOOKUP(VLOOKUP(I$104,Table_AllocByFunction,2,FALSE),Table_Classification,4,FALSE)</f>
        <v>625944.71463481209</v>
      </c>
      <c r="J109" s="1">
        <f>J10*VLOOKUP(VLOOKUP(J$104,Table_AllocByFunction,2,FALSE),Table_Classification,4,FALSE)</f>
        <v>230530</v>
      </c>
      <c r="K109" s="1">
        <f>K10*VLOOKUP(VLOOKUP(K$104,Table_AllocByFunction,2,FALSE),Table_Classification,4,FALSE)</f>
        <v>0</v>
      </c>
      <c r="L109" s="1">
        <f>L10*VLOOKUP(VLOOKUP(L$104,Table_AllocByFunction,2,FALSE),Table_Classification,4,FALSE)</f>
        <v>0</v>
      </c>
      <c r="M109" s="1">
        <f>M10*VLOOKUP(VLOOKUP(M$104,Table_AllocByFunction,2,FALSE),Table_Classification,4,FALSE)</f>
        <v>0</v>
      </c>
      <c r="N109" s="1">
        <f>N10*VLOOKUP(VLOOKUP(N$104,Table_AllocByFunction,2,FALSE),Table_Classification,4,FALSE)</f>
        <v>0</v>
      </c>
      <c r="O109" s="1">
        <f>O10*VLOOKUP(VLOOKUP(O$104,Table_AllocByFunction,2,FALSE),Table_Classification,4,FALSE)</f>
        <v>0</v>
      </c>
      <c r="P109" s="1">
        <f>P10*VLOOKUP(VLOOKUP(P$104,Table_AllocByFunction,2,FALSE),Table_Classification,4,FALSE)</f>
        <v>0</v>
      </c>
      <c r="Q109" s="1">
        <f>Q10*VLOOKUP(VLOOKUP(Q$104,Table_AllocByFunction,2,FALSE),Table_Classification,4,FALSE)</f>
        <v>74220.590489047216</v>
      </c>
      <c r="R109" s="1">
        <f>SUM(B109:Q109)</f>
        <v>4176384.4807084803</v>
      </c>
    </row>
    <row r="110" spans="1:18" x14ac:dyDescent="0.3">
      <c r="A110" s="3" t="s">
        <v>12</v>
      </c>
      <c r="B110" s="1">
        <f>B11*VLOOKUP(VLOOKUP(B$104,Table_AllocByFunction,2,FALSE),Table_Classification,4,FALSE)</f>
        <v>0</v>
      </c>
      <c r="C110" s="1">
        <f>C11*VLOOKUP(VLOOKUP(C$104,Table_AllocByFunction,2,FALSE),Table_Classification,4,FALSE)</f>
        <v>0</v>
      </c>
      <c r="D110" s="1">
        <f>D11*VLOOKUP(VLOOKUP(D$104,Table_AllocByFunction,2,FALSE),Table_Classification,4,FALSE)</f>
        <v>0</v>
      </c>
      <c r="E110" s="1">
        <f>E11*VLOOKUP(VLOOKUP(E$104,Table_AllocByFunction,2,FALSE),Table_Classification,4,FALSE)</f>
        <v>0</v>
      </c>
      <c r="F110" s="1">
        <f>F11*VLOOKUP(VLOOKUP(F$104,Table_AllocByFunction,2,FALSE),Table_Classification,4,FALSE)</f>
        <v>0</v>
      </c>
      <c r="G110" s="1">
        <f>G11*VLOOKUP(VLOOKUP(G$104,Table_AllocByFunction,2,FALSE),Table_Classification,4,FALSE)</f>
        <v>0</v>
      </c>
      <c r="H110" s="1">
        <f>H11*VLOOKUP(VLOOKUP(H$104,Table_AllocByFunction,2,FALSE),Table_Classification,4,FALSE)</f>
        <v>0</v>
      </c>
      <c r="I110" s="1">
        <f>I11*VLOOKUP(VLOOKUP(I$104,Table_AllocByFunction,2,FALSE),Table_Classification,4,FALSE)</f>
        <v>0</v>
      </c>
      <c r="J110" s="1">
        <f>J11*VLOOKUP(VLOOKUP(J$104,Table_AllocByFunction,2,FALSE),Table_Classification,4,FALSE)</f>
        <v>0</v>
      </c>
      <c r="K110" s="1">
        <f>K11*VLOOKUP(VLOOKUP(K$104,Table_AllocByFunction,2,FALSE),Table_Classification,4,FALSE)</f>
        <v>0</v>
      </c>
      <c r="L110" s="1">
        <f>L11*VLOOKUP(VLOOKUP(L$104,Table_AllocByFunction,2,FALSE),Table_Classification,4,FALSE)</f>
        <v>0</v>
      </c>
      <c r="M110" s="1">
        <f>M11*VLOOKUP(VLOOKUP(M$104,Table_AllocByFunction,2,FALSE),Table_Classification,4,FALSE)</f>
        <v>0</v>
      </c>
      <c r="N110" s="1">
        <f>N11*VLOOKUP(VLOOKUP(N$104,Table_AllocByFunction,2,FALSE),Table_Classification,4,FALSE)</f>
        <v>0</v>
      </c>
      <c r="O110" s="1">
        <f>O11*VLOOKUP(VLOOKUP(O$104,Table_AllocByFunction,2,FALSE),Table_Classification,4,FALSE)</f>
        <v>0</v>
      </c>
      <c r="P110" s="1">
        <f>P11*VLOOKUP(VLOOKUP(P$104,Table_AllocByFunction,2,FALSE),Table_Classification,4,FALSE)</f>
        <v>0</v>
      </c>
      <c r="Q110" s="1">
        <f>Q11*VLOOKUP(VLOOKUP(Q$104,Table_AllocByFunction,2,FALSE),Table_Classification,4,FALSE)</f>
        <v>0</v>
      </c>
      <c r="R110" s="1">
        <f>SUM(B110:Q110)</f>
        <v>0</v>
      </c>
    </row>
    <row r="111" spans="1:18" x14ac:dyDescent="0.3">
      <c r="A111" s="3" t="s">
        <v>250</v>
      </c>
      <c r="B111" s="1">
        <f>B12*VLOOKUP(VLOOKUP(B$104,Table_AllocByFunction,2,FALSE),Table_Classification,4,FALSE)</f>
        <v>0</v>
      </c>
      <c r="C111" s="1">
        <f>C12*VLOOKUP(VLOOKUP(C$104,Table_AllocByFunction,2,FALSE),Table_Classification,4,FALSE)</f>
        <v>0</v>
      </c>
      <c r="D111" s="1">
        <f>D12*VLOOKUP(VLOOKUP(D$104,Table_AllocByFunction,2,FALSE),Table_Classification,4,FALSE)</f>
        <v>0</v>
      </c>
      <c r="E111" s="1">
        <f>E12*VLOOKUP(VLOOKUP(E$104,Table_AllocByFunction,2,FALSE),Table_Classification,4,FALSE)</f>
        <v>0</v>
      </c>
      <c r="F111" s="1">
        <f>F12*VLOOKUP(VLOOKUP(F$104,Table_AllocByFunction,2,FALSE),Table_Classification,4,FALSE)</f>
        <v>564588.63882752776</v>
      </c>
      <c r="G111" s="1">
        <f>G12*VLOOKUP(VLOOKUP(G$104,Table_AllocByFunction,2,FALSE),Table_Classification,4,FALSE)</f>
        <v>280574.75639848213</v>
      </c>
      <c r="H111" s="1">
        <f>H12*VLOOKUP(VLOOKUP(H$104,Table_AllocByFunction,2,FALSE),Table_Classification,4,FALSE)</f>
        <v>188196.21294250924</v>
      </c>
      <c r="I111" s="1">
        <f>I12*VLOOKUP(VLOOKUP(I$104,Table_AllocByFunction,2,FALSE),Table_Classification,4,FALSE)</f>
        <v>0</v>
      </c>
      <c r="J111" s="1">
        <f>J12*VLOOKUP(VLOOKUP(J$104,Table_AllocByFunction,2,FALSE),Table_Classification,4,FALSE)</f>
        <v>0</v>
      </c>
      <c r="K111" s="1">
        <f>K12*VLOOKUP(VLOOKUP(K$104,Table_AllocByFunction,2,FALSE),Table_Classification,4,FALSE)</f>
        <v>0</v>
      </c>
      <c r="L111" s="1">
        <f>L12*VLOOKUP(VLOOKUP(L$104,Table_AllocByFunction,2,FALSE),Table_Classification,4,FALSE)</f>
        <v>0</v>
      </c>
      <c r="M111" s="1">
        <f>M12*VLOOKUP(VLOOKUP(M$104,Table_AllocByFunction,2,FALSE),Table_Classification,4,FALSE)</f>
        <v>0</v>
      </c>
      <c r="N111" s="1">
        <f>N12*VLOOKUP(VLOOKUP(N$104,Table_AllocByFunction,2,FALSE),Table_Classification,4,FALSE)</f>
        <v>0</v>
      </c>
      <c r="O111" s="1">
        <f>O12*VLOOKUP(VLOOKUP(O$104,Table_AllocByFunction,2,FALSE),Table_Classification,4,FALSE)</f>
        <v>0</v>
      </c>
      <c r="P111" s="1">
        <f>P12*VLOOKUP(VLOOKUP(P$104,Table_AllocByFunction,2,FALSE),Table_Classification,4,FALSE)</f>
        <v>0</v>
      </c>
      <c r="Q111" s="1">
        <f>Q12*VLOOKUP(VLOOKUP(Q$104,Table_AllocByFunction,2,FALSE),Table_Classification,4,FALSE)</f>
        <v>0</v>
      </c>
      <c r="R111" s="1">
        <f>SUM(B111:Q111)</f>
        <v>1033359.6081685191</v>
      </c>
    </row>
    <row r="112" spans="1:18" x14ac:dyDescent="0.3">
      <c r="A112" s="3" t="s">
        <v>251</v>
      </c>
      <c r="B112" s="1">
        <f>B13*VLOOKUP(VLOOKUP(B$104,Table_AllocByFunction,2,FALSE),Table_Classification,4,FALSE)</f>
        <v>0</v>
      </c>
      <c r="C112" s="1">
        <f>C13*VLOOKUP(VLOOKUP(C$104,Table_AllocByFunction,2,FALSE),Table_Classification,4,FALSE)</f>
        <v>0</v>
      </c>
      <c r="D112" s="1">
        <f>D13*VLOOKUP(VLOOKUP(D$104,Table_AllocByFunction,2,FALSE),Table_Classification,4,FALSE)</f>
        <v>0</v>
      </c>
      <c r="E112" s="1">
        <f>E13*VLOOKUP(VLOOKUP(E$104,Table_AllocByFunction,2,FALSE),Table_Classification,4,FALSE)</f>
        <v>0</v>
      </c>
      <c r="F112" s="1">
        <f>F13*VLOOKUP(VLOOKUP(F$104,Table_AllocByFunction,2,FALSE),Table_Classification,4,FALSE)</f>
        <v>0</v>
      </c>
      <c r="G112" s="1">
        <f>G13*VLOOKUP(VLOOKUP(G$104,Table_AllocByFunction,2,FALSE),Table_Classification,4,FALSE)</f>
        <v>0</v>
      </c>
      <c r="H112" s="1">
        <f>H13*VLOOKUP(VLOOKUP(H$104,Table_AllocByFunction,2,FALSE),Table_Classification,4,FALSE)</f>
        <v>0</v>
      </c>
      <c r="I112" s="1">
        <f>I13*VLOOKUP(VLOOKUP(I$104,Table_AllocByFunction,2,FALSE),Table_Classification,4,FALSE)</f>
        <v>0</v>
      </c>
      <c r="J112" s="1">
        <f>J13*VLOOKUP(VLOOKUP(J$104,Table_AllocByFunction,2,FALSE),Table_Classification,4,FALSE)</f>
        <v>0</v>
      </c>
      <c r="K112" s="1">
        <f>K13*VLOOKUP(VLOOKUP(K$104,Table_AllocByFunction,2,FALSE),Table_Classification,4,FALSE)</f>
        <v>0</v>
      </c>
      <c r="L112" s="1">
        <f>L13*VLOOKUP(VLOOKUP(L$104,Table_AllocByFunction,2,FALSE),Table_Classification,4,FALSE)</f>
        <v>0</v>
      </c>
      <c r="M112" s="1">
        <f>M13*VLOOKUP(VLOOKUP(M$104,Table_AllocByFunction,2,FALSE),Table_Classification,4,FALSE)</f>
        <v>0</v>
      </c>
      <c r="N112" s="1">
        <f>N13*VLOOKUP(VLOOKUP(N$104,Table_AllocByFunction,2,FALSE),Table_Classification,4,FALSE)</f>
        <v>0</v>
      </c>
      <c r="O112" s="1">
        <f>O13*VLOOKUP(VLOOKUP(O$104,Table_AllocByFunction,2,FALSE),Table_Classification,4,FALSE)</f>
        <v>0</v>
      </c>
      <c r="P112" s="1">
        <f>P13*VLOOKUP(VLOOKUP(P$104,Table_AllocByFunction,2,FALSE),Table_Classification,4,FALSE)</f>
        <v>0</v>
      </c>
      <c r="Q112" s="1">
        <f>Q13*VLOOKUP(VLOOKUP(Q$104,Table_AllocByFunction,2,FALSE),Table_Classification,4,FALSE)</f>
        <v>0</v>
      </c>
      <c r="R112" s="1">
        <f>SUM(B112:Q112)</f>
        <v>0</v>
      </c>
    </row>
    <row r="113" spans="1:18" x14ac:dyDescent="0.3">
      <c r="A113" s="3" t="s">
        <v>252</v>
      </c>
      <c r="B113" s="1">
        <f>B14*VLOOKUP(VLOOKUP(B$104,Table_AllocByFunction,2,FALSE),Table_Classification,4,FALSE)</f>
        <v>0</v>
      </c>
      <c r="C113" s="1">
        <f>C14*VLOOKUP(VLOOKUP(C$104,Table_AllocByFunction,2,FALSE),Table_Classification,4,FALSE)</f>
        <v>0</v>
      </c>
      <c r="D113" s="1">
        <f>D14*VLOOKUP(VLOOKUP(D$104,Table_AllocByFunction,2,FALSE),Table_Classification,4,FALSE)</f>
        <v>0</v>
      </c>
      <c r="E113" s="1">
        <f>E14*VLOOKUP(VLOOKUP(E$104,Table_AllocByFunction,2,FALSE),Table_Classification,4,FALSE)</f>
        <v>0</v>
      </c>
      <c r="F113" s="1">
        <f>F14*VLOOKUP(VLOOKUP(F$104,Table_AllocByFunction,2,FALSE),Table_Classification,4,FALSE)</f>
        <v>966908.74754998647</v>
      </c>
      <c r="G113" s="1">
        <f>G14*VLOOKUP(VLOOKUP(G$104,Table_AllocByFunction,2,FALSE),Table_Classification,4,FALSE)</f>
        <v>781678.80937759404</v>
      </c>
      <c r="H113" s="1">
        <f>H14*VLOOKUP(VLOOKUP(H$104,Table_AllocByFunction,2,FALSE),Table_Classification,4,FALSE)</f>
        <v>390958.85745210724</v>
      </c>
      <c r="I113" s="1">
        <f>I14*VLOOKUP(VLOOKUP(I$104,Table_AllocByFunction,2,FALSE),Table_Classification,4,FALSE)</f>
        <v>394259.60956789763</v>
      </c>
      <c r="J113" s="1">
        <f>J14*VLOOKUP(VLOOKUP(J$104,Table_AllocByFunction,2,FALSE),Table_Classification,4,FALSE)</f>
        <v>222852.12450984423</v>
      </c>
      <c r="K113" s="1">
        <f>K14*VLOOKUP(VLOOKUP(K$104,Table_AllocByFunction,2,FALSE),Table_Classification,4,FALSE)</f>
        <v>1217630.7168211518</v>
      </c>
      <c r="L113" s="1">
        <f>L14*VLOOKUP(VLOOKUP(L$104,Table_AllocByFunction,2,FALSE),Table_Classification,4,FALSE)</f>
        <v>991644.03487332922</v>
      </c>
      <c r="M113" s="1">
        <f>M14*VLOOKUP(VLOOKUP(M$104,Table_AllocByFunction,2,FALSE),Table_Classification,4,FALSE)</f>
        <v>750622.50899036753</v>
      </c>
      <c r="N113" s="1">
        <f>N14*VLOOKUP(VLOOKUP(N$104,Table_AllocByFunction,2,FALSE),Table_Classification,4,FALSE)</f>
        <v>403179.35128760542</v>
      </c>
      <c r="O113" s="1">
        <f>O14*VLOOKUP(VLOOKUP(O$104,Table_AllocByFunction,2,FALSE),Table_Classification,4,FALSE)</f>
        <v>159966.15128760543</v>
      </c>
      <c r="P113" s="1">
        <f>P14*VLOOKUP(VLOOKUP(P$104,Table_AllocByFunction,2,FALSE),Table_Classification,4,FALSE)</f>
        <v>16189.13505003645</v>
      </c>
      <c r="Q113" s="1">
        <f>Q14*VLOOKUP(VLOOKUP(Q$104,Table_AllocByFunction,2,FALSE),Table_Classification,4,FALSE)</f>
        <v>73007.415078356978</v>
      </c>
      <c r="R113" s="1">
        <f>SUM(B113:Q113)</f>
        <v>6368897.4618458813</v>
      </c>
    </row>
    <row r="114" spans="1:18" x14ac:dyDescent="0.3">
      <c r="A114" s="3" t="s">
        <v>253</v>
      </c>
      <c r="B114" s="1">
        <f t="shared" ref="B114:R114" si="46">SUBTOTAL(9,B105:B113)</f>
        <v>0</v>
      </c>
      <c r="C114" s="1">
        <f t="shared" si="46"/>
        <v>0</v>
      </c>
      <c r="D114" s="1">
        <f t="shared" si="46"/>
        <v>0</v>
      </c>
      <c r="E114" s="1">
        <f t="shared" si="46"/>
        <v>0</v>
      </c>
      <c r="F114" s="1">
        <f t="shared" si="46"/>
        <v>3329587.9912849385</v>
      </c>
      <c r="G114" s="1">
        <f t="shared" si="46"/>
        <v>1998986.7014841316</v>
      </c>
      <c r="H114" s="1">
        <f t="shared" si="46"/>
        <v>1218568.2720304243</v>
      </c>
      <c r="I114" s="1">
        <f t="shared" si="46"/>
        <v>1020204.3242027097</v>
      </c>
      <c r="J114" s="1">
        <f t="shared" si="46"/>
        <v>453382.12450984423</v>
      </c>
      <c r="K114" s="1">
        <f t="shared" si="46"/>
        <v>1217630.7168211518</v>
      </c>
      <c r="L114" s="1">
        <f t="shared" si="46"/>
        <v>991644.03487332922</v>
      </c>
      <c r="M114" s="1">
        <f t="shared" si="46"/>
        <v>750622.50899036753</v>
      </c>
      <c r="N114" s="1">
        <f t="shared" si="46"/>
        <v>403179.35128760542</v>
      </c>
      <c r="O114" s="1">
        <f t="shared" si="46"/>
        <v>159966.15128760543</v>
      </c>
      <c r="P114" s="1">
        <f t="shared" si="46"/>
        <v>16189.13505003645</v>
      </c>
      <c r="Q114" s="1">
        <f t="shared" si="46"/>
        <v>147228.00556740421</v>
      </c>
      <c r="R114" s="1">
        <f t="shared" si="46"/>
        <v>11707189.317389548</v>
      </c>
    </row>
    <row r="115" spans="1:18" x14ac:dyDescent="0.3">
      <c r="A115" s="2" t="s">
        <v>138</v>
      </c>
    </row>
    <row r="116" spans="1:18" x14ac:dyDescent="0.3">
      <c r="A116" s="3" t="s">
        <v>479</v>
      </c>
      <c r="B116" s="1">
        <f t="shared" ref="B116:Q116" si="47">B17*VLOOKUP(VLOOKUP(B$104,Table_AllocByFunction,2,FALSE),Table_Classification,4,FALSE)</f>
        <v>0</v>
      </c>
      <c r="C116" s="1">
        <f t="shared" si="47"/>
        <v>0</v>
      </c>
      <c r="D116" s="1">
        <f t="shared" si="47"/>
        <v>0</v>
      </c>
      <c r="E116" s="1">
        <f t="shared" si="47"/>
        <v>0</v>
      </c>
      <c r="F116" s="1">
        <f t="shared" si="47"/>
        <v>20048.75241959768</v>
      </c>
      <c r="G116" s="1">
        <f t="shared" si="47"/>
        <v>21776.72400990779</v>
      </c>
      <c r="H116" s="1">
        <f t="shared" si="47"/>
        <v>8688.2658788292283</v>
      </c>
      <c r="I116" s="1">
        <f t="shared" si="47"/>
        <v>1749.9024326575041</v>
      </c>
      <c r="J116" s="1">
        <f t="shared" si="47"/>
        <v>5411.9563263683012</v>
      </c>
      <c r="K116" s="1">
        <f t="shared" si="47"/>
        <v>21486.704391510812</v>
      </c>
      <c r="L116" s="1">
        <f t="shared" si="47"/>
        <v>6379.9265878459082</v>
      </c>
      <c r="M116" s="1">
        <f t="shared" si="47"/>
        <v>664.52976344541798</v>
      </c>
      <c r="N116" s="1">
        <f t="shared" si="47"/>
        <v>664.52976344541798</v>
      </c>
      <c r="O116" s="1">
        <f t="shared" si="47"/>
        <v>664.52976344541798</v>
      </c>
      <c r="P116" s="1">
        <f t="shared" si="47"/>
        <v>664.52976344541798</v>
      </c>
      <c r="Q116" s="1">
        <f t="shared" si="47"/>
        <v>793.22643349653072</v>
      </c>
      <c r="R116" s="1">
        <f>SUM(B116:Q116)</f>
        <v>88993.577533995427</v>
      </c>
    </row>
    <row r="117" spans="1:18" x14ac:dyDescent="0.3">
      <c r="A117" s="47" t="s">
        <v>725</v>
      </c>
      <c r="B117" s="1">
        <f t="shared" ref="B117:Q117" si="48">B18*VLOOKUP(VLOOKUP(B$104,Table_AllocByFunction,2,FALSE),Table_Classification,4,FALSE)</f>
        <v>0</v>
      </c>
      <c r="C117" s="1">
        <f t="shared" si="48"/>
        <v>0</v>
      </c>
      <c r="D117" s="1">
        <f t="shared" si="48"/>
        <v>0</v>
      </c>
      <c r="E117" s="1">
        <f t="shared" si="48"/>
        <v>0</v>
      </c>
      <c r="F117" s="1">
        <f t="shared" si="48"/>
        <v>0</v>
      </c>
      <c r="G117" s="1">
        <f t="shared" si="48"/>
        <v>0</v>
      </c>
      <c r="H117" s="1">
        <f t="shared" si="48"/>
        <v>0</v>
      </c>
      <c r="I117" s="1">
        <f t="shared" si="48"/>
        <v>0</v>
      </c>
      <c r="J117" s="1">
        <f t="shared" si="48"/>
        <v>0</v>
      </c>
      <c r="K117" s="1">
        <f t="shared" si="48"/>
        <v>0</v>
      </c>
      <c r="L117" s="1">
        <f t="shared" si="48"/>
        <v>0</v>
      </c>
      <c r="M117" s="1">
        <f t="shared" si="48"/>
        <v>0</v>
      </c>
      <c r="N117" s="1">
        <f t="shared" si="48"/>
        <v>0</v>
      </c>
      <c r="O117" s="1">
        <f t="shared" si="48"/>
        <v>0</v>
      </c>
      <c r="P117" s="1">
        <f t="shared" si="48"/>
        <v>0</v>
      </c>
      <c r="Q117" s="1">
        <f t="shared" si="48"/>
        <v>0</v>
      </c>
      <c r="R117" s="1">
        <f>SUM(B117:Q117)</f>
        <v>0</v>
      </c>
    </row>
    <row r="118" spans="1:18" x14ac:dyDescent="0.3">
      <c r="A118" s="3" t="s">
        <v>480</v>
      </c>
      <c r="B118" s="1">
        <f t="shared" ref="B118:Q118" si="49">B19*VLOOKUP(VLOOKUP(B$104,Table_AllocByFunction,2,FALSE),Table_Classification,4,FALSE)</f>
        <v>0</v>
      </c>
      <c r="C118" s="1">
        <f t="shared" si="49"/>
        <v>0</v>
      </c>
      <c r="D118" s="1">
        <f t="shared" si="49"/>
        <v>0</v>
      </c>
      <c r="E118" s="1">
        <f t="shared" si="49"/>
        <v>0</v>
      </c>
      <c r="F118" s="1">
        <f t="shared" si="49"/>
        <v>3349682.2391925594</v>
      </c>
      <c r="G118" s="1">
        <f t="shared" si="49"/>
        <v>2023323.5220721804</v>
      </c>
      <c r="H118" s="1">
        <f t="shared" si="49"/>
        <v>1155290.7000490867</v>
      </c>
      <c r="I118" s="1">
        <f t="shared" si="49"/>
        <v>2964133.9704350154</v>
      </c>
      <c r="J118" s="1">
        <f t="shared" si="49"/>
        <v>1254112.1604134457</v>
      </c>
      <c r="K118" s="1">
        <f t="shared" si="49"/>
        <v>137440.90872669316</v>
      </c>
      <c r="L118" s="1">
        <f t="shared" si="49"/>
        <v>52501.047642307843</v>
      </c>
      <c r="M118" s="1">
        <f t="shared" si="49"/>
        <v>34483.625219699694</v>
      </c>
      <c r="N118" s="1">
        <f t="shared" si="49"/>
        <v>10452.725659745467</v>
      </c>
      <c r="O118" s="1">
        <f t="shared" si="49"/>
        <v>10452.725659745467</v>
      </c>
      <c r="P118" s="1">
        <f t="shared" si="49"/>
        <v>4128.804722915409</v>
      </c>
      <c r="Q118" s="1">
        <f t="shared" si="49"/>
        <v>510708.23171553563</v>
      </c>
      <c r="R118" s="1">
        <f>SUM(B118:Q118)</f>
        <v>11506710.661508929</v>
      </c>
    </row>
    <row r="119" spans="1:18" x14ac:dyDescent="0.3">
      <c r="A119" s="3" t="s">
        <v>254</v>
      </c>
      <c r="B119" s="1">
        <f>SUBTOTAL(9,B115:B118)</f>
        <v>0</v>
      </c>
      <c r="C119" s="1">
        <f t="shared" ref="C119:R119" si="50">SUBTOTAL(9,C115:C118)</f>
        <v>0</v>
      </c>
      <c r="D119" s="1">
        <f t="shared" si="50"/>
        <v>0</v>
      </c>
      <c r="E119" s="1">
        <f t="shared" si="50"/>
        <v>0</v>
      </c>
      <c r="F119" s="1">
        <f t="shared" si="50"/>
        <v>3369730.9916121569</v>
      </c>
      <c r="G119" s="1">
        <f t="shared" si="50"/>
        <v>2045100.2460820882</v>
      </c>
      <c r="H119" s="1">
        <f t="shared" si="50"/>
        <v>1163978.9659279159</v>
      </c>
      <c r="I119" s="1">
        <f t="shared" si="50"/>
        <v>2965883.8728676727</v>
      </c>
      <c r="J119" s="1">
        <f t="shared" si="50"/>
        <v>1259524.1167398139</v>
      </c>
      <c r="K119" s="1">
        <f t="shared" si="50"/>
        <v>158927.61311820397</v>
      </c>
      <c r="L119" s="1">
        <f t="shared" si="50"/>
        <v>58880.974230153748</v>
      </c>
      <c r="M119" s="1">
        <f t="shared" si="50"/>
        <v>35148.154983145112</v>
      </c>
      <c r="N119" s="1">
        <f t="shared" si="50"/>
        <v>11117.255423190885</v>
      </c>
      <c r="O119" s="1">
        <f t="shared" si="50"/>
        <v>11117.255423190885</v>
      </c>
      <c r="P119" s="1">
        <f t="shared" si="50"/>
        <v>4793.3344863608272</v>
      </c>
      <c r="Q119" s="1">
        <f t="shared" si="50"/>
        <v>511501.45814903214</v>
      </c>
      <c r="R119" s="1">
        <f t="shared" si="50"/>
        <v>11595704.239042925</v>
      </c>
    </row>
    <row r="120" spans="1:18" x14ac:dyDescent="0.3">
      <c r="A120" s="1" t="s">
        <v>263</v>
      </c>
      <c r="B120" s="1">
        <f t="shared" ref="B120:R120" si="51">SUBTOTAL(9,B105:B119)</f>
        <v>0</v>
      </c>
      <c r="C120" s="1">
        <f t="shared" si="51"/>
        <v>0</v>
      </c>
      <c r="D120" s="1">
        <f t="shared" si="51"/>
        <v>0</v>
      </c>
      <c r="E120" s="1">
        <f t="shared" si="51"/>
        <v>0</v>
      </c>
      <c r="F120" s="1">
        <f t="shared" si="51"/>
        <v>6699318.9828970954</v>
      </c>
      <c r="G120" s="1">
        <f t="shared" si="51"/>
        <v>4044086.9475662196</v>
      </c>
      <c r="H120" s="1">
        <f t="shared" si="51"/>
        <v>2382547.23795834</v>
      </c>
      <c r="I120" s="1">
        <f t="shared" si="51"/>
        <v>3986088.1970703825</v>
      </c>
      <c r="J120" s="1">
        <f t="shared" si="51"/>
        <v>1712906.2412496582</v>
      </c>
      <c r="K120" s="1">
        <f t="shared" si="51"/>
        <v>1376558.3299393558</v>
      </c>
      <c r="L120" s="1">
        <f t="shared" si="51"/>
        <v>1050525.0091034831</v>
      </c>
      <c r="M120" s="1">
        <f t="shared" si="51"/>
        <v>785770.66397351259</v>
      </c>
      <c r="N120" s="1">
        <f t="shared" si="51"/>
        <v>414296.6067107963</v>
      </c>
      <c r="O120" s="1">
        <f t="shared" si="51"/>
        <v>171083.40671079629</v>
      </c>
      <c r="P120" s="1">
        <f t="shared" si="51"/>
        <v>20982.469536397279</v>
      </c>
      <c r="Q120" s="1">
        <f t="shared" si="51"/>
        <v>658729.46371643641</v>
      </c>
      <c r="R120" s="1">
        <f t="shared" si="51"/>
        <v>23302893.556432471</v>
      </c>
    </row>
    <row r="121" spans="1:18" x14ac:dyDescent="0.3">
      <c r="A121" s="1" t="s">
        <v>246</v>
      </c>
      <c r="C121" s="1">
        <f>SUMIFS('6.1'!$L$6:$L$74,Assets_PresHeader,$A121,Assets_BasisFunc,C$5)</f>
        <v>0</v>
      </c>
      <c r="D121" s="1">
        <f>SUMIFS('6.1'!$L$6:$L$74,Assets_PresHeader,$A121,Assets_BasisFunc,D$5)</f>
        <v>0</v>
      </c>
      <c r="E121" s="1">
        <f>SUMIFS('6.1'!$L$6:$L$74,Assets_PresHeader,$A121,Assets_BasisFunc,E$5)</f>
        <v>0</v>
      </c>
      <c r="F121" s="1">
        <f>SUMIFS('6.1'!$L$6:$L$74,Assets_PresHeader,$A121,Assets_BasisFunc,F$5)</f>
        <v>0</v>
      </c>
      <c r="G121" s="1">
        <f>SUMIFS('6.1'!$L$6:$L$74,Assets_PresHeader,$A121,Assets_BasisFunc,G$5)</f>
        <v>0</v>
      </c>
      <c r="H121" s="1">
        <f>SUMIFS('6.1'!$L$6:$L$74,Assets_PresHeader,$A121,Assets_BasisFunc,H$5)</f>
        <v>0</v>
      </c>
      <c r="I121" s="1">
        <f>SUMIFS('6.1'!$L$6:$L$74,Assets_PresHeader,$A121,Assets_BasisFunc,I$5)</f>
        <v>0</v>
      </c>
      <c r="J121" s="1">
        <f>SUMIFS('6.1'!$L$6:$L$74,Assets_PresHeader,$A121,Assets_BasisFunc,J$5)</f>
        <v>0</v>
      </c>
      <c r="K121" s="1">
        <f>SUMIFS('6.1'!$L$6:$L$74,Assets_PresHeader,$A121,Assets_BasisFunc,K$5)</f>
        <v>0</v>
      </c>
      <c r="L121" s="1">
        <f>SUMIFS('6.1'!$L$6:$L$74,Assets_PresHeader,$A121,Assets_BasisFunc,L$5)</f>
        <v>0</v>
      </c>
      <c r="M121" s="1">
        <f>SUMIFS('6.1'!$L$6:$L$74,Assets_PresHeader,$A121,Assets_BasisFunc,M$5)</f>
        <v>0</v>
      </c>
      <c r="N121" s="1">
        <f>SUMIFS('6.1'!$L$6:$L$74,Assets_PresHeader,$A121,Assets_BasisFunc,N$5)</f>
        <v>0</v>
      </c>
      <c r="O121" s="1">
        <f>SUMIFS('6.1'!$L$6:$L$74,Assets_PresHeader,$A121,Assets_BasisFunc,O$5)</f>
        <v>0</v>
      </c>
      <c r="P121" s="1">
        <f>SUMIFS('6.1'!$L$6:$L$74,Assets_PresHeader,$A121,Assets_BasisFunc,P$5)</f>
        <v>0</v>
      </c>
      <c r="Q121" s="1">
        <f>SUMIFS('6.1'!$L$6:$L$74,Assets_PresHeader,$A121,Assets_BasisFunc,Q$5)</f>
        <v>0</v>
      </c>
      <c r="R121" s="1">
        <f t="shared" ref="R121:R126" si="52">SUM(B121:Q121)</f>
        <v>0</v>
      </c>
    </row>
    <row r="122" spans="1:18" x14ac:dyDescent="0.3">
      <c r="A122" s="3" t="s">
        <v>255</v>
      </c>
      <c r="B122" s="1">
        <f t="shared" ref="B122:Q122" si="53">B23*VLOOKUP(VLOOKUP(B$104,Table_AllocByFunction,2,FALSE),Table_Classification,4,FALSE)</f>
        <v>0</v>
      </c>
      <c r="C122" s="1">
        <f t="shared" si="53"/>
        <v>0</v>
      </c>
      <c r="D122" s="1">
        <f t="shared" si="53"/>
        <v>0</v>
      </c>
      <c r="E122" s="1">
        <f t="shared" si="53"/>
        <v>0</v>
      </c>
      <c r="F122" s="1">
        <f t="shared" si="53"/>
        <v>1975692.5699590696</v>
      </c>
      <c r="G122" s="1">
        <f t="shared" si="53"/>
        <v>933347.08094876586</v>
      </c>
      <c r="H122" s="1">
        <f t="shared" si="53"/>
        <v>667184.97011329129</v>
      </c>
      <c r="I122" s="1">
        <f t="shared" si="53"/>
        <v>1213466.9373578553</v>
      </c>
      <c r="J122" s="1">
        <f t="shared" si="53"/>
        <v>347995.2690580964</v>
      </c>
      <c r="K122" s="1">
        <f t="shared" si="53"/>
        <v>18224.220946738689</v>
      </c>
      <c r="L122" s="1">
        <f t="shared" si="53"/>
        <v>13649.320255839379</v>
      </c>
      <c r="M122" s="1">
        <f t="shared" si="53"/>
        <v>20782.825275016985</v>
      </c>
      <c r="N122" s="1">
        <f t="shared" si="53"/>
        <v>4970.7010175725063</v>
      </c>
      <c r="O122" s="1">
        <f t="shared" si="53"/>
        <v>4683.1016846087232</v>
      </c>
      <c r="P122" s="1">
        <f t="shared" si="53"/>
        <v>460.11891614267171</v>
      </c>
      <c r="Q122" s="1">
        <f t="shared" si="53"/>
        <v>227827.62493887654</v>
      </c>
      <c r="R122" s="1">
        <f t="shared" si="52"/>
        <v>5428284.7404718734</v>
      </c>
    </row>
    <row r="123" spans="1:18" x14ac:dyDescent="0.3">
      <c r="A123" s="3" t="s">
        <v>256</v>
      </c>
      <c r="B123" s="1">
        <f t="shared" ref="B123:Q123" si="54">B24*VLOOKUP(VLOOKUP(B$104,Table_AllocByFunction,2,FALSE),Table_Classification,4,FALSE)</f>
        <v>0</v>
      </c>
      <c r="C123" s="1">
        <f t="shared" si="54"/>
        <v>0</v>
      </c>
      <c r="D123" s="1">
        <f t="shared" si="54"/>
        <v>0</v>
      </c>
      <c r="E123" s="1">
        <f t="shared" si="54"/>
        <v>0</v>
      </c>
      <c r="F123" s="1">
        <f t="shared" si="54"/>
        <v>179140.51793645704</v>
      </c>
      <c r="G123" s="1">
        <f t="shared" si="54"/>
        <v>84628.692762207473</v>
      </c>
      <c r="H123" s="1">
        <f t="shared" si="54"/>
        <v>60495.17162884846</v>
      </c>
      <c r="I123" s="1">
        <f t="shared" si="54"/>
        <v>110027.79428459151</v>
      </c>
      <c r="J123" s="1">
        <f t="shared" si="54"/>
        <v>31553.518845189366</v>
      </c>
      <c r="K123" s="1">
        <f t="shared" si="54"/>
        <v>1652.4313696512168</v>
      </c>
      <c r="L123" s="1">
        <f t="shared" si="54"/>
        <v>1237.6147672419988</v>
      </c>
      <c r="M123" s="1">
        <f t="shared" si="54"/>
        <v>1884.4258163235199</v>
      </c>
      <c r="N123" s="1">
        <f t="shared" si="54"/>
        <v>450.70471405055713</v>
      </c>
      <c r="O123" s="1">
        <f t="shared" si="54"/>
        <v>424.62743145674801</v>
      </c>
      <c r="P123" s="1">
        <f t="shared" si="54"/>
        <v>41.720023754438202</v>
      </c>
      <c r="Q123" s="1">
        <f t="shared" si="54"/>
        <v>20657.646514623852</v>
      </c>
      <c r="R123" s="1">
        <f t="shared" si="52"/>
        <v>492194.86609439622</v>
      </c>
    </row>
    <row r="124" spans="1:18" x14ac:dyDescent="0.3">
      <c r="A124" s="3" t="s">
        <v>257</v>
      </c>
      <c r="B124" s="1">
        <f t="shared" ref="B124:Q125" si="55">B25*VLOOKUP(VLOOKUP(B$104,Table_AllocByFunction,2,FALSE),Table_Classification,4,FALSE)</f>
        <v>0</v>
      </c>
      <c r="C124" s="1">
        <f t="shared" si="55"/>
        <v>0</v>
      </c>
      <c r="D124" s="1">
        <f t="shared" si="55"/>
        <v>0</v>
      </c>
      <c r="E124" s="1">
        <f t="shared" si="55"/>
        <v>0</v>
      </c>
      <c r="F124" s="1">
        <f t="shared" si="55"/>
        <v>-104392.72956219071</v>
      </c>
      <c r="G124" s="1">
        <f t="shared" si="55"/>
        <v>-49316.705893753089</v>
      </c>
      <c r="H124" s="1">
        <f t="shared" si="55"/>
        <v>-35253.086037792833</v>
      </c>
      <c r="I124" s="1">
        <f t="shared" si="55"/>
        <v>-64117.832779460601</v>
      </c>
      <c r="J124" s="1">
        <f t="shared" si="55"/>
        <v>-18387.565233621473</v>
      </c>
      <c r="K124" s="1">
        <f t="shared" si="55"/>
        <v>-962.94139974111283</v>
      </c>
      <c r="L124" s="1">
        <f t="shared" si="55"/>
        <v>-721.21028334134564</v>
      </c>
      <c r="M124" s="1">
        <f t="shared" si="55"/>
        <v>-1098.134341072132</v>
      </c>
      <c r="N124" s="1">
        <f t="shared" si="55"/>
        <v>-262.64463153429938</v>
      </c>
      <c r="O124" s="1">
        <f t="shared" si="55"/>
        <v>-247.4482999567723</v>
      </c>
      <c r="P124" s="1">
        <f t="shared" si="55"/>
        <v>-24.312016104977978</v>
      </c>
      <c r="Q124" s="1">
        <f t="shared" si="55"/>
        <v>-12038.081227148148</v>
      </c>
      <c r="R124" s="1">
        <f t="shared" si="52"/>
        <v>-286822.69170571747</v>
      </c>
    </row>
    <row r="125" spans="1:18" x14ac:dyDescent="0.3">
      <c r="A125" s="3" t="s">
        <v>728</v>
      </c>
      <c r="B125" s="1">
        <f t="shared" si="55"/>
        <v>0</v>
      </c>
      <c r="C125" s="1">
        <f t="shared" si="55"/>
        <v>0</v>
      </c>
      <c r="D125" s="1">
        <f t="shared" si="55"/>
        <v>0</v>
      </c>
      <c r="E125" s="1">
        <f t="shared" si="55"/>
        <v>0</v>
      </c>
      <c r="F125" s="1">
        <f t="shared" si="55"/>
        <v>-6541.573966524109</v>
      </c>
      <c r="G125" s="1">
        <f t="shared" si="55"/>
        <v>-3090.3385776220257</v>
      </c>
      <c r="H125" s="1">
        <f t="shared" si="55"/>
        <v>-2209.0683022813059</v>
      </c>
      <c r="I125" s="1">
        <f t="shared" si="55"/>
        <v>-4017.8233432453198</v>
      </c>
      <c r="J125" s="1">
        <f t="shared" si="55"/>
        <v>-1152.2221762423073</v>
      </c>
      <c r="K125" s="1">
        <f t="shared" si="55"/>
        <v>-60.340910887688828</v>
      </c>
      <c r="L125" s="1">
        <f t="shared" si="55"/>
        <v>-45.193285333962073</v>
      </c>
      <c r="M125" s="1">
        <f t="shared" si="55"/>
        <v>-68.812522169219321</v>
      </c>
      <c r="N125" s="1">
        <f t="shared" si="55"/>
        <v>-16.458131627533952</v>
      </c>
      <c r="O125" s="1">
        <f t="shared" si="55"/>
        <v>-15.505882103538145</v>
      </c>
      <c r="P125" s="1">
        <f t="shared" si="55"/>
        <v>-1.5234667423011803</v>
      </c>
      <c r="Q125" s="1">
        <f t="shared" si="55"/>
        <v>-754.3437085386463</v>
      </c>
      <c r="R125" s="1">
        <f t="shared" si="52"/>
        <v>-17973.204273317959</v>
      </c>
    </row>
    <row r="126" spans="1:18" x14ac:dyDescent="0.3">
      <c r="A126" s="3" t="s">
        <v>258</v>
      </c>
      <c r="B126" s="1">
        <f t="shared" ref="B126:Q126" si="56">B27*VLOOKUP(VLOOKUP(B$104,Table_AllocByFunction,2,FALSE),Table_Classification,4,FALSE)</f>
        <v>0</v>
      </c>
      <c r="C126" s="1">
        <f t="shared" si="56"/>
        <v>0</v>
      </c>
      <c r="D126" s="1">
        <f t="shared" si="56"/>
        <v>0</v>
      </c>
      <c r="E126" s="1">
        <f t="shared" si="56"/>
        <v>0</v>
      </c>
      <c r="F126" s="1">
        <f t="shared" si="56"/>
        <v>3335.3825468911746</v>
      </c>
      <c r="G126" s="1">
        <f t="shared" si="56"/>
        <v>1575.6852110107552</v>
      </c>
      <c r="H126" s="1">
        <f t="shared" si="56"/>
        <v>1126.3478633773896</v>
      </c>
      <c r="I126" s="1">
        <f t="shared" si="56"/>
        <v>2048.5861543614178</v>
      </c>
      <c r="J126" s="1">
        <f t="shared" si="56"/>
        <v>587.48884541339305</v>
      </c>
      <c r="K126" s="1">
        <f t="shared" si="56"/>
        <v>30.766299069343596</v>
      </c>
      <c r="L126" s="1">
        <f t="shared" si="56"/>
        <v>23.042909231165453</v>
      </c>
      <c r="M126" s="1">
        <f t="shared" si="56"/>
        <v>35.085758660729539</v>
      </c>
      <c r="N126" s="1">
        <f t="shared" si="56"/>
        <v>8.3915836258720198</v>
      </c>
      <c r="O126" s="1">
        <f t="shared" si="56"/>
        <v>7.9060557607321424</v>
      </c>
      <c r="P126" s="1">
        <f t="shared" si="56"/>
        <v>0.77677702782905378</v>
      </c>
      <c r="Q126" s="1">
        <f t="shared" si="56"/>
        <v>384.62071249098233</v>
      </c>
      <c r="R126" s="1">
        <f t="shared" si="52"/>
        <v>9164.0807169207837</v>
      </c>
    </row>
    <row r="127" spans="1:18" x14ac:dyDescent="0.3">
      <c r="A127" s="3" t="s">
        <v>259</v>
      </c>
      <c r="B127" s="1">
        <f>SUBTOTAL(9,B121:B126)</f>
        <v>0</v>
      </c>
      <c r="C127" s="1">
        <f t="shared" ref="C127:R127" si="57">SUBTOTAL(9,C121:C126)</f>
        <v>0</v>
      </c>
      <c r="D127" s="1">
        <f t="shared" si="57"/>
        <v>0</v>
      </c>
      <c r="E127" s="1">
        <f t="shared" si="57"/>
        <v>0</v>
      </c>
      <c r="F127" s="1">
        <f t="shared" si="57"/>
        <v>2047234.1669137029</v>
      </c>
      <c r="G127" s="1">
        <f t="shared" si="57"/>
        <v>967144.41445060889</v>
      </c>
      <c r="H127" s="1">
        <f t="shared" si="57"/>
        <v>691344.33526544296</v>
      </c>
      <c r="I127" s="1">
        <f t="shared" si="57"/>
        <v>1257407.6616741023</v>
      </c>
      <c r="J127" s="1">
        <f t="shared" si="57"/>
        <v>360596.48933883535</v>
      </c>
      <c r="K127" s="1">
        <f t="shared" si="57"/>
        <v>18884.136304830448</v>
      </c>
      <c r="L127" s="1">
        <f t="shared" si="57"/>
        <v>14143.574363637235</v>
      </c>
      <c r="M127" s="1">
        <f t="shared" si="57"/>
        <v>21535.389986759885</v>
      </c>
      <c r="N127" s="1">
        <f t="shared" si="57"/>
        <v>5150.6945520871022</v>
      </c>
      <c r="O127" s="1">
        <f t="shared" si="57"/>
        <v>4852.6809897658923</v>
      </c>
      <c r="P127" s="1">
        <f t="shared" si="57"/>
        <v>476.78023407765977</v>
      </c>
      <c r="Q127" s="1">
        <f t="shared" si="57"/>
        <v>236077.46723030458</v>
      </c>
      <c r="R127" s="1">
        <f t="shared" si="57"/>
        <v>5624847.7913041553</v>
      </c>
    </row>
    <row r="128" spans="1:18" x14ac:dyDescent="0.3">
      <c r="A128" s="1" t="s">
        <v>260</v>
      </c>
      <c r="B128" s="1">
        <f>SUBTOTAL(9,B129:B130)</f>
        <v>0</v>
      </c>
      <c r="C128" s="1">
        <f t="shared" ref="C128:R128" si="58">SUBTOTAL(9,C129:C130)</f>
        <v>0</v>
      </c>
      <c r="D128" s="1">
        <f t="shared" si="58"/>
        <v>0</v>
      </c>
      <c r="E128" s="1">
        <f t="shared" si="58"/>
        <v>0</v>
      </c>
      <c r="F128" s="1">
        <f t="shared" si="58"/>
        <v>3452867.1354064052</v>
      </c>
      <c r="G128" s="1">
        <f t="shared" si="58"/>
        <v>1631186.7092774762</v>
      </c>
      <c r="H128" s="1">
        <f t="shared" si="58"/>
        <v>1166022.0277029304</v>
      </c>
      <c r="I128" s="1">
        <f t="shared" si="58"/>
        <v>2120744.9841206842</v>
      </c>
      <c r="J128" s="1">
        <f t="shared" si="58"/>
        <v>608182.38934436231</v>
      </c>
      <c r="K128" s="1">
        <f t="shared" si="58"/>
        <v>31850.002643216219</v>
      </c>
      <c r="L128" s="1">
        <f t="shared" si="58"/>
        <v>23854.566266350394</v>
      </c>
      <c r="M128" s="1">
        <f t="shared" si="58"/>
        <v>36321.609679630667</v>
      </c>
      <c r="N128" s="1">
        <f t="shared" si="58"/>
        <v>8687.1664369638493</v>
      </c>
      <c r="O128" s="1">
        <f t="shared" si="58"/>
        <v>8184.5364731451245</v>
      </c>
      <c r="P128" s="1">
        <f t="shared" si="58"/>
        <v>804.1380061275222</v>
      </c>
      <c r="Q128" s="1">
        <f t="shared" si="58"/>
        <v>398168.48564928328</v>
      </c>
      <c r="R128" s="1">
        <f t="shared" si="58"/>
        <v>9486873.7510065753</v>
      </c>
    </row>
    <row r="129" spans="1:18" x14ac:dyDescent="0.3">
      <c r="A129" s="1" t="s">
        <v>261</v>
      </c>
      <c r="B129" s="1">
        <f t="shared" ref="B129:Q129" si="59">B30*VLOOKUP(VLOOKUP(B$104,Table_AllocByFunction,2,FALSE),Table_Classification,4,FALSE)</f>
        <v>0</v>
      </c>
      <c r="C129" s="1">
        <f t="shared" si="59"/>
        <v>0</v>
      </c>
      <c r="D129" s="1">
        <f t="shared" si="59"/>
        <v>0</v>
      </c>
      <c r="E129" s="1">
        <f t="shared" si="59"/>
        <v>0</v>
      </c>
      <c r="F129" s="1">
        <f t="shared" si="59"/>
        <v>1075592.7914007781</v>
      </c>
      <c r="G129" s="1">
        <f t="shared" si="59"/>
        <v>508126.31854167918</v>
      </c>
      <c r="H129" s="1">
        <f t="shared" si="59"/>
        <v>363224.19555369718</v>
      </c>
      <c r="I129" s="1">
        <f t="shared" si="59"/>
        <v>660627.22018149227</v>
      </c>
      <c r="J129" s="1">
        <f t="shared" si="59"/>
        <v>189453.16115058181</v>
      </c>
      <c r="K129" s="1">
        <f t="shared" si="59"/>
        <v>9921.5034652953564</v>
      </c>
      <c r="L129" s="1">
        <f t="shared" si="59"/>
        <v>7430.8678880164071</v>
      </c>
      <c r="M129" s="1">
        <f t="shared" si="59"/>
        <v>11314.441017112935</v>
      </c>
      <c r="N129" s="1">
        <f t="shared" si="59"/>
        <v>2706.1144350106365</v>
      </c>
      <c r="O129" s="1">
        <f t="shared" si="59"/>
        <v>2549.5416088274992</v>
      </c>
      <c r="P129" s="1">
        <f t="shared" si="59"/>
        <v>250.49473633463612</v>
      </c>
      <c r="Q129" s="1">
        <f t="shared" si="59"/>
        <v>124032.32911448993</v>
      </c>
      <c r="R129" s="1">
        <f>SUM(B129:Q129)</f>
        <v>2955228.979093316</v>
      </c>
    </row>
    <row r="130" spans="1:18" x14ac:dyDescent="0.3">
      <c r="A130" s="1" t="s">
        <v>606</v>
      </c>
      <c r="B130" s="1">
        <f t="shared" ref="B130:Q130" si="60">B31*VLOOKUP(VLOOKUP(B$104,Table_AllocByFunction,2,FALSE),Table_Classification,4,FALSE)</f>
        <v>0</v>
      </c>
      <c r="C130" s="1">
        <f t="shared" si="60"/>
        <v>0</v>
      </c>
      <c r="D130" s="1">
        <f t="shared" si="60"/>
        <v>0</v>
      </c>
      <c r="E130" s="1">
        <f t="shared" si="60"/>
        <v>0</v>
      </c>
      <c r="F130" s="1">
        <f t="shared" si="60"/>
        <v>2377274.3440056271</v>
      </c>
      <c r="G130" s="1">
        <f t="shared" si="60"/>
        <v>1123060.3907357971</v>
      </c>
      <c r="H130" s="1">
        <f t="shared" si="60"/>
        <v>802797.8321492332</v>
      </c>
      <c r="I130" s="1">
        <f t="shared" si="60"/>
        <v>1460117.7639391921</v>
      </c>
      <c r="J130" s="1">
        <f t="shared" si="60"/>
        <v>418729.22819378047</v>
      </c>
      <c r="K130" s="1">
        <f t="shared" si="60"/>
        <v>21928.499177920865</v>
      </c>
      <c r="L130" s="1">
        <f t="shared" si="60"/>
        <v>16423.698378333986</v>
      </c>
      <c r="M130" s="1">
        <f t="shared" si="60"/>
        <v>25007.168662517732</v>
      </c>
      <c r="N130" s="1">
        <f t="shared" si="60"/>
        <v>5981.0520019532132</v>
      </c>
      <c r="O130" s="1">
        <f t="shared" si="60"/>
        <v>5634.9948643176258</v>
      </c>
      <c r="P130" s="1">
        <f t="shared" si="60"/>
        <v>553.64326979288614</v>
      </c>
      <c r="Q130" s="1">
        <f t="shared" si="60"/>
        <v>274136.15653479338</v>
      </c>
      <c r="R130" s="1">
        <f>SUM(B130:Q130)</f>
        <v>6531644.7719132593</v>
      </c>
    </row>
    <row r="131" spans="1:18" x14ac:dyDescent="0.3">
      <c r="A131" s="1" t="s">
        <v>629</v>
      </c>
      <c r="B131" s="1">
        <f>SUBTOTAL(9,B105:B130)</f>
        <v>0</v>
      </c>
      <c r="C131" s="1">
        <f t="shared" ref="C131:R131" si="61">SUBTOTAL(9,C105:C130)</f>
        <v>0</v>
      </c>
      <c r="D131" s="1">
        <f t="shared" si="61"/>
        <v>0</v>
      </c>
      <c r="E131" s="1">
        <f t="shared" si="61"/>
        <v>0</v>
      </c>
      <c r="F131" s="1">
        <f t="shared" si="61"/>
        <v>12199420.285217205</v>
      </c>
      <c r="G131" s="1">
        <f t="shared" si="61"/>
        <v>6642418.0712943058</v>
      </c>
      <c r="H131" s="1">
        <f t="shared" si="61"/>
        <v>4239913.600926714</v>
      </c>
      <c r="I131" s="1">
        <f t="shared" si="61"/>
        <v>7364240.842865169</v>
      </c>
      <c r="J131" s="1">
        <f t="shared" si="61"/>
        <v>2681685.1199328555</v>
      </c>
      <c r="K131" s="1">
        <f t="shared" si="61"/>
        <v>1427292.4688874024</v>
      </c>
      <c r="L131" s="1">
        <f t="shared" si="61"/>
        <v>1088523.1497334708</v>
      </c>
      <c r="M131" s="1">
        <f t="shared" si="61"/>
        <v>843627.66363990295</v>
      </c>
      <c r="N131" s="1">
        <f t="shared" si="61"/>
        <v>428134.4676998473</v>
      </c>
      <c r="O131" s="1">
        <f t="shared" si="61"/>
        <v>184120.62417370733</v>
      </c>
      <c r="P131" s="1">
        <f t="shared" si="61"/>
        <v>22263.38777660246</v>
      </c>
      <c r="Q131" s="1">
        <f t="shared" si="61"/>
        <v>1292975.4165960243</v>
      </c>
      <c r="R131" s="1">
        <f t="shared" si="61"/>
        <v>38414615.0987432</v>
      </c>
    </row>
    <row r="132" spans="1:18" x14ac:dyDescent="0.3">
      <c r="A132" s="1" t="s">
        <v>632</v>
      </c>
      <c r="B132" s="1">
        <f t="shared" ref="B132:Q132" si="62">B33*VLOOKUP(VLOOKUP(B$104,Table_AllocByFunction,2,FALSE),Table_Classification,4,FALSE)</f>
        <v>0</v>
      </c>
      <c r="C132" s="1">
        <f t="shared" si="62"/>
        <v>0</v>
      </c>
      <c r="D132" s="1">
        <f t="shared" si="62"/>
        <v>0</v>
      </c>
      <c r="E132" s="1">
        <f t="shared" si="62"/>
        <v>0</v>
      </c>
      <c r="F132" s="1">
        <f t="shared" si="62"/>
        <v>0</v>
      </c>
      <c r="G132" s="1">
        <f t="shared" si="62"/>
        <v>0</v>
      </c>
      <c r="H132" s="1">
        <f t="shared" si="62"/>
        <v>0</v>
      </c>
      <c r="I132" s="1">
        <f t="shared" si="62"/>
        <v>0</v>
      </c>
      <c r="J132" s="1">
        <f t="shared" si="62"/>
        <v>0</v>
      </c>
      <c r="K132" s="1">
        <f t="shared" si="62"/>
        <v>0</v>
      </c>
      <c r="L132" s="1">
        <f t="shared" si="62"/>
        <v>0</v>
      </c>
      <c r="M132" s="1">
        <f t="shared" si="62"/>
        <v>0</v>
      </c>
      <c r="N132" s="1">
        <f t="shared" si="62"/>
        <v>0</v>
      </c>
      <c r="O132" s="1">
        <f t="shared" si="62"/>
        <v>0</v>
      </c>
      <c r="P132" s="1">
        <f t="shared" si="62"/>
        <v>0</v>
      </c>
      <c r="Q132" s="1">
        <f t="shared" si="62"/>
        <v>0</v>
      </c>
      <c r="R132" s="1">
        <f>SUM(B132:Q132)</f>
        <v>0</v>
      </c>
    </row>
    <row r="133" spans="1:18" x14ac:dyDescent="0.3">
      <c r="A133" s="1" t="s">
        <v>631</v>
      </c>
      <c r="B133" s="1">
        <f t="shared" ref="B133:Q133" si="63">B34*VLOOKUP(VLOOKUP(B$104,Table_AllocByFunction,2,FALSE),Table_Classification,4,FALSE)</f>
        <v>0</v>
      </c>
      <c r="C133" s="1">
        <f t="shared" si="63"/>
        <v>0</v>
      </c>
      <c r="D133" s="1">
        <f t="shared" si="63"/>
        <v>0</v>
      </c>
      <c r="E133" s="1">
        <f t="shared" si="63"/>
        <v>0</v>
      </c>
      <c r="F133" s="1">
        <f t="shared" si="63"/>
        <v>-383810.18668273184</v>
      </c>
      <c r="G133" s="1">
        <f t="shared" si="63"/>
        <v>-92297.369335419455</v>
      </c>
      <c r="H133" s="1">
        <f t="shared" si="63"/>
        <v>-128789.22561660614</v>
      </c>
      <c r="I133" s="1">
        <f t="shared" si="63"/>
        <v>-119998.02472172328</v>
      </c>
      <c r="J133" s="1">
        <f t="shared" si="63"/>
        <v>-34412.758694851371</v>
      </c>
      <c r="K133" s="1">
        <f t="shared" si="63"/>
        <v>-1802.1673672151987</v>
      </c>
      <c r="L133" s="1">
        <f t="shared" si="63"/>
        <v>-1349.761925167239</v>
      </c>
      <c r="M133" s="1">
        <f t="shared" si="63"/>
        <v>-2055.18412110085</v>
      </c>
      <c r="N133" s="1">
        <f t="shared" si="63"/>
        <v>-491.54557510210805</v>
      </c>
      <c r="O133" s="1">
        <f t="shared" si="63"/>
        <v>-468377.10528488533</v>
      </c>
      <c r="P133" s="1">
        <f t="shared" si="63"/>
        <v>-623216.50050716207</v>
      </c>
      <c r="Q133" s="1">
        <f t="shared" si="63"/>
        <v>-22529.550767351884</v>
      </c>
      <c r="R133" s="1">
        <f>SUM(B133:Q133)</f>
        <v>-1879129.3805993167</v>
      </c>
    </row>
    <row r="134" spans="1:18" x14ac:dyDescent="0.3">
      <c r="A134" s="1" t="s">
        <v>630</v>
      </c>
      <c r="B134" s="1">
        <f t="shared" ref="B134:R134" si="64">SUBTOTAL(9,B105:B133)</f>
        <v>0</v>
      </c>
      <c r="C134" s="1">
        <f t="shared" si="64"/>
        <v>0</v>
      </c>
      <c r="D134" s="1">
        <f t="shared" si="64"/>
        <v>0</v>
      </c>
      <c r="E134" s="1">
        <f t="shared" si="64"/>
        <v>0</v>
      </c>
      <c r="F134" s="1">
        <f t="shared" si="64"/>
        <v>11815610.098534472</v>
      </c>
      <c r="G134" s="1">
        <f t="shared" si="64"/>
        <v>6550120.7019588863</v>
      </c>
      <c r="H134" s="1">
        <f t="shared" si="64"/>
        <v>4111124.3753101081</v>
      </c>
      <c r="I134" s="1">
        <f t="shared" si="64"/>
        <v>7244242.818143446</v>
      </c>
      <c r="J134" s="1">
        <f t="shared" si="64"/>
        <v>2647272.3612380042</v>
      </c>
      <c r="K134" s="1">
        <f t="shared" si="64"/>
        <v>1425490.3015201872</v>
      </c>
      <c r="L134" s="1">
        <f t="shared" si="64"/>
        <v>1087173.3878083036</v>
      </c>
      <c r="M134" s="1">
        <f t="shared" si="64"/>
        <v>841572.47951880214</v>
      </c>
      <c r="N134" s="1">
        <f t="shared" si="64"/>
        <v>427642.92212474521</v>
      </c>
      <c r="O134" s="1">
        <f t="shared" si="64"/>
        <v>-284256.481111178</v>
      </c>
      <c r="P134" s="1">
        <f t="shared" si="64"/>
        <v>-600953.11273055966</v>
      </c>
      <c r="Q134" s="1">
        <f t="shared" si="64"/>
        <v>1270445.8658286724</v>
      </c>
      <c r="R134" s="1">
        <f t="shared" si="64"/>
        <v>36535485.71814388</v>
      </c>
    </row>
    <row r="136" spans="1:18" s="5" customFormat="1" x14ac:dyDescent="0.3">
      <c r="A136" s="1" t="s">
        <v>540</v>
      </c>
    </row>
    <row r="137" spans="1:18" s="9" customFormat="1" ht="54" x14ac:dyDescent="0.25">
      <c r="B137" s="17" t="str">
        <f t="array" ref="B137:Q137">TRANSPOSE(List_Functions)</f>
        <v>Generation</v>
      </c>
      <c r="C137" s="17" t="str">
        <v>Purchased Power</v>
      </c>
      <c r="D137" s="17" t="str">
        <v>Transmission</v>
      </c>
      <c r="E137" s="17" t="str">
        <v>Substations</v>
      </c>
      <c r="F137" s="17" t="str">
        <v>Primary Lines</v>
      </c>
      <c r="G137" s="17" t="str">
        <v>Transformers</v>
      </c>
      <c r="H137" s="17" t="str">
        <v>Secondary Lines</v>
      </c>
      <c r="I137" s="17" t="str">
        <v>Service Lines</v>
      </c>
      <c r="J137" s="17" t="str">
        <v>Meter Assets</v>
      </c>
      <c r="K137" s="17" t="str">
        <v>Meter Reading</v>
      </c>
      <c r="L137" s="17" t="str">
        <v>Billing</v>
      </c>
      <c r="M137" s="17" t="str">
        <v>Remittance &amp; Collection</v>
      </c>
      <c r="N137" s="17" t="str">
        <v>Uncollectibles &amp; Damage Claims</v>
      </c>
      <c r="O137" s="17" t="str">
        <v>Service Connections</v>
      </c>
      <c r="P137" s="17" t="str">
        <v>Late Payments</v>
      </c>
      <c r="Q137" s="17" t="str">
        <v>Lighting</v>
      </c>
      <c r="R137" s="17" t="s">
        <v>214</v>
      </c>
    </row>
    <row r="138" spans="1:18" x14ac:dyDescent="0.3">
      <c r="A138" s="1" t="s">
        <v>262</v>
      </c>
    </row>
    <row r="139" spans="1:18" x14ac:dyDescent="0.3">
      <c r="A139" s="3" t="s">
        <v>247</v>
      </c>
      <c r="B139" s="1" t="b">
        <f>ROUND(B7,2)=ROUND(SUM(B40,B73,B106),2)</f>
        <v>1</v>
      </c>
      <c r="C139" s="1" t="b">
        <f>ROUND(C7,2)=ROUND(SUM(C40,C73,C106),2)</f>
        <v>1</v>
      </c>
      <c r="D139" s="1" t="b">
        <f>ROUND(D7,2)=ROUND(SUM(D40,D73,D106),2)</f>
        <v>1</v>
      </c>
      <c r="E139" s="1" t="b">
        <f>ROUND(E7,2)=ROUND(SUM(E40,E73,E106),2)</f>
        <v>1</v>
      </c>
      <c r="F139" s="1" t="b">
        <f>ROUND(F7,2)=ROUND(SUM(F40,F73,F106),2)</f>
        <v>1</v>
      </c>
      <c r="G139" s="1" t="b">
        <f>ROUND(G7,2)=ROUND(SUM(G40,G73,G106),2)</f>
        <v>1</v>
      </c>
      <c r="H139" s="1" t="b">
        <f>ROUND(H7,2)=ROUND(SUM(H40,H73,H106),2)</f>
        <v>1</v>
      </c>
      <c r="I139" s="1" t="b">
        <f>ROUND(I7,2)=ROUND(SUM(I40,I73,I106),2)</f>
        <v>1</v>
      </c>
      <c r="J139" s="1" t="b">
        <f>ROUND(J7,2)=ROUND(SUM(J40,J73,J106),2)</f>
        <v>1</v>
      </c>
      <c r="K139" s="1" t="b">
        <f>ROUND(K7,2)=ROUND(SUM(K40,K73,K106),2)</f>
        <v>1</v>
      </c>
      <c r="L139" s="1" t="b">
        <f>ROUND(L7,2)=ROUND(SUM(L40,L73,L106),2)</f>
        <v>1</v>
      </c>
      <c r="M139" s="1" t="b">
        <f>ROUND(M7,2)=ROUND(SUM(M40,M73,M106),2)</f>
        <v>1</v>
      </c>
      <c r="N139" s="1" t="b">
        <f>ROUND(N7,2)=ROUND(SUM(N40,N73,N106),2)</f>
        <v>1</v>
      </c>
      <c r="O139" s="1" t="b">
        <f>ROUND(O7,2)=ROUND(SUM(O40,O73,O106),2)</f>
        <v>1</v>
      </c>
      <c r="P139" s="1" t="b">
        <f>ROUND(P7,2)=ROUND(SUM(P40,P73,P106),2)</f>
        <v>1</v>
      </c>
      <c r="Q139" s="1" t="b">
        <f>ROUND(Q7,2)=ROUND(SUM(Q40,Q73,Q106),2)</f>
        <v>1</v>
      </c>
      <c r="R139" s="1" t="b">
        <f>ROUND(R7,2)=ROUND(SUM(R40,R73,R106),2)</f>
        <v>1</v>
      </c>
    </row>
    <row r="140" spans="1:18" x14ac:dyDescent="0.3">
      <c r="A140" s="3" t="s">
        <v>248</v>
      </c>
      <c r="B140" s="1" t="b">
        <f>ROUND(B8,2)=ROUND(SUM(B41,B74,B107),2)</f>
        <v>1</v>
      </c>
      <c r="C140" s="1" t="b">
        <f>ROUND(C8,2)=ROUND(SUM(C41,C74,C107),2)</f>
        <v>1</v>
      </c>
      <c r="D140" s="1" t="b">
        <f>ROUND(D8,2)=ROUND(SUM(D41,D74,D107),2)</f>
        <v>1</v>
      </c>
      <c r="E140" s="1" t="b">
        <f>ROUND(E8,2)=ROUND(SUM(E41,E74,E107),2)</f>
        <v>1</v>
      </c>
      <c r="F140" s="1" t="b">
        <f>ROUND(F8,2)=ROUND(SUM(F41,F74,F107),2)</f>
        <v>1</v>
      </c>
      <c r="G140" s="1" t="b">
        <f>ROUND(G8,2)=ROUND(SUM(G41,G74,G107),2)</f>
        <v>1</v>
      </c>
      <c r="H140" s="1" t="b">
        <f>ROUND(H8,2)=ROUND(SUM(H41,H74,H107),2)</f>
        <v>1</v>
      </c>
      <c r="I140" s="1" t="b">
        <f>ROUND(I8,2)=ROUND(SUM(I41,I74,I107),2)</f>
        <v>1</v>
      </c>
      <c r="J140" s="1" t="b">
        <f>ROUND(J8,2)=ROUND(SUM(J41,J74,J107),2)</f>
        <v>1</v>
      </c>
      <c r="K140" s="1" t="b">
        <f>ROUND(K8,2)=ROUND(SUM(K41,K74,K107),2)</f>
        <v>1</v>
      </c>
      <c r="L140" s="1" t="b">
        <f>ROUND(L8,2)=ROUND(SUM(L41,L74,L107),2)</f>
        <v>1</v>
      </c>
      <c r="M140" s="1" t="b">
        <f>ROUND(M8,2)=ROUND(SUM(M41,M74,M107),2)</f>
        <v>1</v>
      </c>
      <c r="N140" s="1" t="b">
        <f>ROUND(N8,2)=ROUND(SUM(N41,N74,N107),2)</f>
        <v>1</v>
      </c>
      <c r="O140" s="1" t="b">
        <f>ROUND(O8,2)=ROUND(SUM(O41,O74,O107),2)</f>
        <v>1</v>
      </c>
      <c r="P140" s="1" t="b">
        <f>ROUND(P8,2)=ROUND(SUM(P41,P74,P107),2)</f>
        <v>1</v>
      </c>
      <c r="Q140" s="1" t="b">
        <f>ROUND(Q8,2)=ROUND(SUM(Q41,Q74,Q107),2)</f>
        <v>1</v>
      </c>
      <c r="R140" s="1" t="b">
        <f>ROUND(R8,2)=ROUND(SUM(R41,R74,R107),2)</f>
        <v>1</v>
      </c>
    </row>
    <row r="141" spans="1:18" x14ac:dyDescent="0.3">
      <c r="A141" s="3" t="s">
        <v>249</v>
      </c>
      <c r="B141" s="1" t="b">
        <f>ROUND(B9,2)=ROUND(SUM(B42,B75,B108),2)</f>
        <v>1</v>
      </c>
      <c r="C141" s="1" t="b">
        <f>ROUND(C9,2)=ROUND(SUM(C42,C75,C108),2)</f>
        <v>1</v>
      </c>
      <c r="D141" s="1" t="b">
        <f>ROUND(D9,2)=ROUND(SUM(D42,D75,D108),2)</f>
        <v>1</v>
      </c>
      <c r="E141" s="1" t="b">
        <f>ROUND(E9,2)=ROUND(SUM(E42,E75,E108),2)</f>
        <v>1</v>
      </c>
      <c r="F141" s="1" t="b">
        <f>ROUND(F9,2)=ROUND(SUM(F42,F75,F108),2)</f>
        <v>1</v>
      </c>
      <c r="G141" s="1" t="b">
        <f>ROUND(G9,2)=ROUND(SUM(G42,G75,G108),2)</f>
        <v>1</v>
      </c>
      <c r="H141" s="1" t="b">
        <f>ROUND(H9,2)=ROUND(SUM(H42,H75,H108),2)</f>
        <v>1</v>
      </c>
      <c r="I141" s="1" t="b">
        <f>ROUND(I9,2)=ROUND(SUM(I42,I75,I108),2)</f>
        <v>1</v>
      </c>
      <c r="J141" s="1" t="b">
        <f>ROUND(J9,2)=ROUND(SUM(J42,J75,J108),2)</f>
        <v>1</v>
      </c>
      <c r="K141" s="1" t="b">
        <f>ROUND(K9,2)=ROUND(SUM(K42,K75,K108),2)</f>
        <v>1</v>
      </c>
      <c r="L141" s="1" t="b">
        <f>ROUND(L9,2)=ROUND(SUM(L42,L75,L108),2)</f>
        <v>1</v>
      </c>
      <c r="M141" s="1" t="b">
        <f>ROUND(M9,2)=ROUND(SUM(M42,M75,M108),2)</f>
        <v>1</v>
      </c>
      <c r="N141" s="1" t="b">
        <f>ROUND(N9,2)=ROUND(SUM(N42,N75,N108),2)</f>
        <v>1</v>
      </c>
      <c r="O141" s="1" t="b">
        <f>ROUND(O9,2)=ROUND(SUM(O42,O75,O108),2)</f>
        <v>1</v>
      </c>
      <c r="P141" s="1" t="b">
        <f>ROUND(P9,2)=ROUND(SUM(P42,P75,P108),2)</f>
        <v>1</v>
      </c>
      <c r="Q141" s="1" t="b">
        <f>ROUND(Q9,2)=ROUND(SUM(Q42,Q75,Q108),2)</f>
        <v>1</v>
      </c>
      <c r="R141" s="1" t="b">
        <f>ROUND(R9,2)=ROUND(SUM(R42,R75,R108),2)</f>
        <v>1</v>
      </c>
    </row>
    <row r="142" spans="1:18" x14ac:dyDescent="0.3">
      <c r="A142" s="3" t="s">
        <v>124</v>
      </c>
      <c r="B142" s="1" t="b">
        <f>ROUND(B10,2)=ROUND(SUM(B43,B76,B109),2)</f>
        <v>1</v>
      </c>
      <c r="C142" s="1" t="b">
        <f>ROUND(C10,2)=ROUND(SUM(C43,C76,C109),2)</f>
        <v>1</v>
      </c>
      <c r="D142" s="1" t="b">
        <f>ROUND(D10,2)=ROUND(SUM(D43,D76,D109),2)</f>
        <v>1</v>
      </c>
      <c r="E142" s="1" t="b">
        <f>ROUND(E10,2)=ROUND(SUM(E43,E76,E109),2)</f>
        <v>1</v>
      </c>
      <c r="F142" s="1" t="b">
        <f>ROUND(F10,2)=ROUND(SUM(F43,F76,F109),2)</f>
        <v>1</v>
      </c>
      <c r="G142" s="1" t="b">
        <f>ROUND(G10,2)=ROUND(SUM(G43,G76,G109),2)</f>
        <v>1</v>
      </c>
      <c r="H142" s="1" t="b">
        <f>ROUND(H10,2)=ROUND(SUM(H43,H76,H109),2)</f>
        <v>1</v>
      </c>
      <c r="I142" s="1" t="b">
        <f>ROUND(I10,2)=ROUND(SUM(I43,I76,I109),2)</f>
        <v>1</v>
      </c>
      <c r="J142" s="1" t="b">
        <f>ROUND(J10,2)=ROUND(SUM(J43,J76,J109),2)</f>
        <v>1</v>
      </c>
      <c r="K142" s="1" t="b">
        <f>ROUND(K10,2)=ROUND(SUM(K43,K76,K109),2)</f>
        <v>1</v>
      </c>
      <c r="L142" s="1" t="b">
        <f>ROUND(L10,2)=ROUND(SUM(L43,L76,L109),2)</f>
        <v>1</v>
      </c>
      <c r="M142" s="1" t="b">
        <f>ROUND(M10,2)=ROUND(SUM(M43,M76,M109),2)</f>
        <v>1</v>
      </c>
      <c r="N142" s="1" t="b">
        <f>ROUND(N10,2)=ROUND(SUM(N43,N76,N109),2)</f>
        <v>1</v>
      </c>
      <c r="O142" s="1" t="b">
        <f>ROUND(O10,2)=ROUND(SUM(O43,O76,O109),2)</f>
        <v>1</v>
      </c>
      <c r="P142" s="1" t="b">
        <f>ROUND(P10,2)=ROUND(SUM(P43,P76,P109),2)</f>
        <v>1</v>
      </c>
      <c r="Q142" s="1" t="b">
        <f>ROUND(Q10,2)=ROUND(SUM(Q43,Q76,Q109),2)</f>
        <v>1</v>
      </c>
      <c r="R142" s="1" t="b">
        <f>ROUND(R10,2)=ROUND(SUM(R43,R76,R109),2)</f>
        <v>1</v>
      </c>
    </row>
    <row r="143" spans="1:18" x14ac:dyDescent="0.3">
      <c r="A143" s="3" t="s">
        <v>12</v>
      </c>
      <c r="B143" s="1" t="b">
        <f>ROUND(B11,2)=ROUND(SUM(B44,B77,B110),2)</f>
        <v>1</v>
      </c>
      <c r="C143" s="1" t="b">
        <f>ROUND(C11,2)=ROUND(SUM(C44,C77,C110),2)</f>
        <v>1</v>
      </c>
      <c r="D143" s="1" t="b">
        <f>ROUND(D11,2)=ROUND(SUM(D44,D77,D110),2)</f>
        <v>1</v>
      </c>
      <c r="E143" s="1" t="b">
        <f>ROUND(E11,2)=ROUND(SUM(E44,E77,E110),2)</f>
        <v>1</v>
      </c>
      <c r="F143" s="1" t="b">
        <f>ROUND(F11,2)=ROUND(SUM(F44,F77,F110),2)</f>
        <v>1</v>
      </c>
      <c r="G143" s="1" t="b">
        <f>ROUND(G11,2)=ROUND(SUM(G44,G77,G110),2)</f>
        <v>1</v>
      </c>
      <c r="H143" s="1" t="b">
        <f>ROUND(H11,2)=ROUND(SUM(H44,H77,H110),2)</f>
        <v>1</v>
      </c>
      <c r="I143" s="1" t="b">
        <f>ROUND(I11,2)=ROUND(SUM(I44,I77,I110),2)</f>
        <v>1</v>
      </c>
      <c r="J143" s="1" t="b">
        <f>ROUND(J11,2)=ROUND(SUM(J44,J77,J110),2)</f>
        <v>1</v>
      </c>
      <c r="K143" s="1" t="b">
        <f>ROUND(K11,2)=ROUND(SUM(K44,K77,K110),2)</f>
        <v>1</v>
      </c>
      <c r="L143" s="1" t="b">
        <f>ROUND(L11,2)=ROUND(SUM(L44,L77,L110),2)</f>
        <v>1</v>
      </c>
      <c r="M143" s="1" t="b">
        <f>ROUND(M11,2)=ROUND(SUM(M44,M77,M110),2)</f>
        <v>1</v>
      </c>
      <c r="N143" s="1" t="b">
        <f>ROUND(N11,2)=ROUND(SUM(N44,N77,N110),2)</f>
        <v>1</v>
      </c>
      <c r="O143" s="1" t="b">
        <f>ROUND(O11,2)=ROUND(SUM(O44,O77,O110),2)</f>
        <v>1</v>
      </c>
      <c r="P143" s="1" t="b">
        <f>ROUND(P11,2)=ROUND(SUM(P44,P77,P110),2)</f>
        <v>1</v>
      </c>
      <c r="Q143" s="1" t="b">
        <f>ROUND(Q11,2)=ROUND(SUM(Q44,Q77,Q110),2)</f>
        <v>1</v>
      </c>
      <c r="R143" s="1" t="b">
        <f>ROUND(R11,2)=ROUND(SUM(R44,R77,R110),2)</f>
        <v>1</v>
      </c>
    </row>
    <row r="144" spans="1:18" x14ac:dyDescent="0.3">
      <c r="A144" s="3" t="s">
        <v>250</v>
      </c>
      <c r="B144" s="1" t="b">
        <f>ROUND(B12,2)=ROUND(SUM(B45,B78,B111),2)</f>
        <v>1</v>
      </c>
      <c r="C144" s="1" t="b">
        <f>ROUND(C12,2)=ROUND(SUM(C45,C78,C111),2)</f>
        <v>1</v>
      </c>
      <c r="D144" s="1" t="b">
        <f>ROUND(D12,2)=ROUND(SUM(D45,D78,D111),2)</f>
        <v>1</v>
      </c>
      <c r="E144" s="1" t="b">
        <f>ROUND(E12,2)=ROUND(SUM(E45,E78,E111),2)</f>
        <v>1</v>
      </c>
      <c r="F144" s="1" t="b">
        <f>ROUND(F12,2)=ROUND(SUM(F45,F78,F111),2)</f>
        <v>1</v>
      </c>
      <c r="G144" s="1" t="b">
        <f>ROUND(G12,2)=ROUND(SUM(G45,G78,G111),2)</f>
        <v>1</v>
      </c>
      <c r="H144" s="1" t="b">
        <f>ROUND(H12,2)=ROUND(SUM(H45,H78,H111),2)</f>
        <v>1</v>
      </c>
      <c r="I144" s="1" t="b">
        <f>ROUND(I12,2)=ROUND(SUM(I45,I78,I111),2)</f>
        <v>1</v>
      </c>
      <c r="J144" s="1" t="b">
        <f>ROUND(J12,2)=ROUND(SUM(J45,J78,J111),2)</f>
        <v>1</v>
      </c>
      <c r="K144" s="1" t="b">
        <f>ROUND(K12,2)=ROUND(SUM(K45,K78,K111),2)</f>
        <v>1</v>
      </c>
      <c r="L144" s="1" t="b">
        <f>ROUND(L12,2)=ROUND(SUM(L45,L78,L111),2)</f>
        <v>1</v>
      </c>
      <c r="M144" s="1" t="b">
        <f>ROUND(M12,2)=ROUND(SUM(M45,M78,M111),2)</f>
        <v>1</v>
      </c>
      <c r="N144" s="1" t="b">
        <f>ROUND(N12,2)=ROUND(SUM(N45,N78,N111),2)</f>
        <v>1</v>
      </c>
      <c r="O144" s="1" t="b">
        <f>ROUND(O12,2)=ROUND(SUM(O45,O78,O111),2)</f>
        <v>1</v>
      </c>
      <c r="P144" s="1" t="b">
        <f>ROUND(P12,2)=ROUND(SUM(P45,P78,P111),2)</f>
        <v>1</v>
      </c>
      <c r="Q144" s="1" t="b">
        <f>ROUND(Q12,2)=ROUND(SUM(Q45,Q78,Q111),2)</f>
        <v>1</v>
      </c>
      <c r="R144" s="1" t="b">
        <f>ROUND(R12,2)=ROUND(SUM(R45,R78,R111),2)</f>
        <v>1</v>
      </c>
    </row>
    <row r="145" spans="1:18" x14ac:dyDescent="0.3">
      <c r="A145" s="3" t="s">
        <v>251</v>
      </c>
      <c r="B145" s="1" t="b">
        <f>ROUND(B13,2)=ROUND(SUM(B46,B79,B112),2)</f>
        <v>1</v>
      </c>
      <c r="C145" s="1" t="b">
        <f>ROUND(C13,2)=ROUND(SUM(C46,C79,C112),2)</f>
        <v>1</v>
      </c>
      <c r="D145" s="1" t="b">
        <f>ROUND(D13,2)=ROUND(SUM(D46,D79,D112),2)</f>
        <v>1</v>
      </c>
      <c r="E145" s="1" t="b">
        <f>ROUND(E13,2)=ROUND(SUM(E46,E79,E112),2)</f>
        <v>1</v>
      </c>
      <c r="F145" s="1" t="b">
        <f>ROUND(F13,2)=ROUND(SUM(F46,F79,F112),2)</f>
        <v>1</v>
      </c>
      <c r="G145" s="1" t="b">
        <f>ROUND(G13,2)=ROUND(SUM(G46,G79,G112),2)</f>
        <v>1</v>
      </c>
      <c r="H145" s="1" t="b">
        <f>ROUND(H13,2)=ROUND(SUM(H46,H79,H112),2)</f>
        <v>1</v>
      </c>
      <c r="I145" s="1" t="b">
        <f>ROUND(I13,2)=ROUND(SUM(I46,I79,I112),2)</f>
        <v>1</v>
      </c>
      <c r="J145" s="1" t="b">
        <f>ROUND(J13,2)=ROUND(SUM(J46,J79,J112),2)</f>
        <v>1</v>
      </c>
      <c r="K145" s="1" t="b">
        <f>ROUND(K13,2)=ROUND(SUM(K46,K79,K112),2)</f>
        <v>1</v>
      </c>
      <c r="L145" s="1" t="b">
        <f>ROUND(L13,2)=ROUND(SUM(L46,L79,L112),2)</f>
        <v>1</v>
      </c>
      <c r="M145" s="1" t="b">
        <f>ROUND(M13,2)=ROUND(SUM(M46,M79,M112),2)</f>
        <v>1</v>
      </c>
      <c r="N145" s="1" t="b">
        <f>ROUND(N13,2)=ROUND(SUM(N46,N79,N112),2)</f>
        <v>1</v>
      </c>
      <c r="O145" s="1" t="b">
        <f>ROUND(O13,2)=ROUND(SUM(O46,O79,O112),2)</f>
        <v>1</v>
      </c>
      <c r="P145" s="1" t="b">
        <f>ROUND(P13,2)=ROUND(SUM(P46,P79,P112),2)</f>
        <v>1</v>
      </c>
      <c r="Q145" s="1" t="b">
        <f>ROUND(Q13,2)=ROUND(SUM(Q46,Q79,Q112),2)</f>
        <v>1</v>
      </c>
      <c r="R145" s="1" t="b">
        <f>ROUND(R13,2)=ROUND(SUM(R46,R79,R112),2)</f>
        <v>1</v>
      </c>
    </row>
    <row r="146" spans="1:18" x14ac:dyDescent="0.3">
      <c r="A146" s="3" t="s">
        <v>252</v>
      </c>
      <c r="B146" s="1" t="b">
        <f>ROUND(B14,2)=ROUND(SUM(B47,B80,B113),2)</f>
        <v>1</v>
      </c>
      <c r="C146" s="1" t="b">
        <f>ROUND(C14,2)=ROUND(SUM(C47,C80,C113),2)</f>
        <v>1</v>
      </c>
      <c r="D146" s="1" t="b">
        <f>ROUND(D14,2)=ROUND(SUM(D47,D80,D113),2)</f>
        <v>1</v>
      </c>
      <c r="E146" s="1" t="b">
        <f>ROUND(E14,2)=ROUND(SUM(E47,E80,E113),2)</f>
        <v>1</v>
      </c>
      <c r="F146" s="1" t="b">
        <f>ROUND(F14,2)=ROUND(SUM(F47,F80,F113),2)</f>
        <v>1</v>
      </c>
      <c r="G146" s="1" t="b">
        <f>ROUND(G14,2)=ROUND(SUM(G47,G80,G113),2)</f>
        <v>1</v>
      </c>
      <c r="H146" s="1" t="b">
        <f>ROUND(H14,2)=ROUND(SUM(H47,H80,H113),2)</f>
        <v>1</v>
      </c>
      <c r="I146" s="1" t="b">
        <f>ROUND(I14,2)=ROUND(SUM(I47,I80,I113),2)</f>
        <v>1</v>
      </c>
      <c r="J146" s="1" t="b">
        <f>ROUND(J14,2)=ROUND(SUM(J47,J80,J113),2)</f>
        <v>1</v>
      </c>
      <c r="K146" s="1" t="b">
        <f>ROUND(K14,2)=ROUND(SUM(K47,K80,K113),2)</f>
        <v>1</v>
      </c>
      <c r="L146" s="1" t="b">
        <f>ROUND(L14,2)=ROUND(SUM(L47,L80,L113),2)</f>
        <v>1</v>
      </c>
      <c r="M146" s="1" t="b">
        <f>ROUND(M14,2)=ROUND(SUM(M47,M80,M113),2)</f>
        <v>1</v>
      </c>
      <c r="N146" s="1" t="b">
        <f>ROUND(N14,2)=ROUND(SUM(N47,N80,N113),2)</f>
        <v>1</v>
      </c>
      <c r="O146" s="1" t="b">
        <f>ROUND(O14,2)=ROUND(SUM(O47,O80,O113),2)</f>
        <v>1</v>
      </c>
      <c r="P146" s="1" t="b">
        <f>ROUND(P14,2)=ROUND(SUM(P47,P80,P113),2)</f>
        <v>1</v>
      </c>
      <c r="Q146" s="1" t="b">
        <f>ROUND(Q14,2)=ROUND(SUM(Q47,Q80,Q113),2)</f>
        <v>1</v>
      </c>
      <c r="R146" s="1" t="b">
        <f>ROUND(R14,2)=ROUND(SUM(R47,R80,R113),2)</f>
        <v>1</v>
      </c>
    </row>
    <row r="147" spans="1:18" x14ac:dyDescent="0.3">
      <c r="A147" s="3" t="s">
        <v>253</v>
      </c>
      <c r="B147" s="1" t="b">
        <f>ROUND(B15,2)=ROUND(SUM(B48,B81,B114),2)</f>
        <v>1</v>
      </c>
      <c r="C147" s="1" t="b">
        <f>ROUND(C15,2)=ROUND(SUM(C48,C81,C114),2)</f>
        <v>1</v>
      </c>
      <c r="D147" s="1" t="b">
        <f>ROUND(D15,2)=ROUND(SUM(D48,D81,D114),2)</f>
        <v>1</v>
      </c>
      <c r="E147" s="1" t="b">
        <f>ROUND(E15,2)=ROUND(SUM(E48,E81,E114),2)</f>
        <v>1</v>
      </c>
      <c r="F147" s="1" t="b">
        <f>ROUND(F15,2)=ROUND(SUM(F48,F81,F114),2)</f>
        <v>1</v>
      </c>
      <c r="G147" s="1" t="b">
        <f>ROUND(G15,2)=ROUND(SUM(G48,G81,G114),2)</f>
        <v>1</v>
      </c>
      <c r="H147" s="1" t="b">
        <f>ROUND(H15,2)=ROUND(SUM(H48,H81,H114),2)</f>
        <v>1</v>
      </c>
      <c r="I147" s="1" t="b">
        <f>ROUND(I15,2)=ROUND(SUM(I48,I81,I114),2)</f>
        <v>1</v>
      </c>
      <c r="J147" s="1" t="b">
        <f>ROUND(J15,2)=ROUND(SUM(J48,J81,J114),2)</f>
        <v>1</v>
      </c>
      <c r="K147" s="1" t="b">
        <f>ROUND(K15,2)=ROUND(SUM(K48,K81,K114),2)</f>
        <v>1</v>
      </c>
      <c r="L147" s="1" t="b">
        <f>ROUND(L15,2)=ROUND(SUM(L48,L81,L114),2)</f>
        <v>1</v>
      </c>
      <c r="M147" s="1" t="b">
        <f>ROUND(M15,2)=ROUND(SUM(M48,M81,M114),2)</f>
        <v>1</v>
      </c>
      <c r="N147" s="1" t="b">
        <f>ROUND(N15,2)=ROUND(SUM(N48,N81,N114),2)</f>
        <v>1</v>
      </c>
      <c r="O147" s="1" t="b">
        <f>ROUND(O15,2)=ROUND(SUM(O48,O81,O114),2)</f>
        <v>1</v>
      </c>
      <c r="P147" s="1" t="b">
        <f>ROUND(P15,2)=ROUND(SUM(P48,P81,P114),2)</f>
        <v>1</v>
      </c>
      <c r="Q147" s="1" t="b">
        <f>ROUND(Q15,2)=ROUND(SUM(Q48,Q81,Q114),2)</f>
        <v>1</v>
      </c>
      <c r="R147" s="1" t="b">
        <f>ROUND(R15,2)=ROUND(SUM(R48,R81,R114),2)</f>
        <v>1</v>
      </c>
    </row>
    <row r="148" spans="1:18" x14ac:dyDescent="0.3">
      <c r="A148" s="2" t="s">
        <v>138</v>
      </c>
    </row>
    <row r="149" spans="1:18" x14ac:dyDescent="0.3">
      <c r="A149" s="3" t="s">
        <v>479</v>
      </c>
      <c r="B149" s="1" t="b">
        <f t="shared" ref="B149:R149" si="65">ROUND(B17,2)=ROUND(SUM(B50,B83,B116),2)</f>
        <v>1</v>
      </c>
      <c r="C149" s="1" t="b">
        <f t="shared" si="65"/>
        <v>1</v>
      </c>
      <c r="D149" s="1" t="b">
        <f t="shared" si="65"/>
        <v>1</v>
      </c>
      <c r="E149" s="1" t="b">
        <f t="shared" si="65"/>
        <v>1</v>
      </c>
      <c r="F149" s="1" t="b">
        <f t="shared" si="65"/>
        <v>1</v>
      </c>
      <c r="G149" s="1" t="b">
        <f t="shared" si="65"/>
        <v>1</v>
      </c>
      <c r="H149" s="1" t="b">
        <f t="shared" si="65"/>
        <v>1</v>
      </c>
      <c r="I149" s="1" t="b">
        <f t="shared" si="65"/>
        <v>1</v>
      </c>
      <c r="J149" s="1" t="b">
        <f t="shared" si="65"/>
        <v>1</v>
      </c>
      <c r="K149" s="1" t="b">
        <f t="shared" si="65"/>
        <v>1</v>
      </c>
      <c r="L149" s="1" t="b">
        <f t="shared" si="65"/>
        <v>1</v>
      </c>
      <c r="M149" s="1" t="b">
        <f t="shared" si="65"/>
        <v>1</v>
      </c>
      <c r="N149" s="1" t="b">
        <f t="shared" si="65"/>
        <v>1</v>
      </c>
      <c r="O149" s="1" t="b">
        <f t="shared" si="65"/>
        <v>1</v>
      </c>
      <c r="P149" s="1" t="b">
        <f t="shared" si="65"/>
        <v>1</v>
      </c>
      <c r="Q149" s="1" t="b">
        <f t="shared" si="65"/>
        <v>1</v>
      </c>
      <c r="R149" s="1" t="b">
        <f t="shared" si="65"/>
        <v>1</v>
      </c>
    </row>
    <row r="150" spans="1:18" x14ac:dyDescent="0.3">
      <c r="A150" s="3" t="s">
        <v>480</v>
      </c>
      <c r="B150" s="1" t="b">
        <f t="shared" ref="B150:R150" si="66">ROUND(B19,2)=ROUND(SUM(B52,B85,B118),2)</f>
        <v>1</v>
      </c>
      <c r="C150" s="1" t="b">
        <f t="shared" si="66"/>
        <v>1</v>
      </c>
      <c r="D150" s="1" t="b">
        <f t="shared" si="66"/>
        <v>1</v>
      </c>
      <c r="E150" s="1" t="b">
        <f t="shared" si="66"/>
        <v>1</v>
      </c>
      <c r="F150" s="1" t="b">
        <f t="shared" si="66"/>
        <v>1</v>
      </c>
      <c r="G150" s="1" t="b">
        <f t="shared" si="66"/>
        <v>1</v>
      </c>
      <c r="H150" s="1" t="b">
        <f t="shared" si="66"/>
        <v>1</v>
      </c>
      <c r="I150" s="1" t="b">
        <f t="shared" si="66"/>
        <v>1</v>
      </c>
      <c r="J150" s="1" t="b">
        <f t="shared" si="66"/>
        <v>1</v>
      </c>
      <c r="K150" s="1" t="b">
        <f t="shared" si="66"/>
        <v>1</v>
      </c>
      <c r="L150" s="1" t="b">
        <f t="shared" si="66"/>
        <v>1</v>
      </c>
      <c r="M150" s="1" t="b">
        <f t="shared" si="66"/>
        <v>1</v>
      </c>
      <c r="N150" s="1" t="b">
        <f t="shared" si="66"/>
        <v>1</v>
      </c>
      <c r="O150" s="1" t="b">
        <f t="shared" si="66"/>
        <v>1</v>
      </c>
      <c r="P150" s="1" t="b">
        <f t="shared" si="66"/>
        <v>1</v>
      </c>
      <c r="Q150" s="1" t="b">
        <f t="shared" si="66"/>
        <v>1</v>
      </c>
      <c r="R150" s="1" t="b">
        <f t="shared" si="66"/>
        <v>1</v>
      </c>
    </row>
    <row r="151" spans="1:18" x14ac:dyDescent="0.3">
      <c r="A151" s="3" t="s">
        <v>254</v>
      </c>
      <c r="B151" s="1" t="b">
        <f t="shared" ref="B151:R151" si="67">ROUND(B20,2)=ROUND(SUM(B53,B86,B119),2)</f>
        <v>1</v>
      </c>
      <c r="C151" s="1" t="b">
        <f t="shared" si="67"/>
        <v>1</v>
      </c>
      <c r="D151" s="1" t="b">
        <f t="shared" si="67"/>
        <v>1</v>
      </c>
      <c r="E151" s="1" t="b">
        <f t="shared" si="67"/>
        <v>1</v>
      </c>
      <c r="F151" s="1" t="b">
        <f t="shared" si="67"/>
        <v>1</v>
      </c>
      <c r="G151" s="1" t="b">
        <f t="shared" si="67"/>
        <v>1</v>
      </c>
      <c r="H151" s="1" t="b">
        <f t="shared" si="67"/>
        <v>1</v>
      </c>
      <c r="I151" s="1" t="b">
        <f t="shared" si="67"/>
        <v>1</v>
      </c>
      <c r="J151" s="1" t="b">
        <f t="shared" si="67"/>
        <v>1</v>
      </c>
      <c r="K151" s="1" t="b">
        <f t="shared" si="67"/>
        <v>1</v>
      </c>
      <c r="L151" s="1" t="b">
        <f t="shared" si="67"/>
        <v>1</v>
      </c>
      <c r="M151" s="1" t="b">
        <f t="shared" si="67"/>
        <v>1</v>
      </c>
      <c r="N151" s="1" t="b">
        <f t="shared" si="67"/>
        <v>1</v>
      </c>
      <c r="O151" s="1" t="b">
        <f t="shared" si="67"/>
        <v>1</v>
      </c>
      <c r="P151" s="1" t="b">
        <f t="shared" si="67"/>
        <v>1</v>
      </c>
      <c r="Q151" s="1" t="b">
        <f t="shared" si="67"/>
        <v>1</v>
      </c>
      <c r="R151" s="1" t="b">
        <f t="shared" si="67"/>
        <v>1</v>
      </c>
    </row>
    <row r="152" spans="1:18" x14ac:dyDescent="0.3">
      <c r="A152" s="1" t="s">
        <v>263</v>
      </c>
      <c r="B152" s="1" t="b">
        <f t="shared" ref="B152:R152" si="68">ROUND(B21,2)=ROUND(SUM(B54,B87,B120),2)</f>
        <v>1</v>
      </c>
      <c r="C152" s="1" t="b">
        <f t="shared" si="68"/>
        <v>1</v>
      </c>
      <c r="D152" s="1" t="b">
        <f t="shared" si="68"/>
        <v>1</v>
      </c>
      <c r="E152" s="1" t="b">
        <f t="shared" si="68"/>
        <v>1</v>
      </c>
      <c r="F152" s="1" t="b">
        <f t="shared" si="68"/>
        <v>1</v>
      </c>
      <c r="G152" s="1" t="b">
        <f t="shared" si="68"/>
        <v>1</v>
      </c>
      <c r="H152" s="1" t="b">
        <f t="shared" si="68"/>
        <v>1</v>
      </c>
      <c r="I152" s="1" t="b">
        <f t="shared" si="68"/>
        <v>1</v>
      </c>
      <c r="J152" s="1" t="b">
        <f t="shared" si="68"/>
        <v>1</v>
      </c>
      <c r="K152" s="1" t="b">
        <f t="shared" si="68"/>
        <v>1</v>
      </c>
      <c r="L152" s="1" t="b">
        <f t="shared" si="68"/>
        <v>1</v>
      </c>
      <c r="M152" s="1" t="b">
        <f t="shared" si="68"/>
        <v>1</v>
      </c>
      <c r="N152" s="1" t="b">
        <f t="shared" si="68"/>
        <v>1</v>
      </c>
      <c r="O152" s="1" t="b">
        <f t="shared" si="68"/>
        <v>1</v>
      </c>
      <c r="P152" s="1" t="b">
        <f t="shared" si="68"/>
        <v>1</v>
      </c>
      <c r="Q152" s="1" t="b">
        <f t="shared" si="68"/>
        <v>1</v>
      </c>
      <c r="R152" s="1" t="b">
        <f t="shared" si="68"/>
        <v>1</v>
      </c>
    </row>
    <row r="153" spans="1:18" x14ac:dyDescent="0.3">
      <c r="A153" s="1" t="s">
        <v>246</v>
      </c>
    </row>
    <row r="154" spans="1:18" x14ac:dyDescent="0.3">
      <c r="A154" s="3" t="s">
        <v>255</v>
      </c>
      <c r="B154" s="1" t="b">
        <f t="shared" ref="B154:R154" si="69">ROUND(B23,2)=ROUND(SUM(B56,B89,B122),2)</f>
        <v>1</v>
      </c>
      <c r="C154" s="1" t="b">
        <f t="shared" si="69"/>
        <v>1</v>
      </c>
      <c r="D154" s="1" t="b">
        <f t="shared" si="69"/>
        <v>1</v>
      </c>
      <c r="E154" s="1" t="b">
        <f t="shared" si="69"/>
        <v>1</v>
      </c>
      <c r="F154" s="1" t="b">
        <f t="shared" si="69"/>
        <v>1</v>
      </c>
      <c r="G154" s="1" t="b">
        <f t="shared" si="69"/>
        <v>1</v>
      </c>
      <c r="H154" s="1" t="b">
        <f t="shared" si="69"/>
        <v>1</v>
      </c>
      <c r="I154" s="1" t="b">
        <f t="shared" si="69"/>
        <v>1</v>
      </c>
      <c r="J154" s="1" t="b">
        <f t="shared" si="69"/>
        <v>1</v>
      </c>
      <c r="K154" s="1" t="b">
        <f t="shared" si="69"/>
        <v>1</v>
      </c>
      <c r="L154" s="1" t="b">
        <f t="shared" si="69"/>
        <v>1</v>
      </c>
      <c r="M154" s="1" t="b">
        <f t="shared" si="69"/>
        <v>1</v>
      </c>
      <c r="N154" s="1" t="b">
        <f t="shared" si="69"/>
        <v>1</v>
      </c>
      <c r="O154" s="1" t="b">
        <f t="shared" si="69"/>
        <v>1</v>
      </c>
      <c r="P154" s="1" t="b">
        <f t="shared" si="69"/>
        <v>1</v>
      </c>
      <c r="Q154" s="1" t="b">
        <f t="shared" si="69"/>
        <v>1</v>
      </c>
      <c r="R154" s="1" t="b">
        <f t="shared" si="69"/>
        <v>1</v>
      </c>
    </row>
    <row r="155" spans="1:18" x14ac:dyDescent="0.3">
      <c r="A155" s="3" t="s">
        <v>256</v>
      </c>
      <c r="B155" s="1" t="b">
        <f t="shared" ref="B155:R155" si="70">ROUND(B24,2)=ROUND(SUM(B57,B90,B123),2)</f>
        <v>1</v>
      </c>
      <c r="C155" s="1" t="b">
        <f t="shared" si="70"/>
        <v>1</v>
      </c>
      <c r="D155" s="1" t="b">
        <f t="shared" si="70"/>
        <v>1</v>
      </c>
      <c r="E155" s="1" t="b">
        <f t="shared" si="70"/>
        <v>1</v>
      </c>
      <c r="F155" s="1" t="b">
        <f t="shared" si="70"/>
        <v>1</v>
      </c>
      <c r="G155" s="1" t="b">
        <f t="shared" si="70"/>
        <v>1</v>
      </c>
      <c r="H155" s="1" t="b">
        <f t="shared" si="70"/>
        <v>1</v>
      </c>
      <c r="I155" s="1" t="b">
        <f t="shared" si="70"/>
        <v>1</v>
      </c>
      <c r="J155" s="1" t="b">
        <f t="shared" si="70"/>
        <v>1</v>
      </c>
      <c r="K155" s="1" t="b">
        <f t="shared" si="70"/>
        <v>1</v>
      </c>
      <c r="L155" s="1" t="b">
        <f t="shared" si="70"/>
        <v>1</v>
      </c>
      <c r="M155" s="1" t="b">
        <f t="shared" si="70"/>
        <v>1</v>
      </c>
      <c r="N155" s="1" t="b">
        <f t="shared" si="70"/>
        <v>1</v>
      </c>
      <c r="O155" s="1" t="b">
        <f t="shared" si="70"/>
        <v>1</v>
      </c>
      <c r="P155" s="1" t="b">
        <f t="shared" si="70"/>
        <v>1</v>
      </c>
      <c r="Q155" s="1" t="b">
        <f t="shared" si="70"/>
        <v>1</v>
      </c>
      <c r="R155" s="1" t="b">
        <f t="shared" si="70"/>
        <v>1</v>
      </c>
    </row>
    <row r="156" spans="1:18" x14ac:dyDescent="0.3">
      <c r="A156" s="3" t="s">
        <v>257</v>
      </c>
      <c r="B156" s="1" t="b">
        <f t="shared" ref="B156:R156" si="71">ROUND(B25,2)=ROUND(SUM(B58,B91,B124),2)</f>
        <v>1</v>
      </c>
      <c r="C156" s="1" t="b">
        <f t="shared" si="71"/>
        <v>1</v>
      </c>
      <c r="D156" s="1" t="b">
        <f t="shared" si="71"/>
        <v>1</v>
      </c>
      <c r="E156" s="1" t="b">
        <f t="shared" si="71"/>
        <v>1</v>
      </c>
      <c r="F156" s="1" t="b">
        <f t="shared" si="71"/>
        <v>1</v>
      </c>
      <c r="G156" s="1" t="b">
        <f t="shared" si="71"/>
        <v>1</v>
      </c>
      <c r="H156" s="1" t="b">
        <f t="shared" si="71"/>
        <v>1</v>
      </c>
      <c r="I156" s="1" t="b">
        <f t="shared" si="71"/>
        <v>1</v>
      </c>
      <c r="J156" s="1" t="b">
        <f t="shared" si="71"/>
        <v>1</v>
      </c>
      <c r="K156" s="1" t="b">
        <f t="shared" si="71"/>
        <v>1</v>
      </c>
      <c r="L156" s="1" t="b">
        <f t="shared" si="71"/>
        <v>1</v>
      </c>
      <c r="M156" s="1" t="b">
        <f t="shared" si="71"/>
        <v>1</v>
      </c>
      <c r="N156" s="1" t="b">
        <f t="shared" si="71"/>
        <v>1</v>
      </c>
      <c r="O156" s="1" t="b">
        <f t="shared" si="71"/>
        <v>1</v>
      </c>
      <c r="P156" s="1" t="b">
        <f t="shared" si="71"/>
        <v>1</v>
      </c>
      <c r="Q156" s="1" t="b">
        <f t="shared" si="71"/>
        <v>1</v>
      </c>
      <c r="R156" s="1" t="b">
        <f t="shared" si="71"/>
        <v>1</v>
      </c>
    </row>
    <row r="157" spans="1:18" x14ac:dyDescent="0.3">
      <c r="A157" s="3" t="s">
        <v>258</v>
      </c>
      <c r="B157" s="1" t="b">
        <f t="shared" ref="B157:R157" si="72">ROUND(B27,2)=ROUND(SUM(B60,B93,B126),2)</f>
        <v>1</v>
      </c>
      <c r="C157" s="1" t="b">
        <f t="shared" si="72"/>
        <v>1</v>
      </c>
      <c r="D157" s="1" t="b">
        <f t="shared" si="72"/>
        <v>1</v>
      </c>
      <c r="E157" s="1" t="b">
        <f t="shared" si="72"/>
        <v>1</v>
      </c>
      <c r="F157" s="1" t="b">
        <f t="shared" si="72"/>
        <v>1</v>
      </c>
      <c r="G157" s="1" t="b">
        <f t="shared" si="72"/>
        <v>1</v>
      </c>
      <c r="H157" s="1" t="b">
        <f t="shared" si="72"/>
        <v>1</v>
      </c>
      <c r="I157" s="1" t="b">
        <f t="shared" si="72"/>
        <v>1</v>
      </c>
      <c r="J157" s="1" t="b">
        <f t="shared" si="72"/>
        <v>1</v>
      </c>
      <c r="K157" s="1" t="b">
        <f t="shared" si="72"/>
        <v>1</v>
      </c>
      <c r="L157" s="1" t="b">
        <f t="shared" si="72"/>
        <v>1</v>
      </c>
      <c r="M157" s="1" t="b">
        <f t="shared" si="72"/>
        <v>1</v>
      </c>
      <c r="N157" s="1" t="b">
        <f t="shared" si="72"/>
        <v>1</v>
      </c>
      <c r="O157" s="1" t="b">
        <f t="shared" si="72"/>
        <v>1</v>
      </c>
      <c r="P157" s="1" t="b">
        <f t="shared" si="72"/>
        <v>1</v>
      </c>
      <c r="Q157" s="1" t="b">
        <f t="shared" si="72"/>
        <v>1</v>
      </c>
      <c r="R157" s="1" t="b">
        <f t="shared" si="72"/>
        <v>1</v>
      </c>
    </row>
    <row r="158" spans="1:18" x14ac:dyDescent="0.3">
      <c r="A158" s="3" t="s">
        <v>259</v>
      </c>
      <c r="B158" s="1" t="b">
        <f t="shared" ref="B158:R158" si="73">ROUND(B28,2)=ROUND(SUM(B61,B94,B127),2)</f>
        <v>1</v>
      </c>
      <c r="C158" s="1" t="b">
        <f t="shared" si="73"/>
        <v>1</v>
      </c>
      <c r="D158" s="1" t="b">
        <f t="shared" si="73"/>
        <v>1</v>
      </c>
      <c r="E158" s="1" t="b">
        <f t="shared" si="73"/>
        <v>1</v>
      </c>
      <c r="F158" s="1" t="b">
        <f t="shared" si="73"/>
        <v>1</v>
      </c>
      <c r="G158" s="1" t="b">
        <f t="shared" si="73"/>
        <v>1</v>
      </c>
      <c r="H158" s="1" t="b">
        <f t="shared" si="73"/>
        <v>1</v>
      </c>
      <c r="I158" s="1" t="b">
        <f t="shared" si="73"/>
        <v>1</v>
      </c>
      <c r="J158" s="1" t="b">
        <f t="shared" si="73"/>
        <v>1</v>
      </c>
      <c r="K158" s="1" t="b">
        <f t="shared" si="73"/>
        <v>1</v>
      </c>
      <c r="L158" s="1" t="b">
        <f t="shared" si="73"/>
        <v>1</v>
      </c>
      <c r="M158" s="1" t="b">
        <f t="shared" si="73"/>
        <v>1</v>
      </c>
      <c r="N158" s="1" t="b">
        <f t="shared" si="73"/>
        <v>1</v>
      </c>
      <c r="O158" s="1" t="b">
        <f t="shared" si="73"/>
        <v>1</v>
      </c>
      <c r="P158" s="1" t="b">
        <f t="shared" si="73"/>
        <v>1</v>
      </c>
      <c r="Q158" s="1" t="b">
        <f t="shared" si="73"/>
        <v>1</v>
      </c>
      <c r="R158" s="1" t="b">
        <f t="shared" si="73"/>
        <v>1</v>
      </c>
    </row>
    <row r="159" spans="1:18" x14ac:dyDescent="0.3">
      <c r="A159" s="1" t="s">
        <v>260</v>
      </c>
      <c r="B159" s="1" t="b">
        <f t="shared" ref="B159:R159" si="74">ROUND(B29,2)=ROUND(SUM(B62,B95,B128),2)</f>
        <v>1</v>
      </c>
      <c r="C159" s="1" t="b">
        <f t="shared" si="74"/>
        <v>1</v>
      </c>
      <c r="D159" s="1" t="b">
        <f t="shared" si="74"/>
        <v>1</v>
      </c>
      <c r="E159" s="1" t="b">
        <f t="shared" si="74"/>
        <v>1</v>
      </c>
      <c r="F159" s="1" t="b">
        <f t="shared" si="74"/>
        <v>1</v>
      </c>
      <c r="G159" s="1" t="b">
        <f t="shared" si="74"/>
        <v>1</v>
      </c>
      <c r="H159" s="1" t="b">
        <f t="shared" si="74"/>
        <v>1</v>
      </c>
      <c r="I159" s="1" t="b">
        <f t="shared" si="74"/>
        <v>1</v>
      </c>
      <c r="J159" s="1" t="b">
        <f t="shared" si="74"/>
        <v>1</v>
      </c>
      <c r="K159" s="1" t="b">
        <f t="shared" si="74"/>
        <v>1</v>
      </c>
      <c r="L159" s="1" t="b">
        <f t="shared" si="74"/>
        <v>1</v>
      </c>
      <c r="M159" s="1" t="b">
        <f t="shared" si="74"/>
        <v>1</v>
      </c>
      <c r="N159" s="1" t="b">
        <f t="shared" si="74"/>
        <v>1</v>
      </c>
      <c r="O159" s="1" t="b">
        <f t="shared" si="74"/>
        <v>1</v>
      </c>
      <c r="P159" s="1" t="b">
        <f t="shared" si="74"/>
        <v>1</v>
      </c>
      <c r="Q159" s="1" t="b">
        <f t="shared" si="74"/>
        <v>1</v>
      </c>
      <c r="R159" s="1" t="b">
        <f t="shared" si="74"/>
        <v>1</v>
      </c>
    </row>
    <row r="160" spans="1:18" x14ac:dyDescent="0.3">
      <c r="A160" s="1" t="s">
        <v>261</v>
      </c>
      <c r="B160" s="1" t="b">
        <f t="shared" ref="B160:R160" si="75">ROUND(B30,2)=ROUND(SUM(B63,B96,B129),2)</f>
        <v>1</v>
      </c>
      <c r="C160" s="1" t="b">
        <f t="shared" si="75"/>
        <v>1</v>
      </c>
      <c r="D160" s="1" t="b">
        <f t="shared" si="75"/>
        <v>1</v>
      </c>
      <c r="E160" s="1" t="b">
        <f t="shared" si="75"/>
        <v>1</v>
      </c>
      <c r="F160" s="1" t="b">
        <f t="shared" si="75"/>
        <v>1</v>
      </c>
      <c r="G160" s="1" t="b">
        <f t="shared" si="75"/>
        <v>1</v>
      </c>
      <c r="H160" s="1" t="b">
        <f t="shared" si="75"/>
        <v>1</v>
      </c>
      <c r="I160" s="1" t="b">
        <f t="shared" si="75"/>
        <v>1</v>
      </c>
      <c r="J160" s="1" t="b">
        <f t="shared" si="75"/>
        <v>1</v>
      </c>
      <c r="K160" s="1" t="b">
        <f t="shared" si="75"/>
        <v>1</v>
      </c>
      <c r="L160" s="1" t="b">
        <f t="shared" si="75"/>
        <v>1</v>
      </c>
      <c r="M160" s="1" t="b">
        <f t="shared" si="75"/>
        <v>1</v>
      </c>
      <c r="N160" s="1" t="b">
        <f t="shared" si="75"/>
        <v>1</v>
      </c>
      <c r="O160" s="1" t="b">
        <f t="shared" si="75"/>
        <v>1</v>
      </c>
      <c r="P160" s="1" t="b">
        <f t="shared" si="75"/>
        <v>1</v>
      </c>
      <c r="Q160" s="1" t="b">
        <f t="shared" si="75"/>
        <v>1</v>
      </c>
      <c r="R160" s="1" t="b">
        <f t="shared" si="75"/>
        <v>1</v>
      </c>
    </row>
    <row r="161" spans="1:18" x14ac:dyDescent="0.3">
      <c r="A161" s="1" t="s">
        <v>606</v>
      </c>
      <c r="B161" s="1" t="b">
        <f t="shared" ref="B161:R161" si="76">ROUND(B31,2)=ROUND(SUM(B64,B97,B130),2)</f>
        <v>1</v>
      </c>
      <c r="C161" s="1" t="b">
        <f t="shared" si="76"/>
        <v>1</v>
      </c>
      <c r="D161" s="1" t="b">
        <f t="shared" si="76"/>
        <v>1</v>
      </c>
      <c r="E161" s="1" t="b">
        <f t="shared" si="76"/>
        <v>1</v>
      </c>
      <c r="F161" s="1" t="b">
        <f t="shared" si="76"/>
        <v>1</v>
      </c>
      <c r="G161" s="1" t="b">
        <f t="shared" si="76"/>
        <v>1</v>
      </c>
      <c r="H161" s="1" t="b">
        <f t="shared" si="76"/>
        <v>1</v>
      </c>
      <c r="I161" s="1" t="b">
        <f t="shared" si="76"/>
        <v>1</v>
      </c>
      <c r="J161" s="1" t="b">
        <f t="shared" si="76"/>
        <v>1</v>
      </c>
      <c r="K161" s="1" t="b">
        <f t="shared" si="76"/>
        <v>1</v>
      </c>
      <c r="L161" s="1" t="b">
        <f t="shared" si="76"/>
        <v>1</v>
      </c>
      <c r="M161" s="1" t="b">
        <f t="shared" si="76"/>
        <v>1</v>
      </c>
      <c r="N161" s="1" t="b">
        <f t="shared" si="76"/>
        <v>1</v>
      </c>
      <c r="O161" s="1" t="b">
        <f t="shared" si="76"/>
        <v>1</v>
      </c>
      <c r="P161" s="1" t="b">
        <f t="shared" si="76"/>
        <v>1</v>
      </c>
      <c r="Q161" s="1" t="b">
        <f t="shared" si="76"/>
        <v>1</v>
      </c>
      <c r="R161" s="1" t="b">
        <f t="shared" si="76"/>
        <v>1</v>
      </c>
    </row>
    <row r="162" spans="1:18" x14ac:dyDescent="0.3">
      <c r="A162" s="1" t="s">
        <v>629</v>
      </c>
      <c r="B162" s="1" t="b">
        <f t="shared" ref="B162:R162" si="77">ROUND(B32,2)=ROUND(SUM(B65,B98,B131),2)</f>
        <v>1</v>
      </c>
      <c r="C162" s="1" t="b">
        <f t="shared" si="77"/>
        <v>1</v>
      </c>
      <c r="D162" s="1" t="b">
        <f t="shared" si="77"/>
        <v>1</v>
      </c>
      <c r="E162" s="1" t="b">
        <f t="shared" si="77"/>
        <v>1</v>
      </c>
      <c r="F162" s="1" t="b">
        <f t="shared" si="77"/>
        <v>1</v>
      </c>
      <c r="G162" s="1" t="b">
        <f t="shared" si="77"/>
        <v>1</v>
      </c>
      <c r="H162" s="1" t="b">
        <f t="shared" si="77"/>
        <v>1</v>
      </c>
      <c r="I162" s="1" t="b">
        <f t="shared" si="77"/>
        <v>1</v>
      </c>
      <c r="J162" s="1" t="b">
        <f t="shared" si="77"/>
        <v>1</v>
      </c>
      <c r="K162" s="1" t="b">
        <f t="shared" si="77"/>
        <v>1</v>
      </c>
      <c r="L162" s="1" t="b">
        <f t="shared" si="77"/>
        <v>1</v>
      </c>
      <c r="M162" s="1" t="b">
        <f t="shared" si="77"/>
        <v>1</v>
      </c>
      <c r="N162" s="1" t="b">
        <f t="shared" si="77"/>
        <v>1</v>
      </c>
      <c r="O162" s="1" t="b">
        <f t="shared" si="77"/>
        <v>1</v>
      </c>
      <c r="P162" s="1" t="b">
        <f t="shared" si="77"/>
        <v>1</v>
      </c>
      <c r="Q162" s="1" t="b">
        <f t="shared" si="77"/>
        <v>1</v>
      </c>
      <c r="R162" s="1" t="b">
        <f t="shared" si="77"/>
        <v>1</v>
      </c>
    </row>
    <row r="163" spans="1:18" x14ac:dyDescent="0.3">
      <c r="A163" s="1" t="s">
        <v>632</v>
      </c>
      <c r="B163" s="1" t="b">
        <f t="shared" ref="B163:R163" si="78">ROUND(B33,2)=ROUND(SUM(B66,B99,B132),2)</f>
        <v>1</v>
      </c>
      <c r="C163" s="1" t="b">
        <f t="shared" si="78"/>
        <v>1</v>
      </c>
      <c r="D163" s="1" t="b">
        <f t="shared" si="78"/>
        <v>1</v>
      </c>
      <c r="E163" s="1" t="b">
        <f t="shared" si="78"/>
        <v>1</v>
      </c>
      <c r="F163" s="1" t="b">
        <f t="shared" si="78"/>
        <v>1</v>
      </c>
      <c r="G163" s="1" t="b">
        <f t="shared" si="78"/>
        <v>1</v>
      </c>
      <c r="H163" s="1" t="b">
        <f t="shared" si="78"/>
        <v>1</v>
      </c>
      <c r="I163" s="1" t="b">
        <f t="shared" si="78"/>
        <v>1</v>
      </c>
      <c r="J163" s="1" t="b">
        <f t="shared" si="78"/>
        <v>1</v>
      </c>
      <c r="K163" s="1" t="b">
        <f t="shared" si="78"/>
        <v>1</v>
      </c>
      <c r="L163" s="1" t="b">
        <f t="shared" si="78"/>
        <v>1</v>
      </c>
      <c r="M163" s="1" t="b">
        <f t="shared" si="78"/>
        <v>1</v>
      </c>
      <c r="N163" s="1" t="b">
        <f t="shared" si="78"/>
        <v>1</v>
      </c>
      <c r="O163" s="1" t="b">
        <f t="shared" si="78"/>
        <v>1</v>
      </c>
      <c r="P163" s="1" t="b">
        <f t="shared" si="78"/>
        <v>1</v>
      </c>
      <c r="Q163" s="1" t="b">
        <f t="shared" si="78"/>
        <v>1</v>
      </c>
      <c r="R163" s="1" t="b">
        <f t="shared" si="78"/>
        <v>1</v>
      </c>
    </row>
    <row r="164" spans="1:18" x14ac:dyDescent="0.3">
      <c r="A164" s="1" t="s">
        <v>631</v>
      </c>
      <c r="B164" s="1" t="b">
        <f t="shared" ref="B164:R164" si="79">ROUND(B34,2)=ROUND(SUM(B67,B100,B133),2)</f>
        <v>1</v>
      </c>
      <c r="C164" s="1" t="b">
        <f t="shared" si="79"/>
        <v>1</v>
      </c>
      <c r="D164" s="1" t="b">
        <f t="shared" si="79"/>
        <v>1</v>
      </c>
      <c r="E164" s="1" t="b">
        <f t="shared" si="79"/>
        <v>1</v>
      </c>
      <c r="F164" s="1" t="b">
        <f t="shared" si="79"/>
        <v>1</v>
      </c>
      <c r="G164" s="1" t="b">
        <f t="shared" si="79"/>
        <v>1</v>
      </c>
      <c r="H164" s="1" t="b">
        <f t="shared" si="79"/>
        <v>1</v>
      </c>
      <c r="I164" s="1" t="b">
        <f t="shared" si="79"/>
        <v>1</v>
      </c>
      <c r="J164" s="1" t="b">
        <f t="shared" si="79"/>
        <v>1</v>
      </c>
      <c r="K164" s="1" t="b">
        <f t="shared" si="79"/>
        <v>1</v>
      </c>
      <c r="L164" s="1" t="b">
        <f t="shared" si="79"/>
        <v>1</v>
      </c>
      <c r="M164" s="1" t="b">
        <f t="shared" si="79"/>
        <v>1</v>
      </c>
      <c r="N164" s="1" t="b">
        <f t="shared" si="79"/>
        <v>1</v>
      </c>
      <c r="O164" s="1" t="b">
        <f t="shared" si="79"/>
        <v>1</v>
      </c>
      <c r="P164" s="1" t="b">
        <f t="shared" si="79"/>
        <v>1</v>
      </c>
      <c r="Q164" s="1" t="b">
        <f t="shared" si="79"/>
        <v>1</v>
      </c>
      <c r="R164" s="1" t="b">
        <f t="shared" si="79"/>
        <v>1</v>
      </c>
    </row>
    <row r="165" spans="1:18" x14ac:dyDescent="0.3">
      <c r="A165" s="1" t="s">
        <v>630</v>
      </c>
      <c r="B165" s="1" t="b">
        <f t="shared" ref="B165:R165" si="80">ROUND(B35,2)=ROUND(SUM(B68,B101,B134),2)</f>
        <v>1</v>
      </c>
      <c r="C165" s="1" t="b">
        <f t="shared" si="80"/>
        <v>1</v>
      </c>
      <c r="D165" s="1" t="b">
        <f t="shared" si="80"/>
        <v>1</v>
      </c>
      <c r="E165" s="1" t="b">
        <f t="shared" si="80"/>
        <v>1</v>
      </c>
      <c r="F165" s="1" t="b">
        <f t="shared" si="80"/>
        <v>1</v>
      </c>
      <c r="G165" s="1" t="b">
        <f t="shared" si="80"/>
        <v>1</v>
      </c>
      <c r="H165" s="1" t="b">
        <f t="shared" si="80"/>
        <v>1</v>
      </c>
      <c r="I165" s="1" t="b">
        <f t="shared" si="80"/>
        <v>1</v>
      </c>
      <c r="J165" s="1" t="b">
        <f t="shared" si="80"/>
        <v>1</v>
      </c>
      <c r="K165" s="1" t="b">
        <f t="shared" si="80"/>
        <v>1</v>
      </c>
      <c r="L165" s="1" t="b">
        <f t="shared" si="80"/>
        <v>1</v>
      </c>
      <c r="M165" s="1" t="b">
        <f t="shared" si="80"/>
        <v>1</v>
      </c>
      <c r="N165" s="1" t="b">
        <f t="shared" si="80"/>
        <v>1</v>
      </c>
      <c r="O165" s="1" t="b">
        <f t="shared" si="80"/>
        <v>1</v>
      </c>
      <c r="P165" s="1" t="b">
        <f t="shared" si="80"/>
        <v>1</v>
      </c>
      <c r="Q165" s="1" t="b">
        <f t="shared" si="80"/>
        <v>1</v>
      </c>
      <c r="R165" s="1" t="b">
        <f t="shared" si="80"/>
        <v>1</v>
      </c>
    </row>
  </sheetData>
  <printOptions horizontalCentered="1" gridLines="1"/>
  <pageMargins left="0.19685039370078741" right="0.19685039370078741" top="0.98425196850393704" bottom="0.59055118110236227" header="0.19685039370078741" footer="0.19685039370078741"/>
  <pageSetup scale="60" fitToHeight="7"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36" max="17" man="1"/>
    <brk id="69" max="17" man="1"/>
    <brk id="102"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X229"/>
  <sheetViews>
    <sheetView view="pageBreakPreview" topLeftCell="A175" zoomScale="40" zoomScaleNormal="100" zoomScaleSheetLayoutView="40" workbookViewId="0">
      <selection activeCell="E21" sqref="E21"/>
    </sheetView>
  </sheetViews>
  <sheetFormatPr defaultColWidth="8.7109375" defaultRowHeight="13.5" x14ac:dyDescent="0.3"/>
  <cols>
    <col min="1" max="1" width="25.7109375" style="46" customWidth="1"/>
    <col min="2" max="18" width="7.7109375" style="46" customWidth="1"/>
    <col min="19" max="16384" width="8.7109375" style="46"/>
  </cols>
  <sheetData>
    <row r="1" spans="1:18" x14ac:dyDescent="0.3">
      <c r="A1" s="46" t="s">
        <v>486</v>
      </c>
    </row>
    <row r="2" spans="1:18" x14ac:dyDescent="0.3">
      <c r="A2" s="46" t="s">
        <v>484</v>
      </c>
    </row>
    <row r="4" spans="1:18" s="44" customFormat="1" x14ac:dyDescent="0.3">
      <c r="A4" s="44" t="s">
        <v>224</v>
      </c>
    </row>
    <row r="5" spans="1:18" s="55" customFormat="1" ht="54" x14ac:dyDescent="0.25">
      <c r="B5" s="50" t="str">
        <f t="array" ref="B5:Q5">TRANSPOSE(List_Functions)</f>
        <v>Generation</v>
      </c>
      <c r="C5" s="50" t="str">
        <v>Purchased Power</v>
      </c>
      <c r="D5" s="50" t="str">
        <v>Transmission</v>
      </c>
      <c r="E5" s="50" t="str">
        <v>Substations</v>
      </c>
      <c r="F5" s="50" t="str">
        <v>Primary Lines</v>
      </c>
      <c r="G5" s="50" t="str">
        <v>Transformers</v>
      </c>
      <c r="H5" s="50" t="str">
        <v>Secondary Lines</v>
      </c>
      <c r="I5" s="50" t="str">
        <v>Service Lines</v>
      </c>
      <c r="J5" s="50" t="str">
        <v>Meter Assets</v>
      </c>
      <c r="K5" s="50" t="str">
        <v>Meter Reading</v>
      </c>
      <c r="L5" s="50" t="str">
        <v>Billing</v>
      </c>
      <c r="M5" s="50" t="str">
        <v>Remittance &amp; Collection</v>
      </c>
      <c r="N5" s="50" t="str">
        <v>Uncollectibles &amp; Damage Claims</v>
      </c>
      <c r="O5" s="50" t="str">
        <v>Service Connections</v>
      </c>
      <c r="P5" s="50" t="str">
        <v>Late Payments</v>
      </c>
      <c r="Q5" s="50" t="str">
        <v>Lighting</v>
      </c>
      <c r="R5" s="50" t="s">
        <v>214</v>
      </c>
    </row>
    <row r="6" spans="1:18" x14ac:dyDescent="0.3">
      <c r="A6" s="46" t="s">
        <v>262</v>
      </c>
    </row>
    <row r="7" spans="1:18" x14ac:dyDescent="0.3">
      <c r="A7" s="47" t="s">
        <v>247</v>
      </c>
      <c r="B7" s="46">
        <f t="shared" ref="B7:K8" si="0">SUMIFS(RR_TB,RR_Reporting,$A7,RR_Function,B$5)</f>
        <v>1773261</v>
      </c>
      <c r="C7" s="46">
        <f t="shared" si="0"/>
        <v>148182414</v>
      </c>
      <c r="D7" s="46">
        <f t="shared" si="0"/>
        <v>7577539</v>
      </c>
      <c r="E7" s="46">
        <f t="shared" si="0"/>
        <v>0</v>
      </c>
      <c r="F7" s="46">
        <f t="shared" si="0"/>
        <v>0</v>
      </c>
      <c r="G7" s="46">
        <f t="shared" si="0"/>
        <v>0</v>
      </c>
      <c r="H7" s="46">
        <f t="shared" si="0"/>
        <v>0</v>
      </c>
      <c r="I7" s="46">
        <f t="shared" si="0"/>
        <v>0</v>
      </c>
      <c r="J7" s="46">
        <f t="shared" si="0"/>
        <v>0</v>
      </c>
      <c r="K7" s="46">
        <f t="shared" si="0"/>
        <v>0</v>
      </c>
      <c r="L7" s="46">
        <f t="shared" ref="L7:Q8" si="1">SUMIFS(RR_TB,RR_Reporting,$A7,RR_Function,L$5)</f>
        <v>0</v>
      </c>
      <c r="M7" s="46">
        <f t="shared" si="1"/>
        <v>0</v>
      </c>
      <c r="N7" s="46">
        <f t="shared" si="1"/>
        <v>0</v>
      </c>
      <c r="O7" s="46">
        <f t="shared" si="1"/>
        <v>0</v>
      </c>
      <c r="P7" s="46">
        <f t="shared" si="1"/>
        <v>0</v>
      </c>
      <c r="Q7" s="46">
        <f t="shared" si="1"/>
        <v>0</v>
      </c>
      <c r="R7" s="46">
        <f>SUM(B7:Q7)</f>
        <v>157533214</v>
      </c>
    </row>
    <row r="8" spans="1:18" x14ac:dyDescent="0.3">
      <c r="A8" s="47" t="s">
        <v>248</v>
      </c>
      <c r="B8" s="46">
        <f t="shared" si="0"/>
        <v>0</v>
      </c>
      <c r="C8" s="46">
        <f t="shared" si="0"/>
        <v>-8641284</v>
      </c>
      <c r="D8" s="46">
        <f t="shared" si="0"/>
        <v>0</v>
      </c>
      <c r="E8" s="46">
        <f t="shared" si="0"/>
        <v>0</v>
      </c>
      <c r="F8" s="46">
        <f t="shared" si="0"/>
        <v>0</v>
      </c>
      <c r="G8" s="46">
        <f t="shared" si="0"/>
        <v>0</v>
      </c>
      <c r="H8" s="46">
        <f t="shared" si="0"/>
        <v>0</v>
      </c>
      <c r="I8" s="46">
        <f t="shared" si="0"/>
        <v>0</v>
      </c>
      <c r="J8" s="46">
        <f t="shared" si="0"/>
        <v>0</v>
      </c>
      <c r="K8" s="46">
        <f t="shared" si="0"/>
        <v>0</v>
      </c>
      <c r="L8" s="46">
        <f t="shared" si="1"/>
        <v>0</v>
      </c>
      <c r="M8" s="46">
        <f t="shared" si="1"/>
        <v>0</v>
      </c>
      <c r="N8" s="46">
        <f t="shared" si="1"/>
        <v>0</v>
      </c>
      <c r="O8" s="46">
        <f t="shared" si="1"/>
        <v>0</v>
      </c>
      <c r="P8" s="46">
        <f t="shared" si="1"/>
        <v>0</v>
      </c>
      <c r="Q8" s="46">
        <f t="shared" si="1"/>
        <v>0</v>
      </c>
      <c r="R8" s="46">
        <f>SUM(B8:Q8)</f>
        <v>-8641284</v>
      </c>
    </row>
    <row r="9" spans="1:18" x14ac:dyDescent="0.3">
      <c r="A9" s="47" t="s">
        <v>249</v>
      </c>
      <c r="B9" s="46">
        <f>SUBTOTAL(9,B7:B8)</f>
        <v>1773261</v>
      </c>
      <c r="C9" s="46">
        <f t="shared" ref="C9:R9" si="2">SUBTOTAL(9,C7:C8)</f>
        <v>139541130</v>
      </c>
      <c r="D9" s="46">
        <f t="shared" si="2"/>
        <v>7577539</v>
      </c>
      <c r="E9" s="46">
        <f t="shared" si="2"/>
        <v>0</v>
      </c>
      <c r="F9" s="46">
        <f t="shared" si="2"/>
        <v>0</v>
      </c>
      <c r="G9" s="46">
        <f t="shared" si="2"/>
        <v>0</v>
      </c>
      <c r="H9" s="46">
        <f t="shared" si="2"/>
        <v>0</v>
      </c>
      <c r="I9" s="46">
        <f t="shared" si="2"/>
        <v>0</v>
      </c>
      <c r="J9" s="46">
        <f t="shared" si="2"/>
        <v>0</v>
      </c>
      <c r="K9" s="46">
        <f t="shared" si="2"/>
        <v>0</v>
      </c>
      <c r="L9" s="46">
        <f t="shared" si="2"/>
        <v>0</v>
      </c>
      <c r="M9" s="46">
        <f t="shared" si="2"/>
        <v>0</v>
      </c>
      <c r="N9" s="46">
        <f t="shared" si="2"/>
        <v>0</v>
      </c>
      <c r="O9" s="46">
        <f t="shared" si="2"/>
        <v>0</v>
      </c>
      <c r="P9" s="46">
        <f t="shared" si="2"/>
        <v>0</v>
      </c>
      <c r="Q9" s="46">
        <f t="shared" si="2"/>
        <v>0</v>
      </c>
      <c r="R9" s="46">
        <f t="shared" si="2"/>
        <v>148891930</v>
      </c>
    </row>
    <row r="10" spans="1:18" x14ac:dyDescent="0.3">
      <c r="A10" s="47" t="s">
        <v>124</v>
      </c>
      <c r="B10" s="46">
        <f t="shared" ref="B10:K14" si="3">SUMIFS(RR_TB,RR_Reporting,$A10,RR_Function,B$5)</f>
        <v>0</v>
      </c>
      <c r="C10" s="46">
        <f t="shared" si="3"/>
        <v>0</v>
      </c>
      <c r="D10" s="46">
        <f t="shared" si="3"/>
        <v>0</v>
      </c>
      <c r="E10" s="46">
        <f t="shared" si="3"/>
        <v>284650</v>
      </c>
      <c r="F10" s="46">
        <f t="shared" si="3"/>
        <v>0</v>
      </c>
      <c r="G10" s="46">
        <f t="shared" si="3"/>
        <v>829483</v>
      </c>
      <c r="H10" s="46">
        <f t="shared" si="3"/>
        <v>0</v>
      </c>
      <c r="I10" s="46">
        <f t="shared" si="3"/>
        <v>0</v>
      </c>
      <c r="J10" s="46">
        <f t="shared" si="3"/>
        <v>230530</v>
      </c>
      <c r="K10" s="46">
        <f>SUMIFS(RR_TB,RR_Reporting,$A10,RR_Function,K$5)</f>
        <v>0</v>
      </c>
      <c r="L10" s="46">
        <f t="shared" ref="L10:Q14" si="4">SUMIFS(RR_TB,RR_Reporting,$A10,RR_Function,L$5)</f>
        <v>0</v>
      </c>
      <c r="M10" s="46">
        <f t="shared" si="4"/>
        <v>0</v>
      </c>
      <c r="N10" s="46">
        <f t="shared" si="4"/>
        <v>0</v>
      </c>
      <c r="O10" s="46">
        <f t="shared" si="4"/>
        <v>0</v>
      </c>
      <c r="P10" s="46">
        <f t="shared" si="4"/>
        <v>0</v>
      </c>
      <c r="Q10" s="46">
        <f t="shared" si="4"/>
        <v>0</v>
      </c>
      <c r="R10" s="46">
        <f>SUM(B10:Q10)</f>
        <v>1344663</v>
      </c>
    </row>
    <row r="11" spans="1:18" x14ac:dyDescent="0.3">
      <c r="A11" s="47" t="s">
        <v>12</v>
      </c>
      <c r="B11" s="46">
        <f t="shared" si="3"/>
        <v>0</v>
      </c>
      <c r="C11" s="46">
        <f t="shared" si="3"/>
        <v>0</v>
      </c>
      <c r="D11" s="46">
        <f t="shared" si="3"/>
        <v>1795035</v>
      </c>
      <c r="E11" s="46">
        <f t="shared" si="3"/>
        <v>0</v>
      </c>
      <c r="F11" s="46">
        <f t="shared" si="3"/>
        <v>0</v>
      </c>
      <c r="G11" s="46">
        <f t="shared" si="3"/>
        <v>0</v>
      </c>
      <c r="H11" s="46">
        <f t="shared" si="3"/>
        <v>0</v>
      </c>
      <c r="I11" s="46">
        <f t="shared" si="3"/>
        <v>0</v>
      </c>
      <c r="J11" s="46">
        <f t="shared" si="3"/>
        <v>0</v>
      </c>
      <c r="K11" s="46">
        <f t="shared" si="3"/>
        <v>0</v>
      </c>
      <c r="L11" s="46">
        <f t="shared" si="4"/>
        <v>0</v>
      </c>
      <c r="M11" s="46">
        <f t="shared" si="4"/>
        <v>0</v>
      </c>
      <c r="N11" s="46">
        <f t="shared" si="4"/>
        <v>0</v>
      </c>
      <c r="O11" s="46">
        <f t="shared" si="4"/>
        <v>0</v>
      </c>
      <c r="P11" s="46">
        <f t="shared" si="4"/>
        <v>0</v>
      </c>
      <c r="Q11" s="46">
        <f t="shared" si="4"/>
        <v>0</v>
      </c>
      <c r="R11" s="46">
        <f>SUM(B11:Q11)</f>
        <v>1795035</v>
      </c>
    </row>
    <row r="12" spans="1:18" x14ac:dyDescent="0.3">
      <c r="A12" s="47" t="s">
        <v>250</v>
      </c>
      <c r="B12" s="46">
        <f t="shared" si="3"/>
        <v>0</v>
      </c>
      <c r="C12" s="46">
        <f t="shared" si="3"/>
        <v>0</v>
      </c>
      <c r="D12" s="46">
        <f t="shared" si="3"/>
        <v>0</v>
      </c>
      <c r="E12" s="46">
        <f t="shared" si="3"/>
        <v>306267</v>
      </c>
      <c r="F12" s="46">
        <f t="shared" si="3"/>
        <v>0</v>
      </c>
      <c r="G12" s="46">
        <f t="shared" si="3"/>
        <v>0</v>
      </c>
      <c r="H12" s="46">
        <f t="shared" si="3"/>
        <v>0</v>
      </c>
      <c r="I12" s="46">
        <f t="shared" si="3"/>
        <v>0</v>
      </c>
      <c r="J12" s="46">
        <f t="shared" si="3"/>
        <v>0</v>
      </c>
      <c r="K12" s="46">
        <f t="shared" si="3"/>
        <v>0</v>
      </c>
      <c r="L12" s="46">
        <f t="shared" si="4"/>
        <v>0</v>
      </c>
      <c r="M12" s="46">
        <f t="shared" si="4"/>
        <v>0</v>
      </c>
      <c r="N12" s="46">
        <f t="shared" si="4"/>
        <v>0</v>
      </c>
      <c r="O12" s="46">
        <f t="shared" si="4"/>
        <v>0</v>
      </c>
      <c r="P12" s="46">
        <f t="shared" si="4"/>
        <v>0</v>
      </c>
      <c r="Q12" s="46">
        <f t="shared" si="4"/>
        <v>0</v>
      </c>
      <c r="R12" s="46">
        <f>SUM(B12:Q12)</f>
        <v>306267</v>
      </c>
    </row>
    <row r="13" spans="1:18" x14ac:dyDescent="0.3">
      <c r="A13" s="47" t="s">
        <v>251</v>
      </c>
      <c r="B13" s="46">
        <f t="shared" si="3"/>
        <v>0</v>
      </c>
      <c r="C13" s="46">
        <f t="shared" si="3"/>
        <v>0</v>
      </c>
      <c r="D13" s="46">
        <f t="shared" si="3"/>
        <v>292618</v>
      </c>
      <c r="E13" s="46">
        <f t="shared" si="3"/>
        <v>0</v>
      </c>
      <c r="F13" s="46">
        <f t="shared" si="3"/>
        <v>0</v>
      </c>
      <c r="G13" s="46">
        <f t="shared" si="3"/>
        <v>0</v>
      </c>
      <c r="H13" s="46">
        <f t="shared" si="3"/>
        <v>0</v>
      </c>
      <c r="I13" s="46">
        <f t="shared" si="3"/>
        <v>0</v>
      </c>
      <c r="J13" s="46">
        <f t="shared" si="3"/>
        <v>0</v>
      </c>
      <c r="K13" s="46">
        <f t="shared" si="3"/>
        <v>0</v>
      </c>
      <c r="L13" s="46">
        <f t="shared" si="4"/>
        <v>0</v>
      </c>
      <c r="M13" s="46">
        <f t="shared" si="4"/>
        <v>0</v>
      </c>
      <c r="N13" s="46">
        <f t="shared" si="4"/>
        <v>0</v>
      </c>
      <c r="O13" s="46">
        <f t="shared" si="4"/>
        <v>0</v>
      </c>
      <c r="P13" s="46">
        <f t="shared" si="4"/>
        <v>0</v>
      </c>
      <c r="Q13" s="46">
        <f t="shared" si="4"/>
        <v>0</v>
      </c>
      <c r="R13" s="46">
        <f>SUM(B13:Q13)</f>
        <v>292618</v>
      </c>
    </row>
    <row r="14" spans="1:18" x14ac:dyDescent="0.3">
      <c r="A14" s="47" t="s">
        <v>252</v>
      </c>
      <c r="B14" s="46">
        <f t="shared" si="3"/>
        <v>0</v>
      </c>
      <c r="C14" s="46">
        <f t="shared" si="3"/>
        <v>0</v>
      </c>
      <c r="D14" s="46">
        <f t="shared" si="3"/>
        <v>0</v>
      </c>
      <c r="E14" s="46">
        <f t="shared" si="3"/>
        <v>0</v>
      </c>
      <c r="F14" s="46">
        <f t="shared" si="3"/>
        <v>0</v>
      </c>
      <c r="G14" s="46">
        <f t="shared" si="3"/>
        <v>0</v>
      </c>
      <c r="H14" s="46">
        <f t="shared" si="3"/>
        <v>0</v>
      </c>
      <c r="I14" s="46">
        <f t="shared" si="3"/>
        <v>0</v>
      </c>
      <c r="J14" s="46">
        <f t="shared" si="3"/>
        <v>0</v>
      </c>
      <c r="K14" s="46">
        <f t="shared" si="3"/>
        <v>491235</v>
      </c>
      <c r="L14" s="46">
        <f t="shared" si="4"/>
        <v>541926</v>
      </c>
      <c r="M14" s="46">
        <f t="shared" si="4"/>
        <v>0</v>
      </c>
      <c r="N14" s="46">
        <f t="shared" si="4"/>
        <v>158008</v>
      </c>
      <c r="O14" s="46">
        <f t="shared" si="4"/>
        <v>0</v>
      </c>
      <c r="P14" s="46">
        <f t="shared" si="4"/>
        <v>0</v>
      </c>
      <c r="Q14" s="46">
        <f t="shared" si="4"/>
        <v>0</v>
      </c>
      <c r="R14" s="46">
        <f>SUM(B14:Q14)</f>
        <v>1191169</v>
      </c>
    </row>
    <row r="15" spans="1:18" x14ac:dyDescent="0.3">
      <c r="A15" s="47" t="s">
        <v>253</v>
      </c>
      <c r="B15" s="46">
        <f t="shared" ref="B15:R15" si="5">SUBTOTAL(9,B6:B14)</f>
        <v>1773261</v>
      </c>
      <c r="C15" s="46">
        <f t="shared" si="5"/>
        <v>139541130</v>
      </c>
      <c r="D15" s="46">
        <f t="shared" si="5"/>
        <v>9665192</v>
      </c>
      <c r="E15" s="46">
        <f t="shared" si="5"/>
        <v>590917</v>
      </c>
      <c r="F15" s="46">
        <f t="shared" si="5"/>
        <v>0</v>
      </c>
      <c r="G15" s="46">
        <f t="shared" si="5"/>
        <v>829483</v>
      </c>
      <c r="H15" s="46">
        <f t="shared" si="5"/>
        <v>0</v>
      </c>
      <c r="I15" s="46">
        <f t="shared" si="5"/>
        <v>0</v>
      </c>
      <c r="J15" s="46">
        <f t="shared" si="5"/>
        <v>230530</v>
      </c>
      <c r="K15" s="46">
        <f t="shared" si="5"/>
        <v>491235</v>
      </c>
      <c r="L15" s="46">
        <f t="shared" si="5"/>
        <v>541926</v>
      </c>
      <c r="M15" s="46">
        <f t="shared" si="5"/>
        <v>0</v>
      </c>
      <c r="N15" s="46">
        <f t="shared" si="5"/>
        <v>158008</v>
      </c>
      <c r="O15" s="46">
        <f t="shared" si="5"/>
        <v>0</v>
      </c>
      <c r="P15" s="46">
        <f t="shared" si="5"/>
        <v>0</v>
      </c>
      <c r="Q15" s="46">
        <f t="shared" si="5"/>
        <v>0</v>
      </c>
      <c r="R15" s="46">
        <f t="shared" si="5"/>
        <v>153821682</v>
      </c>
    </row>
    <row r="16" spans="1:18" x14ac:dyDescent="0.3">
      <c r="A16" s="48" t="s">
        <v>138</v>
      </c>
    </row>
    <row r="17" spans="1:18" x14ac:dyDescent="0.3">
      <c r="A17" s="47" t="s">
        <v>479</v>
      </c>
      <c r="B17" s="46">
        <f>SUMIFS(RR_TB,RR_Reporting,$A17,RR_Function,B$5)</f>
        <v>0</v>
      </c>
      <c r="C17" s="46">
        <f t="shared" ref="B17:K19" si="6">SUMIFS(RR_TB,RR_Reporting,$A17,RR_Function,C$5)</f>
        <v>93400</v>
      </c>
      <c r="D17" s="46">
        <f t="shared" si="6"/>
        <v>0</v>
      </c>
      <c r="E17" s="46">
        <f t="shared" si="6"/>
        <v>0</v>
      </c>
      <c r="F17" s="46">
        <f t="shared" si="6"/>
        <v>0</v>
      </c>
      <c r="G17" s="46">
        <f t="shared" si="6"/>
        <v>0</v>
      </c>
      <c r="H17" s="46">
        <f t="shared" si="6"/>
        <v>0</v>
      </c>
      <c r="I17" s="46">
        <f t="shared" si="6"/>
        <v>0</v>
      </c>
      <c r="J17" s="46">
        <f t="shared" si="6"/>
        <v>0</v>
      </c>
      <c r="K17" s="46">
        <f t="shared" si="6"/>
        <v>0</v>
      </c>
      <c r="L17" s="46">
        <f t="shared" ref="L17:Q19" si="7">SUMIFS(RR_TB,RR_Reporting,$A17,RR_Function,L$5)</f>
        <v>0</v>
      </c>
      <c r="M17" s="46">
        <f t="shared" si="7"/>
        <v>0</v>
      </c>
      <c r="N17" s="46">
        <f t="shared" si="7"/>
        <v>0</v>
      </c>
      <c r="O17" s="46">
        <f t="shared" si="7"/>
        <v>0</v>
      </c>
      <c r="P17" s="46">
        <f t="shared" si="7"/>
        <v>0</v>
      </c>
      <c r="Q17" s="46">
        <f t="shared" si="7"/>
        <v>0</v>
      </c>
      <c r="R17" s="46">
        <f>SUM(B17:Q17)</f>
        <v>93400</v>
      </c>
    </row>
    <row r="18" spans="1:18" x14ac:dyDescent="0.3">
      <c r="A18" s="47" t="s">
        <v>725</v>
      </c>
      <c r="B18" s="46">
        <f>SUMIFS(RR_TB,RR_Reporting,$A18,RR_Function,B$5)</f>
        <v>2134453</v>
      </c>
      <c r="C18" s="46">
        <f t="shared" si="6"/>
        <v>0</v>
      </c>
      <c r="D18" s="46">
        <f t="shared" si="6"/>
        <v>0</v>
      </c>
      <c r="E18" s="46">
        <f t="shared" si="6"/>
        <v>0</v>
      </c>
      <c r="F18" s="46">
        <f t="shared" si="6"/>
        <v>0</v>
      </c>
      <c r="G18" s="46">
        <f t="shared" si="6"/>
        <v>0</v>
      </c>
      <c r="H18" s="46">
        <f t="shared" si="6"/>
        <v>0</v>
      </c>
      <c r="I18" s="46">
        <f t="shared" si="6"/>
        <v>0</v>
      </c>
      <c r="J18" s="46">
        <f t="shared" si="6"/>
        <v>0</v>
      </c>
      <c r="K18" s="46">
        <f t="shared" si="6"/>
        <v>0</v>
      </c>
      <c r="L18" s="46">
        <f t="shared" si="7"/>
        <v>0</v>
      </c>
      <c r="M18" s="46">
        <f t="shared" si="7"/>
        <v>0</v>
      </c>
      <c r="N18" s="46">
        <f t="shared" si="7"/>
        <v>0</v>
      </c>
      <c r="O18" s="46">
        <f t="shared" si="7"/>
        <v>0</v>
      </c>
      <c r="P18" s="46">
        <f t="shared" si="7"/>
        <v>0</v>
      </c>
      <c r="Q18" s="46">
        <f t="shared" si="7"/>
        <v>0</v>
      </c>
      <c r="R18" s="46">
        <f>SUM(B18:Q18)</f>
        <v>2134453</v>
      </c>
    </row>
    <row r="19" spans="1:18" x14ac:dyDescent="0.3">
      <c r="A19" s="47" t="s">
        <v>480</v>
      </c>
      <c r="B19" s="46">
        <f t="shared" si="6"/>
        <v>0</v>
      </c>
      <c r="C19" s="46">
        <f t="shared" si="6"/>
        <v>0</v>
      </c>
      <c r="D19" s="46">
        <f t="shared" si="6"/>
        <v>0</v>
      </c>
      <c r="E19" s="46">
        <f t="shared" si="6"/>
        <v>0</v>
      </c>
      <c r="F19" s="46">
        <f t="shared" si="6"/>
        <v>0</v>
      </c>
      <c r="G19" s="46">
        <f t="shared" si="6"/>
        <v>0</v>
      </c>
      <c r="H19" s="46">
        <f t="shared" si="6"/>
        <v>0</v>
      </c>
      <c r="I19" s="46">
        <f t="shared" si="6"/>
        <v>0</v>
      </c>
      <c r="J19" s="46">
        <f t="shared" si="6"/>
        <v>0</v>
      </c>
      <c r="K19" s="46">
        <f t="shared" si="6"/>
        <v>0</v>
      </c>
      <c r="L19" s="46">
        <f t="shared" si="7"/>
        <v>0</v>
      </c>
      <c r="M19" s="46">
        <f t="shared" si="7"/>
        <v>0</v>
      </c>
      <c r="N19" s="46">
        <f t="shared" si="7"/>
        <v>0</v>
      </c>
      <c r="O19" s="46">
        <f t="shared" si="7"/>
        <v>0</v>
      </c>
      <c r="P19" s="46">
        <f t="shared" si="7"/>
        <v>0</v>
      </c>
      <c r="Q19" s="46">
        <f t="shared" si="7"/>
        <v>0</v>
      </c>
      <c r="R19" s="46">
        <f>SUM(B19:Q19)</f>
        <v>0</v>
      </c>
    </row>
    <row r="20" spans="1:18" x14ac:dyDescent="0.3">
      <c r="A20" s="47" t="s">
        <v>254</v>
      </c>
      <c r="B20" s="46">
        <f>SUBTOTAL(9,B16:B19)</f>
        <v>2134453</v>
      </c>
      <c r="C20" s="46">
        <f>SUBTOTAL(9,C16:C19)</f>
        <v>93400</v>
      </c>
      <c r="D20" s="46">
        <f>SUBTOTAL(9,D16:D19)</f>
        <v>0</v>
      </c>
      <c r="E20" s="46">
        <f>SUBTOTAL(9,E16:E19)</f>
        <v>0</v>
      </c>
      <c r="F20" s="46">
        <f>SUBTOTAL(9,F16:F19)</f>
        <v>0</v>
      </c>
      <c r="G20" s="46">
        <f>SUBTOTAL(9,G16:G19)</f>
        <v>0</v>
      </c>
      <c r="H20" s="46">
        <f>SUBTOTAL(9,H16:H19)</f>
        <v>0</v>
      </c>
      <c r="I20" s="46">
        <f>SUBTOTAL(9,I16:I19)</f>
        <v>0</v>
      </c>
      <c r="J20" s="46">
        <f>SUBTOTAL(9,J16:J19)</f>
        <v>0</v>
      </c>
      <c r="K20" s="46">
        <f>SUBTOTAL(9,K16:K19)</f>
        <v>0</v>
      </c>
      <c r="L20" s="46">
        <f>SUBTOTAL(9,L16:L19)</f>
        <v>0</v>
      </c>
      <c r="M20" s="46">
        <f>SUBTOTAL(9,M16:M19)</f>
        <v>0</v>
      </c>
      <c r="N20" s="46">
        <f>SUBTOTAL(9,N16:N19)</f>
        <v>0</v>
      </c>
      <c r="O20" s="46">
        <f>SUBTOTAL(9,O16:O19)</f>
        <v>0</v>
      </c>
      <c r="P20" s="46">
        <f>SUBTOTAL(9,P16:P19)</f>
        <v>0</v>
      </c>
      <c r="Q20" s="46">
        <f>SUBTOTAL(9,Q16:Q19)</f>
        <v>0</v>
      </c>
      <c r="R20" s="46">
        <f>SUBTOTAL(9,R16:R19)</f>
        <v>2227853</v>
      </c>
    </row>
    <row r="21" spans="1:18" x14ac:dyDescent="0.3">
      <c r="A21" s="46" t="s">
        <v>263</v>
      </c>
      <c r="B21" s="46">
        <f>SUBTOTAL(9,B6:B20)</f>
        <v>3907714</v>
      </c>
      <c r="C21" s="46">
        <f>SUBTOTAL(9,C6:C20)</f>
        <v>139634530</v>
      </c>
      <c r="D21" s="46">
        <f>SUBTOTAL(9,D6:D20)</f>
        <v>9665192</v>
      </c>
      <c r="E21" s="46">
        <f>SUBTOTAL(9,E6:E20)</f>
        <v>590917</v>
      </c>
      <c r="F21" s="46">
        <f>SUBTOTAL(9,F6:F20)</f>
        <v>0</v>
      </c>
      <c r="G21" s="46">
        <f>SUBTOTAL(9,G6:G20)</f>
        <v>829483</v>
      </c>
      <c r="H21" s="46">
        <f>SUBTOTAL(9,H6:H20)</f>
        <v>0</v>
      </c>
      <c r="I21" s="46">
        <f>SUBTOTAL(9,I6:I20)</f>
        <v>0</v>
      </c>
      <c r="J21" s="46">
        <f>SUBTOTAL(9,J6:J20)</f>
        <v>230530</v>
      </c>
      <c r="K21" s="46">
        <f>SUBTOTAL(9,K6:K20)</f>
        <v>491235</v>
      </c>
      <c r="L21" s="46">
        <f>SUBTOTAL(9,L6:L20)</f>
        <v>541926</v>
      </c>
      <c r="M21" s="46">
        <f>SUBTOTAL(9,M6:M20)</f>
        <v>0</v>
      </c>
      <c r="N21" s="46">
        <f>SUBTOTAL(9,N6:N20)</f>
        <v>158008</v>
      </c>
      <c r="O21" s="46">
        <f>SUBTOTAL(9,O6:O20)</f>
        <v>0</v>
      </c>
      <c r="P21" s="46">
        <f>SUBTOTAL(9,P6:P20)</f>
        <v>0</v>
      </c>
      <c r="Q21" s="46">
        <f>SUBTOTAL(9,Q6:Q20)</f>
        <v>0</v>
      </c>
      <c r="R21" s="46">
        <f>SUBTOTAL(9,R6:R20)</f>
        <v>156049535</v>
      </c>
    </row>
    <row r="22" spans="1:18" x14ac:dyDescent="0.3">
      <c r="A22" s="46" t="s">
        <v>246</v>
      </c>
    </row>
    <row r="23" spans="1:18" x14ac:dyDescent="0.3">
      <c r="A23" s="47" t="s">
        <v>255</v>
      </c>
      <c r="B23" s="46">
        <f t="shared" ref="B23:Q27" si="8">SUMIFS(RR_TB,RR_Reporting,$A23,RR_Function,B$5)</f>
        <v>0</v>
      </c>
      <c r="C23" s="46">
        <f t="shared" si="8"/>
        <v>0</v>
      </c>
      <c r="D23" s="46">
        <f t="shared" si="8"/>
        <v>0</v>
      </c>
      <c r="E23" s="46">
        <f t="shared" si="8"/>
        <v>0</v>
      </c>
      <c r="F23" s="46">
        <f t="shared" si="8"/>
        <v>0</v>
      </c>
      <c r="G23" s="46">
        <f t="shared" si="8"/>
        <v>0</v>
      </c>
      <c r="H23" s="46">
        <f t="shared" si="8"/>
        <v>0</v>
      </c>
      <c r="I23" s="46">
        <f t="shared" si="8"/>
        <v>0</v>
      </c>
      <c r="J23" s="46">
        <f t="shared" si="8"/>
        <v>0</v>
      </c>
      <c r="K23" s="46">
        <f t="shared" si="8"/>
        <v>0</v>
      </c>
      <c r="L23" s="46">
        <f t="shared" ref="L23:Q27" si="9">SUMIFS(RR_TB,RR_Reporting,$A23,RR_Function,L$5)</f>
        <v>0</v>
      </c>
      <c r="M23" s="46">
        <f t="shared" si="9"/>
        <v>0</v>
      </c>
      <c r="N23" s="46">
        <f t="shared" si="9"/>
        <v>0</v>
      </c>
      <c r="O23" s="46">
        <f t="shared" si="9"/>
        <v>0</v>
      </c>
      <c r="P23" s="46">
        <f t="shared" si="9"/>
        <v>0</v>
      </c>
      <c r="Q23" s="46">
        <f t="shared" si="9"/>
        <v>0</v>
      </c>
      <c r="R23" s="46">
        <f>SUM(B23:Q23)</f>
        <v>0</v>
      </c>
    </row>
    <row r="24" spans="1:18" x14ac:dyDescent="0.3">
      <c r="A24" s="47" t="s">
        <v>256</v>
      </c>
      <c r="B24" s="46">
        <f t="shared" si="8"/>
        <v>0</v>
      </c>
      <c r="C24" s="46">
        <f t="shared" si="8"/>
        <v>0</v>
      </c>
      <c r="D24" s="46">
        <f t="shared" si="8"/>
        <v>0</v>
      </c>
      <c r="E24" s="46">
        <f t="shared" si="8"/>
        <v>0</v>
      </c>
      <c r="F24" s="46">
        <f t="shared" si="8"/>
        <v>0</v>
      </c>
      <c r="G24" s="46">
        <f t="shared" si="8"/>
        <v>0</v>
      </c>
      <c r="H24" s="46">
        <f t="shared" si="8"/>
        <v>0</v>
      </c>
      <c r="I24" s="46">
        <f t="shared" si="8"/>
        <v>0</v>
      </c>
      <c r="J24" s="46">
        <f t="shared" si="8"/>
        <v>0</v>
      </c>
      <c r="K24" s="46">
        <f t="shared" si="8"/>
        <v>0</v>
      </c>
      <c r="L24" s="46">
        <f t="shared" si="9"/>
        <v>0</v>
      </c>
      <c r="M24" s="46">
        <f t="shared" si="9"/>
        <v>0</v>
      </c>
      <c r="N24" s="46">
        <f t="shared" si="9"/>
        <v>0</v>
      </c>
      <c r="O24" s="46">
        <f t="shared" si="9"/>
        <v>0</v>
      </c>
      <c r="P24" s="46">
        <f t="shared" si="9"/>
        <v>0</v>
      </c>
      <c r="Q24" s="46">
        <f t="shared" si="9"/>
        <v>0</v>
      </c>
      <c r="R24" s="46">
        <f>SUM(B24:Q24)</f>
        <v>0</v>
      </c>
    </row>
    <row r="25" spans="1:18" x14ac:dyDescent="0.3">
      <c r="A25" s="47" t="s">
        <v>257</v>
      </c>
      <c r="B25" s="46">
        <f t="shared" si="8"/>
        <v>0</v>
      </c>
      <c r="C25" s="46">
        <f t="shared" si="8"/>
        <v>0</v>
      </c>
      <c r="D25" s="46">
        <f t="shared" si="8"/>
        <v>0</v>
      </c>
      <c r="E25" s="46">
        <f t="shared" si="8"/>
        <v>0</v>
      </c>
      <c r="F25" s="46">
        <f t="shared" si="8"/>
        <v>0</v>
      </c>
      <c r="G25" s="46">
        <f t="shared" si="8"/>
        <v>0</v>
      </c>
      <c r="H25" s="46">
        <f t="shared" si="8"/>
        <v>0</v>
      </c>
      <c r="I25" s="46">
        <f t="shared" si="8"/>
        <v>0</v>
      </c>
      <c r="J25" s="46">
        <f t="shared" si="8"/>
        <v>0</v>
      </c>
      <c r="K25" s="46">
        <f t="shared" si="8"/>
        <v>0</v>
      </c>
      <c r="L25" s="46">
        <f t="shared" si="9"/>
        <v>0</v>
      </c>
      <c r="M25" s="46">
        <f t="shared" si="9"/>
        <v>0</v>
      </c>
      <c r="N25" s="46">
        <f t="shared" si="9"/>
        <v>0</v>
      </c>
      <c r="O25" s="46">
        <f t="shared" si="9"/>
        <v>0</v>
      </c>
      <c r="P25" s="46">
        <f t="shared" si="9"/>
        <v>0</v>
      </c>
      <c r="Q25" s="46">
        <f t="shared" si="9"/>
        <v>0</v>
      </c>
      <c r="R25" s="46">
        <f>SUM(B25:Q25)</f>
        <v>0</v>
      </c>
    </row>
    <row r="26" spans="1:18" x14ac:dyDescent="0.3">
      <c r="A26" s="47" t="s">
        <v>728</v>
      </c>
      <c r="B26" s="46">
        <f t="shared" si="8"/>
        <v>0</v>
      </c>
      <c r="C26" s="46">
        <f t="shared" si="8"/>
        <v>0</v>
      </c>
      <c r="D26" s="46">
        <f t="shared" si="8"/>
        <v>0</v>
      </c>
      <c r="E26" s="46">
        <f t="shared" si="8"/>
        <v>0</v>
      </c>
      <c r="F26" s="46">
        <f t="shared" si="8"/>
        <v>0</v>
      </c>
      <c r="G26" s="46">
        <f t="shared" si="8"/>
        <v>0</v>
      </c>
      <c r="H26" s="46">
        <f t="shared" si="8"/>
        <v>0</v>
      </c>
      <c r="I26" s="46">
        <f t="shared" si="8"/>
        <v>0</v>
      </c>
      <c r="J26" s="46">
        <f t="shared" si="8"/>
        <v>0</v>
      </c>
      <c r="K26" s="46">
        <f t="shared" si="8"/>
        <v>0</v>
      </c>
      <c r="L26" s="46">
        <f t="shared" si="8"/>
        <v>0</v>
      </c>
      <c r="M26" s="46">
        <f t="shared" si="8"/>
        <v>0</v>
      </c>
      <c r="N26" s="46">
        <f t="shared" si="8"/>
        <v>0</v>
      </c>
      <c r="O26" s="46">
        <f t="shared" si="8"/>
        <v>0</v>
      </c>
      <c r="P26" s="46">
        <f t="shared" si="8"/>
        <v>0</v>
      </c>
      <c r="Q26" s="46">
        <f t="shared" si="8"/>
        <v>0</v>
      </c>
      <c r="R26" s="46">
        <f>SUM(B26:Q26)</f>
        <v>0</v>
      </c>
    </row>
    <row r="27" spans="1:18" x14ac:dyDescent="0.3">
      <c r="A27" s="47" t="s">
        <v>258</v>
      </c>
      <c r="B27" s="46">
        <f t="shared" si="8"/>
        <v>0</v>
      </c>
      <c r="C27" s="46">
        <f t="shared" si="8"/>
        <v>0</v>
      </c>
      <c r="D27" s="46">
        <f t="shared" si="8"/>
        <v>0</v>
      </c>
      <c r="E27" s="46">
        <f t="shared" si="8"/>
        <v>0</v>
      </c>
      <c r="F27" s="46">
        <f t="shared" si="8"/>
        <v>0</v>
      </c>
      <c r="G27" s="46">
        <f t="shared" si="8"/>
        <v>0</v>
      </c>
      <c r="H27" s="46">
        <f t="shared" si="8"/>
        <v>0</v>
      </c>
      <c r="I27" s="46">
        <f t="shared" si="8"/>
        <v>0</v>
      </c>
      <c r="J27" s="46">
        <f t="shared" si="8"/>
        <v>0</v>
      </c>
      <c r="K27" s="46">
        <f t="shared" si="8"/>
        <v>0</v>
      </c>
      <c r="L27" s="46">
        <f t="shared" si="9"/>
        <v>0</v>
      </c>
      <c r="M27" s="46">
        <f t="shared" si="9"/>
        <v>0</v>
      </c>
      <c r="N27" s="46">
        <f t="shared" si="9"/>
        <v>0</v>
      </c>
      <c r="O27" s="46">
        <f t="shared" si="9"/>
        <v>0</v>
      </c>
      <c r="P27" s="46">
        <f t="shared" si="9"/>
        <v>0</v>
      </c>
      <c r="Q27" s="46">
        <f t="shared" si="9"/>
        <v>0</v>
      </c>
      <c r="R27" s="46">
        <f>SUM(B27:Q27)</f>
        <v>0</v>
      </c>
    </row>
    <row r="28" spans="1:18" x14ac:dyDescent="0.3">
      <c r="A28" s="47" t="s">
        <v>259</v>
      </c>
      <c r="B28" s="46">
        <f>SUBTOTAL(9,B22:B27)</f>
        <v>0</v>
      </c>
      <c r="C28" s="46">
        <f t="shared" ref="C28:R28" si="10">SUBTOTAL(9,C22:C27)</f>
        <v>0</v>
      </c>
      <c r="D28" s="46">
        <f t="shared" si="10"/>
        <v>0</v>
      </c>
      <c r="E28" s="46">
        <f t="shared" si="10"/>
        <v>0</v>
      </c>
      <c r="F28" s="46">
        <f t="shared" si="10"/>
        <v>0</v>
      </c>
      <c r="G28" s="46">
        <f t="shared" si="10"/>
        <v>0</v>
      </c>
      <c r="H28" s="46">
        <f t="shared" si="10"/>
        <v>0</v>
      </c>
      <c r="I28" s="46">
        <f t="shared" si="10"/>
        <v>0</v>
      </c>
      <c r="J28" s="46">
        <f t="shared" si="10"/>
        <v>0</v>
      </c>
      <c r="K28" s="46">
        <f t="shared" si="10"/>
        <v>0</v>
      </c>
      <c r="L28" s="46">
        <f t="shared" si="10"/>
        <v>0</v>
      </c>
      <c r="M28" s="46">
        <f t="shared" si="10"/>
        <v>0</v>
      </c>
      <c r="N28" s="46">
        <f t="shared" si="10"/>
        <v>0</v>
      </c>
      <c r="O28" s="46">
        <f t="shared" si="10"/>
        <v>0</v>
      </c>
      <c r="P28" s="46">
        <f t="shared" si="10"/>
        <v>0</v>
      </c>
      <c r="Q28" s="46">
        <f t="shared" si="10"/>
        <v>0</v>
      </c>
      <c r="R28" s="46">
        <f t="shared" si="10"/>
        <v>0</v>
      </c>
    </row>
    <row r="29" spans="1:18" x14ac:dyDescent="0.3">
      <c r="A29" s="46" t="s">
        <v>260</v>
      </c>
      <c r="B29" s="46">
        <f>SUBTOTAL(9,B30:B31)</f>
        <v>0</v>
      </c>
      <c r="C29" s="46">
        <f t="shared" ref="C29:R29" si="11">SUBTOTAL(9,C30:C31)</f>
        <v>0</v>
      </c>
      <c r="D29" s="46">
        <f t="shared" si="11"/>
        <v>0</v>
      </c>
      <c r="E29" s="46">
        <f t="shared" si="11"/>
        <v>0</v>
      </c>
      <c r="F29" s="46">
        <f t="shared" si="11"/>
        <v>0</v>
      </c>
      <c r="G29" s="46">
        <f t="shared" si="11"/>
        <v>0</v>
      </c>
      <c r="H29" s="46">
        <f t="shared" si="11"/>
        <v>0</v>
      </c>
      <c r="I29" s="46">
        <f t="shared" si="11"/>
        <v>0</v>
      </c>
      <c r="J29" s="46">
        <f t="shared" si="11"/>
        <v>0</v>
      </c>
      <c r="K29" s="46">
        <f t="shared" si="11"/>
        <v>0</v>
      </c>
      <c r="L29" s="46">
        <f t="shared" si="11"/>
        <v>0</v>
      </c>
      <c r="M29" s="46">
        <f t="shared" si="11"/>
        <v>0</v>
      </c>
      <c r="N29" s="46">
        <f t="shared" si="11"/>
        <v>0</v>
      </c>
      <c r="O29" s="46">
        <f t="shared" si="11"/>
        <v>0</v>
      </c>
      <c r="P29" s="46">
        <f t="shared" si="11"/>
        <v>0</v>
      </c>
      <c r="Q29" s="46">
        <f t="shared" si="11"/>
        <v>0</v>
      </c>
      <c r="R29" s="46">
        <f t="shared" si="11"/>
        <v>0</v>
      </c>
    </row>
    <row r="30" spans="1:18" x14ac:dyDescent="0.3">
      <c r="A30" s="46" t="s">
        <v>261</v>
      </c>
      <c r="B30" s="46">
        <f t="shared" ref="B30:K34" si="12">SUMIFS(RR_TB,RR_Reporting,$A30,RR_Function,B$5)</f>
        <v>0</v>
      </c>
      <c r="C30" s="46">
        <f t="shared" si="12"/>
        <v>0</v>
      </c>
      <c r="D30" s="46">
        <f t="shared" si="12"/>
        <v>0</v>
      </c>
      <c r="E30" s="46">
        <f t="shared" si="12"/>
        <v>0</v>
      </c>
      <c r="F30" s="46">
        <f t="shared" si="12"/>
        <v>0</v>
      </c>
      <c r="G30" s="46">
        <f t="shared" si="12"/>
        <v>0</v>
      </c>
      <c r="H30" s="46">
        <f t="shared" si="12"/>
        <v>0</v>
      </c>
      <c r="I30" s="46">
        <f t="shared" si="12"/>
        <v>0</v>
      </c>
      <c r="J30" s="46">
        <f t="shared" si="12"/>
        <v>0</v>
      </c>
      <c r="K30" s="46">
        <f t="shared" si="12"/>
        <v>0</v>
      </c>
      <c r="L30" s="46">
        <f t="shared" ref="L30:Q34" si="13">SUMIFS(RR_TB,RR_Reporting,$A30,RR_Function,L$5)</f>
        <v>0</v>
      </c>
      <c r="M30" s="46">
        <f t="shared" si="13"/>
        <v>0</v>
      </c>
      <c r="N30" s="46">
        <f t="shared" si="13"/>
        <v>0</v>
      </c>
      <c r="O30" s="46">
        <f t="shared" si="13"/>
        <v>0</v>
      </c>
      <c r="P30" s="46">
        <f t="shared" si="13"/>
        <v>0</v>
      </c>
      <c r="Q30" s="46">
        <f t="shared" si="13"/>
        <v>0</v>
      </c>
      <c r="R30" s="46">
        <f>SUM(B30:Q30)</f>
        <v>0</v>
      </c>
    </row>
    <row r="31" spans="1:18" x14ac:dyDescent="0.3">
      <c r="A31" s="46" t="s">
        <v>606</v>
      </c>
      <c r="B31" s="46">
        <f t="shared" si="12"/>
        <v>0</v>
      </c>
      <c r="C31" s="46">
        <f t="shared" si="12"/>
        <v>0</v>
      </c>
      <c r="D31" s="46">
        <f t="shared" si="12"/>
        <v>0</v>
      </c>
      <c r="E31" s="46">
        <f t="shared" si="12"/>
        <v>0</v>
      </c>
      <c r="F31" s="46">
        <f t="shared" si="12"/>
        <v>0</v>
      </c>
      <c r="G31" s="46">
        <f t="shared" si="12"/>
        <v>0</v>
      </c>
      <c r="H31" s="46">
        <f t="shared" si="12"/>
        <v>0</v>
      </c>
      <c r="I31" s="46">
        <f t="shared" si="12"/>
        <v>0</v>
      </c>
      <c r="J31" s="46">
        <f t="shared" si="12"/>
        <v>0</v>
      </c>
      <c r="K31" s="46">
        <f t="shared" si="12"/>
        <v>0</v>
      </c>
      <c r="L31" s="46">
        <f t="shared" si="13"/>
        <v>0</v>
      </c>
      <c r="M31" s="46">
        <f t="shared" si="13"/>
        <v>0</v>
      </c>
      <c r="N31" s="46">
        <f t="shared" si="13"/>
        <v>0</v>
      </c>
      <c r="O31" s="46">
        <f t="shared" si="13"/>
        <v>0</v>
      </c>
      <c r="P31" s="46">
        <f t="shared" si="13"/>
        <v>0</v>
      </c>
      <c r="Q31" s="46">
        <f t="shared" si="13"/>
        <v>0</v>
      </c>
      <c r="R31" s="46">
        <f>SUM(B31:Q31)</f>
        <v>0</v>
      </c>
    </row>
    <row r="32" spans="1:18" x14ac:dyDescent="0.3">
      <c r="A32" s="46" t="s">
        <v>629</v>
      </c>
      <c r="B32" s="46">
        <f>SUBTOTAL(9,B6:B31)</f>
        <v>3907714</v>
      </c>
      <c r="C32" s="46">
        <f>SUBTOTAL(9,C6:C31)</f>
        <v>139634530</v>
      </c>
      <c r="D32" s="46">
        <f>SUBTOTAL(9,D6:D31)</f>
        <v>9665192</v>
      </c>
      <c r="E32" s="46">
        <f>SUBTOTAL(9,E6:E31)</f>
        <v>590917</v>
      </c>
      <c r="F32" s="46">
        <f>SUBTOTAL(9,F6:F31)</f>
        <v>0</v>
      </c>
      <c r="G32" s="46">
        <f>SUBTOTAL(9,G6:G31)</f>
        <v>829483</v>
      </c>
      <c r="H32" s="46">
        <f>SUBTOTAL(9,H6:H31)</f>
        <v>0</v>
      </c>
      <c r="I32" s="46">
        <f>SUBTOTAL(9,I6:I31)</f>
        <v>0</v>
      </c>
      <c r="J32" s="46">
        <f>SUBTOTAL(9,J6:J31)</f>
        <v>230530</v>
      </c>
      <c r="K32" s="46">
        <f>SUBTOTAL(9,K6:K31)</f>
        <v>491235</v>
      </c>
      <c r="L32" s="46">
        <f>SUBTOTAL(9,L6:L31)</f>
        <v>541926</v>
      </c>
      <c r="M32" s="46">
        <f>SUBTOTAL(9,M6:M31)</f>
        <v>0</v>
      </c>
      <c r="N32" s="46">
        <f>SUBTOTAL(9,N6:N31)</f>
        <v>158008</v>
      </c>
      <c r="O32" s="46">
        <f>SUBTOTAL(9,O6:O31)</f>
        <v>0</v>
      </c>
      <c r="P32" s="46">
        <f>SUBTOTAL(9,P6:P31)</f>
        <v>0</v>
      </c>
      <c r="Q32" s="46">
        <f>SUBTOTAL(9,Q6:Q31)</f>
        <v>0</v>
      </c>
      <c r="R32" s="46">
        <f>SUBTOTAL(9,R6:R31)</f>
        <v>156049535</v>
      </c>
    </row>
    <row r="33" spans="1:18" x14ac:dyDescent="0.3">
      <c r="A33" s="46" t="s">
        <v>632</v>
      </c>
      <c r="B33" s="46">
        <f t="shared" si="12"/>
        <v>0</v>
      </c>
      <c r="C33" s="46">
        <f t="shared" si="12"/>
        <v>0</v>
      </c>
      <c r="D33" s="46">
        <f t="shared" si="12"/>
        <v>-2725459.0299999993</v>
      </c>
      <c r="E33" s="46">
        <f t="shared" si="12"/>
        <v>0</v>
      </c>
      <c r="F33" s="46">
        <f t="shared" si="12"/>
        <v>0</v>
      </c>
      <c r="G33" s="46">
        <f t="shared" si="12"/>
        <v>0</v>
      </c>
      <c r="H33" s="46">
        <f t="shared" si="12"/>
        <v>0</v>
      </c>
      <c r="I33" s="46">
        <f t="shared" si="12"/>
        <v>0</v>
      </c>
      <c r="J33" s="46">
        <f t="shared" si="12"/>
        <v>0</v>
      </c>
      <c r="K33" s="46">
        <f t="shared" si="12"/>
        <v>0</v>
      </c>
      <c r="L33" s="46">
        <f t="shared" si="13"/>
        <v>0</v>
      </c>
      <c r="M33" s="46">
        <f t="shared" si="13"/>
        <v>0</v>
      </c>
      <c r="N33" s="46">
        <f t="shared" si="13"/>
        <v>0</v>
      </c>
      <c r="O33" s="46">
        <f t="shared" si="13"/>
        <v>0</v>
      </c>
      <c r="P33" s="46">
        <f t="shared" si="13"/>
        <v>0</v>
      </c>
      <c r="Q33" s="46">
        <f t="shared" si="13"/>
        <v>0</v>
      </c>
      <c r="R33" s="46">
        <f>SUM(B33:Q33)</f>
        <v>-2725459.0299999993</v>
      </c>
    </row>
    <row r="34" spans="1:18" x14ac:dyDescent="0.3">
      <c r="A34" s="46" t="s">
        <v>631</v>
      </c>
      <c r="B34" s="46">
        <f t="shared" si="12"/>
        <v>0</v>
      </c>
      <c r="C34" s="46">
        <f t="shared" si="12"/>
        <v>0</v>
      </c>
      <c r="D34" s="46">
        <f t="shared" si="12"/>
        <v>0</v>
      </c>
      <c r="E34" s="46">
        <f t="shared" si="12"/>
        <v>0</v>
      </c>
      <c r="F34" s="46">
        <f t="shared" si="12"/>
        <v>0</v>
      </c>
      <c r="G34" s="46">
        <f t="shared" si="12"/>
        <v>0</v>
      </c>
      <c r="H34" s="46">
        <f t="shared" si="12"/>
        <v>0</v>
      </c>
      <c r="I34" s="46">
        <f t="shared" si="12"/>
        <v>0</v>
      </c>
      <c r="J34" s="46">
        <f t="shared" si="12"/>
        <v>0</v>
      </c>
      <c r="K34" s="46">
        <f t="shared" si="12"/>
        <v>0</v>
      </c>
      <c r="L34" s="46">
        <f t="shared" si="13"/>
        <v>0</v>
      </c>
      <c r="M34" s="46">
        <f t="shared" si="13"/>
        <v>0</v>
      </c>
      <c r="N34" s="46">
        <f t="shared" si="13"/>
        <v>0</v>
      </c>
      <c r="O34" s="46">
        <f t="shared" si="13"/>
        <v>-467914</v>
      </c>
      <c r="P34" s="46">
        <f t="shared" si="13"/>
        <v>-623171</v>
      </c>
      <c r="Q34" s="46">
        <f t="shared" si="13"/>
        <v>0</v>
      </c>
      <c r="R34" s="46">
        <f>SUM(B34:Q34)</f>
        <v>-1091085</v>
      </c>
    </row>
    <row r="35" spans="1:18" x14ac:dyDescent="0.3">
      <c r="A35" s="46" t="s">
        <v>630</v>
      </c>
      <c r="B35" s="46">
        <f>SUBTOTAL(9,B6:B34)</f>
        <v>3907714</v>
      </c>
      <c r="C35" s="46">
        <f>SUBTOTAL(9,C6:C34)</f>
        <v>139634530</v>
      </c>
      <c r="D35" s="46">
        <f>SUBTOTAL(9,D6:D34)</f>
        <v>6939732.9700000007</v>
      </c>
      <c r="E35" s="46">
        <f>SUBTOTAL(9,E6:E34)</f>
        <v>590917</v>
      </c>
      <c r="F35" s="46">
        <f>SUBTOTAL(9,F6:F34)</f>
        <v>0</v>
      </c>
      <c r="G35" s="46">
        <f>SUBTOTAL(9,G6:G34)</f>
        <v>829483</v>
      </c>
      <c r="H35" s="46">
        <f>SUBTOTAL(9,H6:H34)</f>
        <v>0</v>
      </c>
      <c r="I35" s="46">
        <f>SUBTOTAL(9,I6:I34)</f>
        <v>0</v>
      </c>
      <c r="J35" s="46">
        <f>SUBTOTAL(9,J6:J34)</f>
        <v>230530</v>
      </c>
      <c r="K35" s="46">
        <f>SUBTOTAL(9,K6:K34)</f>
        <v>491235</v>
      </c>
      <c r="L35" s="46">
        <f>SUBTOTAL(9,L6:L34)</f>
        <v>541926</v>
      </c>
      <c r="M35" s="46">
        <f>SUBTOTAL(9,M6:M34)</f>
        <v>0</v>
      </c>
      <c r="N35" s="46">
        <f>SUBTOTAL(9,N6:N34)</f>
        <v>158008</v>
      </c>
      <c r="O35" s="46">
        <f>SUBTOTAL(9,O6:O34)</f>
        <v>-467914</v>
      </c>
      <c r="P35" s="46">
        <f>SUBTOTAL(9,P6:P34)</f>
        <v>-623171</v>
      </c>
      <c r="Q35" s="46">
        <f>SUBTOTAL(9,Q6:Q34)</f>
        <v>0</v>
      </c>
      <c r="R35" s="46">
        <f>SUBTOTAL(9,R6:R34)</f>
        <v>152232990.97</v>
      </c>
    </row>
    <row r="37" spans="1:18" s="44" customFormat="1" x14ac:dyDescent="0.3">
      <c r="A37" s="44" t="s">
        <v>591</v>
      </c>
    </row>
    <row r="38" spans="1:18" s="55" customFormat="1" ht="54" x14ac:dyDescent="0.25">
      <c r="B38" s="50" t="str">
        <f t="array" ref="B38:P38">TRANSPOSE(A105:A119)</f>
        <v>ECC</v>
      </c>
      <c r="C38" s="50" t="str">
        <v>SCADA</v>
      </c>
      <c r="D38" s="50" t="str">
        <v>Environmental</v>
      </c>
      <c r="E38" s="50" t="str">
        <v>Primary &amp; Secondary</v>
      </c>
      <c r="F38" s="50" t="str">
        <v>Call Center</v>
      </c>
      <c r="G38" s="50" t="str">
        <v>Labour</v>
      </c>
      <c r="H38" s="50" t="str">
        <v>Customer Service</v>
      </c>
      <c r="I38" s="50" t="str">
        <v>Finance Labour</v>
      </c>
      <c r="J38" s="50" t="str">
        <v>Finance Admin</v>
      </c>
      <c r="K38" s="50" t="str">
        <v>Head Office</v>
      </c>
      <c r="L38" s="50" t="str">
        <v>T&amp;D Plant</v>
      </c>
      <c r="M38" s="50" t="str">
        <v>Right of Way Amortization</v>
      </c>
      <c r="N38" s="50" t="str">
        <v>Distribution Lines</v>
      </c>
      <c r="O38" s="50" t="str">
        <v>Distribution Network</v>
      </c>
      <c r="P38" s="50" t="str">
        <v>Total Plant</v>
      </c>
      <c r="Q38" s="50"/>
      <c r="R38" s="50" t="s">
        <v>214</v>
      </c>
    </row>
    <row r="39" spans="1:18" x14ac:dyDescent="0.3">
      <c r="A39" s="46" t="s">
        <v>262</v>
      </c>
    </row>
    <row r="40" spans="1:18" x14ac:dyDescent="0.3">
      <c r="A40" s="47" t="s">
        <v>247</v>
      </c>
      <c r="B40" s="46">
        <f t="shared" ref="B40:K41" si="14">SUMIFS(RR_TB,RR_Reporting,$A40,RR_Function,B$38)</f>
        <v>1101838</v>
      </c>
      <c r="C40" s="46">
        <f t="shared" si="14"/>
        <v>0</v>
      </c>
      <c r="D40" s="46">
        <f t="shared" si="14"/>
        <v>0</v>
      </c>
      <c r="E40" s="46">
        <f t="shared" si="14"/>
        <v>0</v>
      </c>
      <c r="F40" s="46">
        <f t="shared" si="14"/>
        <v>0</v>
      </c>
      <c r="G40" s="46">
        <f t="shared" si="14"/>
        <v>0</v>
      </c>
      <c r="H40" s="46">
        <f t="shared" si="14"/>
        <v>0</v>
      </c>
      <c r="I40" s="46">
        <f t="shared" si="14"/>
        <v>0</v>
      </c>
      <c r="J40" s="46">
        <f t="shared" si="14"/>
        <v>0</v>
      </c>
      <c r="K40" s="46">
        <f t="shared" si="14"/>
        <v>0</v>
      </c>
      <c r="L40" s="46">
        <f t="shared" ref="L40:Q41" si="15">SUMIFS(RR_TB,RR_Reporting,$A40,RR_Function,L$38)</f>
        <v>0</v>
      </c>
      <c r="M40" s="46">
        <f t="shared" si="15"/>
        <v>0</v>
      </c>
      <c r="N40" s="46">
        <f t="shared" si="15"/>
        <v>0</v>
      </c>
      <c r="O40" s="46">
        <f t="shared" si="15"/>
        <v>0</v>
      </c>
      <c r="P40" s="46">
        <f t="shared" si="15"/>
        <v>0</v>
      </c>
      <c r="Q40" s="46">
        <f t="shared" si="15"/>
        <v>0</v>
      </c>
      <c r="R40" s="46">
        <f>SUM(B40:Q40)</f>
        <v>1101838</v>
      </c>
    </row>
    <row r="41" spans="1:18" x14ac:dyDescent="0.3">
      <c r="A41" s="47" t="s">
        <v>248</v>
      </c>
      <c r="B41" s="46">
        <f t="shared" si="14"/>
        <v>0</v>
      </c>
      <c r="C41" s="46">
        <f t="shared" si="14"/>
        <v>0</v>
      </c>
      <c r="D41" s="46">
        <f t="shared" si="14"/>
        <v>0</v>
      </c>
      <c r="E41" s="46">
        <f t="shared" si="14"/>
        <v>0</v>
      </c>
      <c r="F41" s="46">
        <f t="shared" si="14"/>
        <v>0</v>
      </c>
      <c r="G41" s="46">
        <f t="shared" si="14"/>
        <v>0</v>
      </c>
      <c r="H41" s="46">
        <f t="shared" si="14"/>
        <v>0</v>
      </c>
      <c r="I41" s="46">
        <f t="shared" si="14"/>
        <v>0</v>
      </c>
      <c r="J41" s="46">
        <f t="shared" si="14"/>
        <v>0</v>
      </c>
      <c r="K41" s="46">
        <f t="shared" si="14"/>
        <v>0</v>
      </c>
      <c r="L41" s="46">
        <f t="shared" si="15"/>
        <v>0</v>
      </c>
      <c r="M41" s="46">
        <f t="shared" si="15"/>
        <v>0</v>
      </c>
      <c r="N41" s="46">
        <f t="shared" si="15"/>
        <v>0</v>
      </c>
      <c r="O41" s="46">
        <f t="shared" si="15"/>
        <v>0</v>
      </c>
      <c r="P41" s="46">
        <f t="shared" si="15"/>
        <v>0</v>
      </c>
      <c r="Q41" s="46">
        <f t="shared" si="15"/>
        <v>0</v>
      </c>
      <c r="R41" s="46">
        <f>SUM(B41:Q41)</f>
        <v>0</v>
      </c>
    </row>
    <row r="42" spans="1:18" x14ac:dyDescent="0.3">
      <c r="A42" s="47" t="s">
        <v>249</v>
      </c>
      <c r="B42" s="46">
        <f t="shared" ref="B42:R42" si="16">SUBTOTAL(9,B40:B41)</f>
        <v>1101838</v>
      </c>
      <c r="C42" s="46">
        <f t="shared" si="16"/>
        <v>0</v>
      </c>
      <c r="D42" s="46">
        <f t="shared" si="16"/>
        <v>0</v>
      </c>
      <c r="E42" s="46">
        <f t="shared" si="16"/>
        <v>0</v>
      </c>
      <c r="F42" s="46">
        <f t="shared" si="16"/>
        <v>0</v>
      </c>
      <c r="G42" s="46">
        <f t="shared" si="16"/>
        <v>0</v>
      </c>
      <c r="H42" s="46">
        <f t="shared" si="16"/>
        <v>0</v>
      </c>
      <c r="I42" s="46">
        <f t="shared" si="16"/>
        <v>0</v>
      </c>
      <c r="J42" s="46">
        <f t="shared" si="16"/>
        <v>0</v>
      </c>
      <c r="K42" s="46">
        <f t="shared" si="16"/>
        <v>0</v>
      </c>
      <c r="L42" s="46">
        <f t="shared" si="16"/>
        <v>0</v>
      </c>
      <c r="M42" s="46">
        <f t="shared" si="16"/>
        <v>0</v>
      </c>
      <c r="N42" s="46">
        <f t="shared" si="16"/>
        <v>0</v>
      </c>
      <c r="O42" s="46">
        <f t="shared" si="16"/>
        <v>0</v>
      </c>
      <c r="P42" s="46">
        <f t="shared" si="16"/>
        <v>0</v>
      </c>
      <c r="Q42" s="46">
        <f t="shared" si="16"/>
        <v>0</v>
      </c>
      <c r="R42" s="46">
        <f t="shared" si="16"/>
        <v>1101838</v>
      </c>
    </row>
    <row r="43" spans="1:18" x14ac:dyDescent="0.3">
      <c r="A43" s="47" t="s">
        <v>124</v>
      </c>
      <c r="B43" s="46">
        <f t="shared" ref="B43:K47" si="17">SUMIFS(RR_TB,RR_Reporting,$A43,RR_Function,B$38)</f>
        <v>0</v>
      </c>
      <c r="C43" s="46">
        <f t="shared" si="17"/>
        <v>339950</v>
      </c>
      <c r="D43" s="46">
        <f t="shared" si="17"/>
        <v>0</v>
      </c>
      <c r="E43" s="46">
        <f t="shared" si="17"/>
        <v>0</v>
      </c>
      <c r="F43" s="46">
        <f t="shared" si="17"/>
        <v>0</v>
      </c>
      <c r="G43" s="46">
        <f t="shared" si="17"/>
        <v>0</v>
      </c>
      <c r="H43" s="46">
        <f t="shared" si="17"/>
        <v>0</v>
      </c>
      <c r="I43" s="46">
        <f t="shared" si="17"/>
        <v>0</v>
      </c>
      <c r="J43" s="46">
        <f t="shared" si="17"/>
        <v>0</v>
      </c>
      <c r="K43" s="46">
        <f t="shared" si="17"/>
        <v>0</v>
      </c>
      <c r="L43" s="46">
        <f t="shared" ref="L43:Q47" si="18">SUMIFS(RR_TB,RR_Reporting,$A43,RR_Function,L$38)</f>
        <v>0</v>
      </c>
      <c r="M43" s="46">
        <f t="shared" si="18"/>
        <v>0</v>
      </c>
      <c r="N43" s="46">
        <f t="shared" si="18"/>
        <v>2346644</v>
      </c>
      <c r="O43" s="46">
        <f t="shared" si="18"/>
        <v>4993975</v>
      </c>
      <c r="P43" s="46">
        <f t="shared" si="18"/>
        <v>0</v>
      </c>
      <c r="Q43" s="46">
        <f t="shared" si="18"/>
        <v>0</v>
      </c>
      <c r="R43" s="46">
        <f>SUM(B43:Q43)</f>
        <v>7680569</v>
      </c>
    </row>
    <row r="44" spans="1:18" x14ac:dyDescent="0.3">
      <c r="A44" s="47" t="s">
        <v>12</v>
      </c>
      <c r="B44" s="46">
        <f t="shared" si="17"/>
        <v>0</v>
      </c>
      <c r="C44" s="46">
        <f t="shared" si="17"/>
        <v>0</v>
      </c>
      <c r="D44" s="46">
        <f t="shared" si="17"/>
        <v>0</v>
      </c>
      <c r="E44" s="46">
        <f t="shared" si="17"/>
        <v>0</v>
      </c>
      <c r="F44" s="46">
        <f t="shared" si="17"/>
        <v>0</v>
      </c>
      <c r="G44" s="46">
        <f t="shared" si="17"/>
        <v>0</v>
      </c>
      <c r="H44" s="46">
        <f t="shared" si="17"/>
        <v>0</v>
      </c>
      <c r="I44" s="46">
        <f t="shared" si="17"/>
        <v>0</v>
      </c>
      <c r="J44" s="46">
        <f t="shared" si="17"/>
        <v>0</v>
      </c>
      <c r="K44" s="46">
        <f t="shared" si="17"/>
        <v>0</v>
      </c>
      <c r="L44" s="46">
        <f t="shared" si="18"/>
        <v>0</v>
      </c>
      <c r="M44" s="46">
        <f t="shared" si="18"/>
        <v>0</v>
      </c>
      <c r="N44" s="46">
        <f t="shared" si="18"/>
        <v>0</v>
      </c>
      <c r="O44" s="46">
        <f t="shared" si="18"/>
        <v>0</v>
      </c>
      <c r="P44" s="46">
        <f t="shared" si="18"/>
        <v>0</v>
      </c>
      <c r="Q44" s="46">
        <f t="shared" si="18"/>
        <v>0</v>
      </c>
      <c r="R44" s="46">
        <f>SUM(B44:Q44)</f>
        <v>0</v>
      </c>
    </row>
    <row r="45" spans="1:18" x14ac:dyDescent="0.3">
      <c r="A45" s="47" t="s">
        <v>250</v>
      </c>
      <c r="B45" s="46">
        <f t="shared" si="17"/>
        <v>0</v>
      </c>
      <c r="C45" s="46">
        <f t="shared" si="17"/>
        <v>0</v>
      </c>
      <c r="D45" s="46">
        <f t="shared" si="17"/>
        <v>0</v>
      </c>
      <c r="E45" s="46">
        <f t="shared" si="17"/>
        <v>0</v>
      </c>
      <c r="F45" s="46">
        <f t="shared" si="17"/>
        <v>0</v>
      </c>
      <c r="G45" s="46">
        <f t="shared" si="17"/>
        <v>0</v>
      </c>
      <c r="H45" s="46">
        <f t="shared" si="17"/>
        <v>0</v>
      </c>
      <c r="I45" s="46">
        <f t="shared" si="17"/>
        <v>0</v>
      </c>
      <c r="J45" s="46">
        <f t="shared" si="17"/>
        <v>0</v>
      </c>
      <c r="K45" s="46">
        <f t="shared" si="17"/>
        <v>0</v>
      </c>
      <c r="L45" s="46">
        <f t="shared" si="18"/>
        <v>0</v>
      </c>
      <c r="M45" s="46">
        <f t="shared" si="18"/>
        <v>0</v>
      </c>
      <c r="N45" s="46">
        <f t="shared" si="18"/>
        <v>0</v>
      </c>
      <c r="O45" s="46">
        <f t="shared" si="18"/>
        <v>2516130</v>
      </c>
      <c r="P45" s="46">
        <f t="shared" si="18"/>
        <v>0</v>
      </c>
      <c r="Q45" s="46">
        <f t="shared" si="18"/>
        <v>0</v>
      </c>
      <c r="R45" s="46">
        <f>SUM(B45:Q45)</f>
        <v>2516130</v>
      </c>
    </row>
    <row r="46" spans="1:18" x14ac:dyDescent="0.3">
      <c r="A46" s="47" t="s">
        <v>251</v>
      </c>
      <c r="B46" s="46">
        <f t="shared" si="17"/>
        <v>0</v>
      </c>
      <c r="C46" s="46">
        <f t="shared" si="17"/>
        <v>0</v>
      </c>
      <c r="D46" s="46">
        <f t="shared" si="17"/>
        <v>0</v>
      </c>
      <c r="E46" s="46">
        <f t="shared" si="17"/>
        <v>0</v>
      </c>
      <c r="F46" s="46">
        <f t="shared" si="17"/>
        <v>0</v>
      </c>
      <c r="G46" s="46">
        <f t="shared" si="17"/>
        <v>0</v>
      </c>
      <c r="H46" s="46">
        <f t="shared" si="17"/>
        <v>0</v>
      </c>
      <c r="I46" s="46">
        <f t="shared" si="17"/>
        <v>0</v>
      </c>
      <c r="J46" s="46">
        <f t="shared" si="17"/>
        <v>0</v>
      </c>
      <c r="K46" s="46">
        <f t="shared" si="17"/>
        <v>0</v>
      </c>
      <c r="L46" s="46">
        <f t="shared" si="18"/>
        <v>0</v>
      </c>
      <c r="M46" s="46">
        <f t="shared" si="18"/>
        <v>0</v>
      </c>
      <c r="N46" s="46">
        <f t="shared" si="18"/>
        <v>0</v>
      </c>
      <c r="O46" s="46">
        <f t="shared" si="18"/>
        <v>0</v>
      </c>
      <c r="P46" s="46">
        <f t="shared" si="18"/>
        <v>0</v>
      </c>
      <c r="Q46" s="46">
        <f t="shared" si="18"/>
        <v>0</v>
      </c>
      <c r="R46" s="46">
        <f>SUM(B46:Q46)</f>
        <v>0</v>
      </c>
    </row>
    <row r="47" spans="1:18" x14ac:dyDescent="0.3">
      <c r="A47" s="47" t="s">
        <v>252</v>
      </c>
      <c r="B47" s="46">
        <f t="shared" si="17"/>
        <v>0</v>
      </c>
      <c r="C47" s="46">
        <f t="shared" si="17"/>
        <v>0</v>
      </c>
      <c r="D47" s="46">
        <f t="shared" si="17"/>
        <v>0</v>
      </c>
      <c r="E47" s="46">
        <f t="shared" si="17"/>
        <v>0</v>
      </c>
      <c r="F47" s="46">
        <f t="shared" si="17"/>
        <v>1107392</v>
      </c>
      <c r="G47" s="46">
        <f t="shared" si="17"/>
        <v>6740627</v>
      </c>
      <c r="H47" s="46">
        <f t="shared" si="17"/>
        <v>426026</v>
      </c>
      <c r="I47" s="46">
        <f t="shared" si="17"/>
        <v>758201</v>
      </c>
      <c r="J47" s="46">
        <f t="shared" si="17"/>
        <v>0</v>
      </c>
      <c r="K47" s="46">
        <f t="shared" si="17"/>
        <v>224924</v>
      </c>
      <c r="L47" s="46">
        <f t="shared" si="18"/>
        <v>882472</v>
      </c>
      <c r="M47" s="46">
        <f t="shared" si="18"/>
        <v>0</v>
      </c>
      <c r="N47" s="46">
        <f t="shared" si="18"/>
        <v>0</v>
      </c>
      <c r="O47" s="46">
        <f t="shared" si="18"/>
        <v>0</v>
      </c>
      <c r="P47" s="46">
        <f t="shared" si="18"/>
        <v>84846</v>
      </c>
      <c r="Q47" s="46">
        <f t="shared" si="18"/>
        <v>0</v>
      </c>
      <c r="R47" s="46">
        <f>SUM(B47:Q47)</f>
        <v>10224488</v>
      </c>
    </row>
    <row r="48" spans="1:18" x14ac:dyDescent="0.3">
      <c r="A48" s="47" t="s">
        <v>253</v>
      </c>
      <c r="B48" s="46">
        <f t="shared" ref="B48:R48" si="19">SUBTOTAL(9,B39:B47)</f>
        <v>1101838</v>
      </c>
      <c r="C48" s="46">
        <f t="shared" si="19"/>
        <v>339950</v>
      </c>
      <c r="D48" s="46">
        <f t="shared" si="19"/>
        <v>0</v>
      </c>
      <c r="E48" s="46">
        <f t="shared" si="19"/>
        <v>0</v>
      </c>
      <c r="F48" s="46">
        <f t="shared" si="19"/>
        <v>1107392</v>
      </c>
      <c r="G48" s="46">
        <f t="shared" si="19"/>
        <v>6740627</v>
      </c>
      <c r="H48" s="46">
        <f t="shared" si="19"/>
        <v>426026</v>
      </c>
      <c r="I48" s="46">
        <f t="shared" si="19"/>
        <v>758201</v>
      </c>
      <c r="J48" s="46">
        <f t="shared" si="19"/>
        <v>0</v>
      </c>
      <c r="K48" s="46">
        <f t="shared" si="19"/>
        <v>224924</v>
      </c>
      <c r="L48" s="46">
        <f t="shared" si="19"/>
        <v>882472</v>
      </c>
      <c r="M48" s="46">
        <f t="shared" si="19"/>
        <v>0</v>
      </c>
      <c r="N48" s="46">
        <f t="shared" si="19"/>
        <v>2346644</v>
      </c>
      <c r="O48" s="46">
        <f t="shared" si="19"/>
        <v>7510105</v>
      </c>
      <c r="P48" s="46">
        <f t="shared" si="19"/>
        <v>84846</v>
      </c>
      <c r="Q48" s="46">
        <f t="shared" si="19"/>
        <v>0</v>
      </c>
      <c r="R48" s="46">
        <f t="shared" si="19"/>
        <v>21523025</v>
      </c>
    </row>
    <row r="49" spans="1:18" x14ac:dyDescent="0.3">
      <c r="A49" s="48" t="s">
        <v>138</v>
      </c>
    </row>
    <row r="50" spans="1:18" x14ac:dyDescent="0.3">
      <c r="A50" s="47" t="s">
        <v>479</v>
      </c>
      <c r="B50" s="46">
        <f t="shared" ref="B50:Q52" si="20">SUMIFS(RR_TB,RR_Reporting,$A50,RR_Function,B$38)</f>
        <v>0</v>
      </c>
      <c r="C50" s="46">
        <f>SUMIFS(RR_TB,RR_Reporting,$A50,RR_Function,C$38)</f>
        <v>0</v>
      </c>
      <c r="D50" s="46">
        <f t="shared" si="20"/>
        <v>0</v>
      </c>
      <c r="E50" s="46">
        <f t="shared" si="20"/>
        <v>0</v>
      </c>
      <c r="F50" s="46">
        <f t="shared" si="20"/>
        <v>0</v>
      </c>
      <c r="G50" s="46">
        <f t="shared" si="20"/>
        <v>280940</v>
      </c>
      <c r="H50" s="46">
        <f t="shared" si="20"/>
        <v>0</v>
      </c>
      <c r="I50" s="46">
        <f t="shared" si="20"/>
        <v>0</v>
      </c>
      <c r="J50" s="46">
        <f t="shared" si="20"/>
        <v>0</v>
      </c>
      <c r="K50" s="46">
        <f t="shared" si="20"/>
        <v>0</v>
      </c>
      <c r="L50" s="46">
        <f t="shared" ref="L50:Q52" si="21">SUMIFS(RR_TB,RR_Reporting,$A50,RR_Function,L$38)</f>
        <v>0</v>
      </c>
      <c r="M50" s="46">
        <f t="shared" si="21"/>
        <v>62072</v>
      </c>
      <c r="N50" s="46">
        <f t="shared" si="21"/>
        <v>0</v>
      </c>
      <c r="O50" s="46">
        <f t="shared" si="21"/>
        <v>0</v>
      </c>
      <c r="P50" s="46">
        <f t="shared" si="21"/>
        <v>0</v>
      </c>
      <c r="Q50" s="46">
        <f t="shared" si="21"/>
        <v>0</v>
      </c>
      <c r="R50" s="46">
        <f>SUM(B50:Q50)</f>
        <v>343012</v>
      </c>
    </row>
    <row r="51" spans="1:18" x14ac:dyDescent="0.3">
      <c r="A51" s="47" t="s">
        <v>725</v>
      </c>
      <c r="B51" s="46">
        <f t="shared" si="20"/>
        <v>0</v>
      </c>
      <c r="C51" s="46">
        <f t="shared" si="20"/>
        <v>0</v>
      </c>
      <c r="D51" s="46">
        <f t="shared" si="20"/>
        <v>0</v>
      </c>
      <c r="E51" s="46">
        <f t="shared" si="20"/>
        <v>0</v>
      </c>
      <c r="F51" s="46">
        <f t="shared" si="20"/>
        <v>0</v>
      </c>
      <c r="G51" s="46">
        <f t="shared" si="20"/>
        <v>0</v>
      </c>
      <c r="H51" s="46">
        <f t="shared" si="20"/>
        <v>0</v>
      </c>
      <c r="I51" s="46">
        <f t="shared" si="20"/>
        <v>0</v>
      </c>
      <c r="J51" s="46">
        <f t="shared" si="20"/>
        <v>0</v>
      </c>
      <c r="K51" s="46">
        <f t="shared" si="20"/>
        <v>0</v>
      </c>
      <c r="L51" s="46">
        <f t="shared" si="20"/>
        <v>0</v>
      </c>
      <c r="M51" s="46">
        <f t="shared" si="20"/>
        <v>0</v>
      </c>
      <c r="N51" s="46">
        <f t="shared" si="20"/>
        <v>0</v>
      </c>
      <c r="O51" s="46">
        <f t="shared" si="20"/>
        <v>0</v>
      </c>
      <c r="P51" s="46">
        <f t="shared" si="20"/>
        <v>0</v>
      </c>
      <c r="Q51" s="46">
        <f t="shared" si="20"/>
        <v>0</v>
      </c>
      <c r="R51" s="46">
        <f>SUM(B51:Q51)</f>
        <v>0</v>
      </c>
    </row>
    <row r="52" spans="1:18" x14ac:dyDescent="0.3">
      <c r="A52" s="47" t="s">
        <v>480</v>
      </c>
      <c r="B52" s="46">
        <f t="shared" si="20"/>
        <v>0</v>
      </c>
      <c r="C52" s="46">
        <f t="shared" si="20"/>
        <v>0</v>
      </c>
      <c r="D52" s="46">
        <f t="shared" si="20"/>
        <v>0</v>
      </c>
      <c r="E52" s="46">
        <f t="shared" si="20"/>
        <v>0</v>
      </c>
      <c r="F52" s="46">
        <f t="shared" si="20"/>
        <v>0</v>
      </c>
      <c r="G52" s="46">
        <f t="shared" si="20"/>
        <v>0</v>
      </c>
      <c r="H52" s="46">
        <f t="shared" si="20"/>
        <v>0</v>
      </c>
      <c r="I52" s="46">
        <f t="shared" si="20"/>
        <v>0</v>
      </c>
      <c r="J52" s="46">
        <f t="shared" si="20"/>
        <v>0</v>
      </c>
      <c r="K52" s="46">
        <f t="shared" si="20"/>
        <v>0</v>
      </c>
      <c r="L52" s="46">
        <f t="shared" si="21"/>
        <v>0</v>
      </c>
      <c r="M52" s="46">
        <f t="shared" si="21"/>
        <v>0</v>
      </c>
      <c r="N52" s="46">
        <f t="shared" si="21"/>
        <v>0</v>
      </c>
      <c r="O52" s="46">
        <f t="shared" si="21"/>
        <v>0</v>
      </c>
      <c r="P52" s="46">
        <f t="shared" si="21"/>
        <v>0</v>
      </c>
      <c r="Q52" s="46">
        <f t="shared" si="21"/>
        <v>0</v>
      </c>
      <c r="R52" s="46">
        <f>SUM(B52:Q52)</f>
        <v>0</v>
      </c>
    </row>
    <row r="53" spans="1:18" x14ac:dyDescent="0.3">
      <c r="A53" s="47" t="s">
        <v>254</v>
      </c>
      <c r="B53" s="46">
        <f t="shared" ref="B53:R53" si="22">SUBTOTAL(9,B49:B52)</f>
        <v>0</v>
      </c>
      <c r="C53" s="46">
        <f t="shared" si="22"/>
        <v>0</v>
      </c>
      <c r="D53" s="46">
        <f t="shared" si="22"/>
        <v>0</v>
      </c>
      <c r="E53" s="46">
        <f t="shared" si="22"/>
        <v>0</v>
      </c>
      <c r="F53" s="46">
        <f t="shared" si="22"/>
        <v>0</v>
      </c>
      <c r="G53" s="46">
        <f t="shared" si="22"/>
        <v>280940</v>
      </c>
      <c r="H53" s="46">
        <f t="shared" si="22"/>
        <v>0</v>
      </c>
      <c r="I53" s="46">
        <f t="shared" si="22"/>
        <v>0</v>
      </c>
      <c r="J53" s="46">
        <f t="shared" si="22"/>
        <v>0</v>
      </c>
      <c r="K53" s="46">
        <f t="shared" si="22"/>
        <v>0</v>
      </c>
      <c r="L53" s="46">
        <f t="shared" si="22"/>
        <v>0</v>
      </c>
      <c r="M53" s="46">
        <f t="shared" si="22"/>
        <v>62072</v>
      </c>
      <c r="N53" s="46">
        <f t="shared" si="22"/>
        <v>0</v>
      </c>
      <c r="O53" s="46">
        <f t="shared" si="22"/>
        <v>0</v>
      </c>
      <c r="P53" s="46">
        <f t="shared" si="22"/>
        <v>0</v>
      </c>
      <c r="Q53" s="46">
        <f t="shared" si="22"/>
        <v>0</v>
      </c>
      <c r="R53" s="46">
        <f t="shared" si="22"/>
        <v>343012</v>
      </c>
    </row>
    <row r="54" spans="1:18" x14ac:dyDescent="0.3">
      <c r="A54" s="46" t="s">
        <v>263</v>
      </c>
      <c r="B54" s="46">
        <f t="shared" ref="B54:R54" si="23">SUBTOTAL(9,B39:B53)</f>
        <v>1101838</v>
      </c>
      <c r="C54" s="46">
        <f t="shared" si="23"/>
        <v>339950</v>
      </c>
      <c r="D54" s="46">
        <f t="shared" si="23"/>
        <v>0</v>
      </c>
      <c r="E54" s="46">
        <f t="shared" si="23"/>
        <v>0</v>
      </c>
      <c r="F54" s="46">
        <f t="shared" si="23"/>
        <v>1107392</v>
      </c>
      <c r="G54" s="46">
        <f t="shared" si="23"/>
        <v>7021567</v>
      </c>
      <c r="H54" s="46">
        <f t="shared" si="23"/>
        <v>426026</v>
      </c>
      <c r="I54" s="46">
        <f t="shared" si="23"/>
        <v>758201</v>
      </c>
      <c r="J54" s="46">
        <f t="shared" si="23"/>
        <v>0</v>
      </c>
      <c r="K54" s="46">
        <f t="shared" si="23"/>
        <v>224924</v>
      </c>
      <c r="L54" s="46">
        <f t="shared" si="23"/>
        <v>882472</v>
      </c>
      <c r="M54" s="46">
        <f t="shared" si="23"/>
        <v>62072</v>
      </c>
      <c r="N54" s="46">
        <f t="shared" si="23"/>
        <v>2346644</v>
      </c>
      <c r="O54" s="46">
        <f t="shared" si="23"/>
        <v>7510105</v>
      </c>
      <c r="P54" s="46">
        <f t="shared" si="23"/>
        <v>84846</v>
      </c>
      <c r="Q54" s="46">
        <f t="shared" si="23"/>
        <v>0</v>
      </c>
      <c r="R54" s="46">
        <f t="shared" si="23"/>
        <v>21866037</v>
      </c>
    </row>
    <row r="55" spans="1:18" x14ac:dyDescent="0.3">
      <c r="A55" s="46" t="s">
        <v>246</v>
      </c>
    </row>
    <row r="56" spans="1:18" x14ac:dyDescent="0.3">
      <c r="A56" s="47" t="s">
        <v>255</v>
      </c>
      <c r="B56" s="46">
        <f t="shared" ref="B56:Q60" si="24">SUMIFS(RR_TB,RR_Reporting,$A56,RR_Function,B$38)</f>
        <v>0</v>
      </c>
      <c r="C56" s="46">
        <f t="shared" si="24"/>
        <v>0</v>
      </c>
      <c r="D56" s="46">
        <f t="shared" si="24"/>
        <v>0</v>
      </c>
      <c r="E56" s="46">
        <f t="shared" si="24"/>
        <v>0</v>
      </c>
      <c r="F56" s="46">
        <f t="shared" si="24"/>
        <v>0</v>
      </c>
      <c r="G56" s="46">
        <f t="shared" si="24"/>
        <v>0</v>
      </c>
      <c r="H56" s="46">
        <f t="shared" si="24"/>
        <v>0</v>
      </c>
      <c r="I56" s="46">
        <f t="shared" si="24"/>
        <v>0</v>
      </c>
      <c r="J56" s="46">
        <f t="shared" si="24"/>
        <v>0</v>
      </c>
      <c r="K56" s="46">
        <f t="shared" si="24"/>
        <v>0</v>
      </c>
      <c r="L56" s="46">
        <f t="shared" ref="L56:Q60" si="25">SUMIFS(RR_TB,RR_Reporting,$A56,RR_Function,L$38)</f>
        <v>0</v>
      </c>
      <c r="M56" s="46">
        <f t="shared" si="25"/>
        <v>0</v>
      </c>
      <c r="N56" s="46">
        <f t="shared" si="25"/>
        <v>0</v>
      </c>
      <c r="O56" s="46">
        <f t="shared" si="25"/>
        <v>0</v>
      </c>
      <c r="P56" s="46">
        <f t="shared" si="25"/>
        <v>0</v>
      </c>
      <c r="Q56" s="46">
        <f t="shared" si="25"/>
        <v>0</v>
      </c>
      <c r="R56" s="46">
        <f>SUM(B56:Q56)</f>
        <v>0</v>
      </c>
    </row>
    <row r="57" spans="1:18" x14ac:dyDescent="0.3">
      <c r="A57" s="47" t="s">
        <v>256</v>
      </c>
      <c r="B57" s="46">
        <f t="shared" si="24"/>
        <v>0</v>
      </c>
      <c r="C57" s="46">
        <f t="shared" si="24"/>
        <v>0</v>
      </c>
      <c r="D57" s="46">
        <f t="shared" si="24"/>
        <v>0</v>
      </c>
      <c r="E57" s="46">
        <f t="shared" si="24"/>
        <v>0</v>
      </c>
      <c r="F57" s="46">
        <f t="shared" si="24"/>
        <v>0</v>
      </c>
      <c r="G57" s="46">
        <f t="shared" si="24"/>
        <v>0</v>
      </c>
      <c r="H57" s="46">
        <f t="shared" si="24"/>
        <v>0</v>
      </c>
      <c r="I57" s="46">
        <f t="shared" si="24"/>
        <v>0</v>
      </c>
      <c r="J57" s="46">
        <f t="shared" si="24"/>
        <v>0</v>
      </c>
      <c r="K57" s="46">
        <f t="shared" si="24"/>
        <v>0</v>
      </c>
      <c r="L57" s="46">
        <f t="shared" si="25"/>
        <v>0</v>
      </c>
      <c r="M57" s="46">
        <f t="shared" si="25"/>
        <v>0</v>
      </c>
      <c r="N57" s="46">
        <f t="shared" si="25"/>
        <v>0</v>
      </c>
      <c r="O57" s="46">
        <f t="shared" si="25"/>
        <v>0</v>
      </c>
      <c r="P57" s="46">
        <f t="shared" si="25"/>
        <v>0</v>
      </c>
      <c r="Q57" s="46">
        <f t="shared" si="25"/>
        <v>0</v>
      </c>
      <c r="R57" s="46">
        <f>SUM(B57:Q57)</f>
        <v>0</v>
      </c>
    </row>
    <row r="58" spans="1:18" x14ac:dyDescent="0.3">
      <c r="A58" s="47" t="s">
        <v>257</v>
      </c>
      <c r="B58" s="46">
        <f t="shared" si="24"/>
        <v>0</v>
      </c>
      <c r="C58" s="46">
        <f t="shared" si="24"/>
        <v>0</v>
      </c>
      <c r="D58" s="46">
        <f t="shared" si="24"/>
        <v>0</v>
      </c>
      <c r="E58" s="46">
        <f t="shared" si="24"/>
        <v>0</v>
      </c>
      <c r="F58" s="46">
        <f t="shared" si="24"/>
        <v>0</v>
      </c>
      <c r="G58" s="46">
        <f t="shared" si="24"/>
        <v>0</v>
      </c>
      <c r="H58" s="46">
        <f t="shared" si="24"/>
        <v>0</v>
      </c>
      <c r="I58" s="46">
        <f t="shared" si="24"/>
        <v>0</v>
      </c>
      <c r="J58" s="46">
        <f t="shared" si="24"/>
        <v>0</v>
      </c>
      <c r="K58" s="46">
        <f t="shared" si="24"/>
        <v>0</v>
      </c>
      <c r="L58" s="46">
        <f t="shared" si="25"/>
        <v>0</v>
      </c>
      <c r="M58" s="46">
        <f t="shared" si="25"/>
        <v>0</v>
      </c>
      <c r="N58" s="46">
        <f t="shared" si="25"/>
        <v>0</v>
      </c>
      <c r="O58" s="46">
        <f t="shared" si="25"/>
        <v>0</v>
      </c>
      <c r="P58" s="46">
        <f t="shared" si="25"/>
        <v>0</v>
      </c>
      <c r="Q58" s="46">
        <f t="shared" si="25"/>
        <v>0</v>
      </c>
      <c r="R58" s="46">
        <f>SUM(B58:Q58)</f>
        <v>0</v>
      </c>
    </row>
    <row r="59" spans="1:18" x14ac:dyDescent="0.3">
      <c r="A59" s="47" t="s">
        <v>728</v>
      </c>
      <c r="B59" s="46">
        <f t="shared" si="24"/>
        <v>0</v>
      </c>
      <c r="C59" s="46">
        <f t="shared" si="24"/>
        <v>0</v>
      </c>
      <c r="D59" s="46">
        <f t="shared" si="24"/>
        <v>0</v>
      </c>
      <c r="E59" s="46">
        <f t="shared" si="24"/>
        <v>0</v>
      </c>
      <c r="F59" s="46">
        <f t="shared" si="24"/>
        <v>0</v>
      </c>
      <c r="G59" s="46">
        <f t="shared" si="24"/>
        <v>0</v>
      </c>
      <c r="H59" s="46">
        <f t="shared" si="24"/>
        <v>0</v>
      </c>
      <c r="I59" s="46">
        <f t="shared" si="24"/>
        <v>0</v>
      </c>
      <c r="J59" s="46">
        <f t="shared" si="24"/>
        <v>0</v>
      </c>
      <c r="K59" s="46">
        <f t="shared" si="24"/>
        <v>0</v>
      </c>
      <c r="L59" s="46">
        <f t="shared" si="24"/>
        <v>0</v>
      </c>
      <c r="M59" s="46">
        <f t="shared" si="24"/>
        <v>0</v>
      </c>
      <c r="N59" s="46">
        <f t="shared" si="24"/>
        <v>0</v>
      </c>
      <c r="O59" s="46">
        <f t="shared" si="24"/>
        <v>0</v>
      </c>
      <c r="P59" s="46">
        <f t="shared" si="24"/>
        <v>0</v>
      </c>
      <c r="Q59" s="46">
        <f t="shared" si="24"/>
        <v>0</v>
      </c>
      <c r="R59" s="46">
        <f>SUM(B59:Q59)</f>
        <v>0</v>
      </c>
    </row>
    <row r="60" spans="1:18" x14ac:dyDescent="0.3">
      <c r="A60" s="47" t="s">
        <v>258</v>
      </c>
      <c r="B60" s="46">
        <f t="shared" si="24"/>
        <v>0</v>
      </c>
      <c r="C60" s="46">
        <f t="shared" si="24"/>
        <v>0</v>
      </c>
      <c r="D60" s="46">
        <f t="shared" si="24"/>
        <v>0</v>
      </c>
      <c r="E60" s="46">
        <f t="shared" si="24"/>
        <v>0</v>
      </c>
      <c r="F60" s="46">
        <f t="shared" si="24"/>
        <v>0</v>
      </c>
      <c r="G60" s="46">
        <f t="shared" si="24"/>
        <v>0</v>
      </c>
      <c r="H60" s="46">
        <f t="shared" si="24"/>
        <v>0</v>
      </c>
      <c r="I60" s="46">
        <f t="shared" si="24"/>
        <v>0</v>
      </c>
      <c r="J60" s="46">
        <f t="shared" si="24"/>
        <v>0</v>
      </c>
      <c r="K60" s="46">
        <f t="shared" si="24"/>
        <v>0</v>
      </c>
      <c r="L60" s="46">
        <f t="shared" si="25"/>
        <v>0</v>
      </c>
      <c r="M60" s="46">
        <f t="shared" si="25"/>
        <v>0</v>
      </c>
      <c r="N60" s="46">
        <f t="shared" si="25"/>
        <v>0</v>
      </c>
      <c r="O60" s="46">
        <f t="shared" si="25"/>
        <v>0</v>
      </c>
      <c r="P60" s="46">
        <f t="shared" si="25"/>
        <v>0</v>
      </c>
      <c r="Q60" s="46">
        <f t="shared" si="25"/>
        <v>0</v>
      </c>
      <c r="R60" s="46">
        <f>SUM(B60:Q60)</f>
        <v>0</v>
      </c>
    </row>
    <row r="61" spans="1:18" x14ac:dyDescent="0.3">
      <c r="A61" s="47" t="s">
        <v>259</v>
      </c>
      <c r="B61" s="46">
        <f t="shared" ref="B61:R61" si="26">SUBTOTAL(9,B55:B60)</f>
        <v>0</v>
      </c>
      <c r="C61" s="46">
        <f t="shared" si="26"/>
        <v>0</v>
      </c>
      <c r="D61" s="46">
        <f t="shared" si="26"/>
        <v>0</v>
      </c>
      <c r="E61" s="46">
        <f t="shared" si="26"/>
        <v>0</v>
      </c>
      <c r="F61" s="46">
        <f t="shared" si="26"/>
        <v>0</v>
      </c>
      <c r="G61" s="46">
        <f t="shared" si="26"/>
        <v>0</v>
      </c>
      <c r="H61" s="46">
        <f t="shared" si="26"/>
        <v>0</v>
      </c>
      <c r="I61" s="46">
        <f t="shared" si="26"/>
        <v>0</v>
      </c>
      <c r="J61" s="46">
        <f t="shared" si="26"/>
        <v>0</v>
      </c>
      <c r="K61" s="46">
        <f t="shared" si="26"/>
        <v>0</v>
      </c>
      <c r="L61" s="46">
        <f t="shared" si="26"/>
        <v>0</v>
      </c>
      <c r="M61" s="46">
        <f t="shared" si="26"/>
        <v>0</v>
      </c>
      <c r="N61" s="46">
        <f t="shared" si="26"/>
        <v>0</v>
      </c>
      <c r="O61" s="46">
        <f t="shared" si="26"/>
        <v>0</v>
      </c>
      <c r="P61" s="46">
        <f t="shared" si="26"/>
        <v>0</v>
      </c>
      <c r="Q61" s="46">
        <f t="shared" si="26"/>
        <v>0</v>
      </c>
      <c r="R61" s="46">
        <f t="shared" si="26"/>
        <v>0</v>
      </c>
    </row>
    <row r="62" spans="1:18" x14ac:dyDescent="0.3">
      <c r="A62" s="46" t="s">
        <v>260</v>
      </c>
      <c r="B62" s="46">
        <f t="shared" ref="B62:R62" si="27">SUBTOTAL(9,B63:B64)</f>
        <v>0</v>
      </c>
      <c r="C62" s="46">
        <f t="shared" si="27"/>
        <v>0</v>
      </c>
      <c r="D62" s="46">
        <f t="shared" si="27"/>
        <v>0</v>
      </c>
      <c r="E62" s="46">
        <f t="shared" si="27"/>
        <v>0</v>
      </c>
      <c r="F62" s="46">
        <f t="shared" si="27"/>
        <v>0</v>
      </c>
      <c r="G62" s="46">
        <f t="shared" si="27"/>
        <v>0</v>
      </c>
      <c r="H62" s="46">
        <f t="shared" si="27"/>
        <v>0</v>
      </c>
      <c r="I62" s="46">
        <f t="shared" si="27"/>
        <v>0</v>
      </c>
      <c r="J62" s="46">
        <f t="shared" si="27"/>
        <v>0</v>
      </c>
      <c r="K62" s="46">
        <f t="shared" si="27"/>
        <v>0</v>
      </c>
      <c r="L62" s="46">
        <f t="shared" si="27"/>
        <v>0</v>
      </c>
      <c r="M62" s="46">
        <f t="shared" si="27"/>
        <v>0</v>
      </c>
      <c r="N62" s="46">
        <f t="shared" si="27"/>
        <v>0</v>
      </c>
      <c r="O62" s="46">
        <f t="shared" si="27"/>
        <v>0</v>
      </c>
      <c r="P62" s="46">
        <f t="shared" si="27"/>
        <v>0</v>
      </c>
      <c r="Q62" s="46">
        <f t="shared" si="27"/>
        <v>0</v>
      </c>
      <c r="R62" s="46">
        <f t="shared" si="27"/>
        <v>0</v>
      </c>
    </row>
    <row r="63" spans="1:18" x14ac:dyDescent="0.3">
      <c r="A63" s="46" t="s">
        <v>261</v>
      </c>
      <c r="B63" s="46">
        <f t="shared" ref="B63:K67" si="28">SUMIFS(RR_TB,RR_Reporting,$A63,RR_Function,B$38)</f>
        <v>0</v>
      </c>
      <c r="C63" s="46">
        <f t="shared" si="28"/>
        <v>0</v>
      </c>
      <c r="D63" s="46">
        <f t="shared" si="28"/>
        <v>0</v>
      </c>
      <c r="E63" s="46">
        <f t="shared" si="28"/>
        <v>0</v>
      </c>
      <c r="F63" s="46">
        <f t="shared" si="28"/>
        <v>0</v>
      </c>
      <c r="G63" s="46">
        <f t="shared" si="28"/>
        <v>0</v>
      </c>
      <c r="H63" s="46">
        <f t="shared" si="28"/>
        <v>0</v>
      </c>
      <c r="I63" s="46">
        <f t="shared" si="28"/>
        <v>0</v>
      </c>
      <c r="J63" s="46">
        <f t="shared" si="28"/>
        <v>0</v>
      </c>
      <c r="K63" s="46">
        <f t="shared" si="28"/>
        <v>0</v>
      </c>
      <c r="L63" s="46">
        <f t="shared" ref="L63:Q67" si="29">SUMIFS(RR_TB,RR_Reporting,$A63,RR_Function,L$38)</f>
        <v>0</v>
      </c>
      <c r="M63" s="46">
        <f t="shared" si="29"/>
        <v>0</v>
      </c>
      <c r="N63" s="46">
        <f t="shared" si="29"/>
        <v>0</v>
      </c>
      <c r="O63" s="46">
        <f t="shared" si="29"/>
        <v>0</v>
      </c>
      <c r="P63" s="46">
        <f t="shared" si="29"/>
        <v>0</v>
      </c>
      <c r="Q63" s="46">
        <f t="shared" si="29"/>
        <v>0</v>
      </c>
      <c r="R63" s="46">
        <f>SUM(B63:Q63)</f>
        <v>0</v>
      </c>
    </row>
    <row r="64" spans="1:18" x14ac:dyDescent="0.3">
      <c r="A64" s="46" t="s">
        <v>606</v>
      </c>
      <c r="B64" s="46">
        <f t="shared" si="28"/>
        <v>0</v>
      </c>
      <c r="C64" s="46">
        <f t="shared" si="28"/>
        <v>0</v>
      </c>
      <c r="D64" s="46">
        <f t="shared" si="28"/>
        <v>0</v>
      </c>
      <c r="E64" s="46">
        <f t="shared" si="28"/>
        <v>0</v>
      </c>
      <c r="F64" s="46">
        <f t="shared" si="28"/>
        <v>0</v>
      </c>
      <c r="G64" s="46">
        <f t="shared" si="28"/>
        <v>0</v>
      </c>
      <c r="H64" s="46">
        <f t="shared" si="28"/>
        <v>0</v>
      </c>
      <c r="I64" s="46">
        <f t="shared" si="28"/>
        <v>0</v>
      </c>
      <c r="J64" s="46">
        <f t="shared" si="28"/>
        <v>0</v>
      </c>
      <c r="K64" s="46">
        <f t="shared" si="28"/>
        <v>0</v>
      </c>
      <c r="L64" s="46">
        <f t="shared" si="29"/>
        <v>0</v>
      </c>
      <c r="M64" s="46">
        <f t="shared" si="29"/>
        <v>0</v>
      </c>
      <c r="N64" s="46">
        <f t="shared" si="29"/>
        <v>0</v>
      </c>
      <c r="O64" s="46">
        <f t="shared" si="29"/>
        <v>0</v>
      </c>
      <c r="P64" s="46">
        <f t="shared" si="29"/>
        <v>0</v>
      </c>
      <c r="Q64" s="46">
        <f t="shared" si="29"/>
        <v>0</v>
      </c>
      <c r="R64" s="46">
        <f>SUM(B64:Q64)</f>
        <v>0</v>
      </c>
    </row>
    <row r="65" spans="1:19" x14ac:dyDescent="0.3">
      <c r="A65" s="46" t="s">
        <v>629</v>
      </c>
      <c r="B65" s="46">
        <f t="shared" ref="B65:R65" si="30">SUBTOTAL(9,B39:B64)</f>
        <v>1101838</v>
      </c>
      <c r="C65" s="46">
        <f t="shared" si="30"/>
        <v>339950</v>
      </c>
      <c r="D65" s="46">
        <f t="shared" si="30"/>
        <v>0</v>
      </c>
      <c r="E65" s="46">
        <f t="shared" si="30"/>
        <v>0</v>
      </c>
      <c r="F65" s="46">
        <f t="shared" si="30"/>
        <v>1107392</v>
      </c>
      <c r="G65" s="46">
        <f t="shared" si="30"/>
        <v>7021567</v>
      </c>
      <c r="H65" s="46">
        <f t="shared" si="30"/>
        <v>426026</v>
      </c>
      <c r="I65" s="46">
        <f t="shared" si="30"/>
        <v>758201</v>
      </c>
      <c r="J65" s="46">
        <f t="shared" si="30"/>
        <v>0</v>
      </c>
      <c r="K65" s="46">
        <f t="shared" si="30"/>
        <v>224924</v>
      </c>
      <c r="L65" s="46">
        <f t="shared" si="30"/>
        <v>882472</v>
      </c>
      <c r="M65" s="46">
        <f t="shared" si="30"/>
        <v>62072</v>
      </c>
      <c r="N65" s="46">
        <f t="shared" si="30"/>
        <v>2346644</v>
      </c>
      <c r="O65" s="46">
        <f t="shared" si="30"/>
        <v>7510105</v>
      </c>
      <c r="P65" s="46">
        <f t="shared" si="30"/>
        <v>84846</v>
      </c>
      <c r="Q65" s="46">
        <f t="shared" si="30"/>
        <v>0</v>
      </c>
      <c r="R65" s="46">
        <f t="shared" si="30"/>
        <v>21866037</v>
      </c>
    </row>
    <row r="66" spans="1:19" x14ac:dyDescent="0.3">
      <c r="A66" s="46" t="s">
        <v>632</v>
      </c>
      <c r="B66" s="46">
        <f t="shared" si="28"/>
        <v>0</v>
      </c>
      <c r="C66" s="46">
        <f t="shared" si="28"/>
        <v>0</v>
      </c>
      <c r="D66" s="46">
        <f t="shared" si="28"/>
        <v>0</v>
      </c>
      <c r="E66" s="46">
        <f t="shared" si="28"/>
        <v>0</v>
      </c>
      <c r="F66" s="46">
        <f t="shared" si="28"/>
        <v>0</v>
      </c>
      <c r="G66" s="46">
        <f t="shared" si="28"/>
        <v>0</v>
      </c>
      <c r="H66" s="46">
        <f t="shared" si="28"/>
        <v>0</v>
      </c>
      <c r="I66" s="46">
        <f t="shared" si="28"/>
        <v>0</v>
      </c>
      <c r="J66" s="46">
        <f t="shared" si="28"/>
        <v>0</v>
      </c>
      <c r="K66" s="46">
        <f t="shared" si="28"/>
        <v>0</v>
      </c>
      <c r="L66" s="46">
        <f t="shared" si="29"/>
        <v>0</v>
      </c>
      <c r="M66" s="46">
        <f t="shared" si="29"/>
        <v>0</v>
      </c>
      <c r="N66" s="46">
        <f t="shared" si="29"/>
        <v>0</v>
      </c>
      <c r="O66" s="46">
        <f t="shared" si="29"/>
        <v>0</v>
      </c>
      <c r="P66" s="46">
        <f t="shared" si="29"/>
        <v>0</v>
      </c>
      <c r="Q66" s="46">
        <f t="shared" si="29"/>
        <v>0</v>
      </c>
      <c r="R66" s="46">
        <f>SUM(B66:Q66)</f>
        <v>0</v>
      </c>
    </row>
    <row r="67" spans="1:19" x14ac:dyDescent="0.3">
      <c r="A67" s="46" t="s">
        <v>631</v>
      </c>
      <c r="B67" s="46">
        <f t="shared" si="28"/>
        <v>0</v>
      </c>
      <c r="C67" s="46">
        <f t="shared" si="28"/>
        <v>0</v>
      </c>
      <c r="D67" s="46">
        <f t="shared" si="28"/>
        <v>0</v>
      </c>
      <c r="E67" s="46">
        <f t="shared" si="28"/>
        <v>-502498</v>
      </c>
      <c r="F67" s="46">
        <f t="shared" si="28"/>
        <v>0</v>
      </c>
      <c r="G67" s="46">
        <f t="shared" si="28"/>
        <v>0</v>
      </c>
      <c r="H67" s="46">
        <f t="shared" si="28"/>
        <v>0</v>
      </c>
      <c r="I67" s="46">
        <f t="shared" si="28"/>
        <v>0</v>
      </c>
      <c r="J67" s="46">
        <f t="shared" si="28"/>
        <v>0</v>
      </c>
      <c r="K67" s="46">
        <f t="shared" si="28"/>
        <v>0</v>
      </c>
      <c r="L67" s="46">
        <f t="shared" si="29"/>
        <v>0</v>
      </c>
      <c r="M67" s="46">
        <f t="shared" si="29"/>
        <v>0</v>
      </c>
      <c r="N67" s="46">
        <f t="shared" si="29"/>
        <v>0</v>
      </c>
      <c r="O67" s="46">
        <f t="shared" si="29"/>
        <v>0</v>
      </c>
      <c r="P67" s="46">
        <f t="shared" si="29"/>
        <v>0</v>
      </c>
      <c r="Q67" s="46">
        <f t="shared" si="29"/>
        <v>0</v>
      </c>
      <c r="R67" s="46">
        <f>SUM(B67:Q67)</f>
        <v>-502498</v>
      </c>
    </row>
    <row r="68" spans="1:19" x14ac:dyDescent="0.3">
      <c r="A68" s="46" t="s">
        <v>630</v>
      </c>
      <c r="B68" s="46">
        <f t="shared" ref="B68:R68" si="31">SUBTOTAL(9,B39:B67)</f>
        <v>1101838</v>
      </c>
      <c r="C68" s="46">
        <f t="shared" si="31"/>
        <v>339950</v>
      </c>
      <c r="D68" s="46">
        <f t="shared" si="31"/>
        <v>0</v>
      </c>
      <c r="E68" s="46">
        <f t="shared" si="31"/>
        <v>-502498</v>
      </c>
      <c r="F68" s="46">
        <f t="shared" si="31"/>
        <v>1107392</v>
      </c>
      <c r="G68" s="46">
        <f t="shared" si="31"/>
        <v>7021567</v>
      </c>
      <c r="H68" s="46">
        <f t="shared" si="31"/>
        <v>426026</v>
      </c>
      <c r="I68" s="46">
        <f t="shared" si="31"/>
        <v>758201</v>
      </c>
      <c r="J68" s="46">
        <f t="shared" si="31"/>
        <v>0</v>
      </c>
      <c r="K68" s="46">
        <f t="shared" si="31"/>
        <v>224924</v>
      </c>
      <c r="L68" s="46">
        <f t="shared" si="31"/>
        <v>882472</v>
      </c>
      <c r="M68" s="46">
        <f t="shared" si="31"/>
        <v>62072</v>
      </c>
      <c r="N68" s="46">
        <f t="shared" si="31"/>
        <v>2346644</v>
      </c>
      <c r="O68" s="46">
        <f t="shared" si="31"/>
        <v>7510105</v>
      </c>
      <c r="P68" s="46">
        <f t="shared" si="31"/>
        <v>84846</v>
      </c>
      <c r="Q68" s="46">
        <f t="shared" si="31"/>
        <v>0</v>
      </c>
      <c r="R68" s="46">
        <f t="shared" si="31"/>
        <v>21363539</v>
      </c>
    </row>
    <row r="70" spans="1:19" s="44" customFormat="1" x14ac:dyDescent="0.3">
      <c r="A70" s="44" t="s">
        <v>592</v>
      </c>
    </row>
    <row r="71" spans="1:19" s="55" customFormat="1" ht="54" x14ac:dyDescent="0.25">
      <c r="B71" s="50" t="str">
        <f t="array" ref="B71:E71">TRANSPOSE(A120:A123)</f>
        <v>Amortization</v>
      </c>
      <c r="C71" s="50" t="str">
        <v>G&amp;T Rate Base</v>
      </c>
      <c r="D71" s="50" t="str">
        <v>Rate Base Excluding WC</v>
      </c>
      <c r="E71" s="50" t="str">
        <v>Rate Base</v>
      </c>
      <c r="F71" s="50"/>
      <c r="G71" s="50"/>
      <c r="H71" s="50"/>
      <c r="I71" s="50"/>
      <c r="J71" s="50"/>
      <c r="K71" s="50"/>
      <c r="L71" s="50"/>
      <c r="M71" s="50"/>
      <c r="N71" s="50"/>
      <c r="O71" s="50"/>
      <c r="P71" s="50"/>
      <c r="Q71" s="50"/>
      <c r="R71" s="50" t="s">
        <v>214</v>
      </c>
    </row>
    <row r="72" spans="1:19" x14ac:dyDescent="0.3">
      <c r="A72" s="46" t="s">
        <v>262</v>
      </c>
    </row>
    <row r="73" spans="1:19" x14ac:dyDescent="0.3">
      <c r="A73" s="47" t="s">
        <v>247</v>
      </c>
      <c r="B73" s="46">
        <f t="shared" ref="B73:K74" si="32">SUMIFS(RR_TB,RR_Reporting,$A73,RR_Function,B$71)</f>
        <v>0</v>
      </c>
      <c r="C73" s="46">
        <f t="shared" si="32"/>
        <v>1081892</v>
      </c>
      <c r="D73" s="46">
        <f t="shared" si="32"/>
        <v>0</v>
      </c>
      <c r="E73" s="46">
        <f t="shared" si="32"/>
        <v>0</v>
      </c>
      <c r="F73" s="46">
        <f t="shared" si="32"/>
        <v>0</v>
      </c>
      <c r="G73" s="46">
        <f t="shared" si="32"/>
        <v>0</v>
      </c>
      <c r="H73" s="46">
        <f t="shared" si="32"/>
        <v>0</v>
      </c>
      <c r="I73" s="46">
        <f t="shared" si="32"/>
        <v>0</v>
      </c>
      <c r="J73" s="46">
        <f t="shared" si="32"/>
        <v>0</v>
      </c>
      <c r="K73" s="46">
        <f t="shared" si="32"/>
        <v>0</v>
      </c>
      <c r="L73" s="46">
        <f t="shared" ref="L73:Q74" si="33">SUMIFS(RR_TB,RR_Reporting,$A73,RR_Function,L$71)</f>
        <v>0</v>
      </c>
      <c r="M73" s="46">
        <f t="shared" si="33"/>
        <v>0</v>
      </c>
      <c r="N73" s="46">
        <f t="shared" si="33"/>
        <v>0</v>
      </c>
      <c r="O73" s="46">
        <f t="shared" si="33"/>
        <v>0</v>
      </c>
      <c r="P73" s="46">
        <f t="shared" si="33"/>
        <v>0</v>
      </c>
      <c r="Q73" s="46">
        <f t="shared" si="33"/>
        <v>0</v>
      </c>
      <c r="R73" s="46">
        <f>SUM(B73:Q73)</f>
        <v>1081892</v>
      </c>
      <c r="S73" s="46">
        <f>R7+R40+R73-'4.1'!B5</f>
        <v>0</v>
      </c>
    </row>
    <row r="74" spans="1:19" x14ac:dyDescent="0.3">
      <c r="A74" s="47" t="s">
        <v>248</v>
      </c>
      <c r="B74" s="46">
        <f t="shared" si="32"/>
        <v>0</v>
      </c>
      <c r="C74" s="46">
        <f t="shared" si="32"/>
        <v>0</v>
      </c>
      <c r="D74" s="46">
        <f t="shared" si="32"/>
        <v>0</v>
      </c>
      <c r="E74" s="46">
        <f t="shared" si="32"/>
        <v>0</v>
      </c>
      <c r="F74" s="46">
        <f t="shared" si="32"/>
        <v>0</v>
      </c>
      <c r="G74" s="46">
        <f t="shared" si="32"/>
        <v>0</v>
      </c>
      <c r="H74" s="46">
        <f t="shared" si="32"/>
        <v>0</v>
      </c>
      <c r="I74" s="46">
        <f t="shared" si="32"/>
        <v>0</v>
      </c>
      <c r="J74" s="46">
        <f t="shared" si="32"/>
        <v>0</v>
      </c>
      <c r="K74" s="46">
        <f t="shared" si="32"/>
        <v>0</v>
      </c>
      <c r="L74" s="46">
        <f t="shared" si="33"/>
        <v>0</v>
      </c>
      <c r="M74" s="46">
        <f t="shared" si="33"/>
        <v>0</v>
      </c>
      <c r="N74" s="46">
        <f t="shared" si="33"/>
        <v>0</v>
      </c>
      <c r="O74" s="46">
        <f t="shared" si="33"/>
        <v>0</v>
      </c>
      <c r="P74" s="46">
        <f t="shared" si="33"/>
        <v>0</v>
      </c>
      <c r="Q74" s="46">
        <f t="shared" si="33"/>
        <v>0</v>
      </c>
      <c r="R74" s="46">
        <f>SUM(B74:Q74)</f>
        <v>0</v>
      </c>
      <c r="S74" s="46">
        <f>R8+R41+R74-'4.1'!B6</f>
        <v>0</v>
      </c>
    </row>
    <row r="75" spans="1:19" x14ac:dyDescent="0.3">
      <c r="A75" s="47" t="s">
        <v>249</v>
      </c>
      <c r="B75" s="46">
        <f>SUBTOTAL(9,B73:B74)</f>
        <v>0</v>
      </c>
      <c r="C75" s="46">
        <f t="shared" ref="C75:R75" si="34">SUBTOTAL(9,C73:C74)</f>
        <v>1081892</v>
      </c>
      <c r="D75" s="46">
        <f t="shared" si="34"/>
        <v>0</v>
      </c>
      <c r="E75" s="46">
        <f t="shared" si="34"/>
        <v>0</v>
      </c>
      <c r="F75" s="46">
        <f t="shared" si="34"/>
        <v>0</v>
      </c>
      <c r="G75" s="46">
        <f t="shared" si="34"/>
        <v>0</v>
      </c>
      <c r="H75" s="46">
        <f t="shared" si="34"/>
        <v>0</v>
      </c>
      <c r="I75" s="46">
        <f t="shared" si="34"/>
        <v>0</v>
      </c>
      <c r="J75" s="46">
        <f t="shared" si="34"/>
        <v>0</v>
      </c>
      <c r="K75" s="46">
        <f t="shared" si="34"/>
        <v>0</v>
      </c>
      <c r="L75" s="46">
        <f t="shared" si="34"/>
        <v>0</v>
      </c>
      <c r="M75" s="46">
        <f t="shared" si="34"/>
        <v>0</v>
      </c>
      <c r="N75" s="46">
        <f t="shared" si="34"/>
        <v>0</v>
      </c>
      <c r="O75" s="46">
        <f t="shared" si="34"/>
        <v>0</v>
      </c>
      <c r="P75" s="46">
        <f t="shared" si="34"/>
        <v>0</v>
      </c>
      <c r="Q75" s="46">
        <f t="shared" si="34"/>
        <v>0</v>
      </c>
      <c r="R75" s="46">
        <f t="shared" si="34"/>
        <v>1081892</v>
      </c>
      <c r="S75" s="46">
        <f>R9+R42+R75-'4.1'!B7</f>
        <v>0</v>
      </c>
    </row>
    <row r="76" spans="1:19" x14ac:dyDescent="0.3">
      <c r="A76" s="47" t="s">
        <v>124</v>
      </c>
      <c r="B76" s="46">
        <f t="shared" ref="B76:K80" si="35">SUMIFS(RR_TB,RR_Reporting,$A76,RR_Function,B$71)</f>
        <v>0</v>
      </c>
      <c r="C76" s="46">
        <f t="shared" si="35"/>
        <v>0</v>
      </c>
      <c r="D76" s="46">
        <f t="shared" si="35"/>
        <v>0</v>
      </c>
      <c r="E76" s="46">
        <f t="shared" si="35"/>
        <v>0</v>
      </c>
      <c r="F76" s="46">
        <f t="shared" si="35"/>
        <v>0</v>
      </c>
      <c r="G76" s="46">
        <f t="shared" si="35"/>
        <v>0</v>
      </c>
      <c r="H76" s="46">
        <f t="shared" si="35"/>
        <v>0</v>
      </c>
      <c r="I76" s="46">
        <f t="shared" si="35"/>
        <v>0</v>
      </c>
      <c r="J76" s="46">
        <f t="shared" si="35"/>
        <v>0</v>
      </c>
      <c r="K76" s="46">
        <f t="shared" si="35"/>
        <v>0</v>
      </c>
      <c r="L76" s="46">
        <f t="shared" ref="L76:Q80" si="36">SUMIFS(RR_TB,RR_Reporting,$A76,RR_Function,L$71)</f>
        <v>0</v>
      </c>
      <c r="M76" s="46">
        <f t="shared" si="36"/>
        <v>0</v>
      </c>
      <c r="N76" s="46">
        <f t="shared" si="36"/>
        <v>0</v>
      </c>
      <c r="O76" s="46">
        <f t="shared" si="36"/>
        <v>0</v>
      </c>
      <c r="P76" s="46">
        <f t="shared" si="36"/>
        <v>0</v>
      </c>
      <c r="Q76" s="46">
        <f t="shared" si="36"/>
        <v>0</v>
      </c>
      <c r="R76" s="46">
        <f>SUM(B76:Q76)</f>
        <v>0</v>
      </c>
      <c r="S76" s="46">
        <f>R10+R43+R76-'4.1'!B8</f>
        <v>0</v>
      </c>
    </row>
    <row r="77" spans="1:19" x14ac:dyDescent="0.3">
      <c r="A77" s="47" t="s">
        <v>12</v>
      </c>
      <c r="B77" s="46">
        <f t="shared" si="35"/>
        <v>0</v>
      </c>
      <c r="C77" s="46">
        <f t="shared" si="35"/>
        <v>0</v>
      </c>
      <c r="D77" s="46">
        <f t="shared" si="35"/>
        <v>0</v>
      </c>
      <c r="E77" s="46">
        <f t="shared" si="35"/>
        <v>0</v>
      </c>
      <c r="F77" s="46">
        <f t="shared" si="35"/>
        <v>0</v>
      </c>
      <c r="G77" s="46">
        <f t="shared" si="35"/>
        <v>0</v>
      </c>
      <c r="H77" s="46">
        <f t="shared" si="35"/>
        <v>0</v>
      </c>
      <c r="I77" s="46">
        <f t="shared" si="35"/>
        <v>0</v>
      </c>
      <c r="J77" s="46">
        <f t="shared" si="35"/>
        <v>0</v>
      </c>
      <c r="K77" s="46">
        <f t="shared" si="35"/>
        <v>0</v>
      </c>
      <c r="L77" s="46">
        <f t="shared" si="36"/>
        <v>0</v>
      </c>
      <c r="M77" s="46">
        <f t="shared" si="36"/>
        <v>0</v>
      </c>
      <c r="N77" s="46">
        <f t="shared" si="36"/>
        <v>0</v>
      </c>
      <c r="O77" s="46">
        <f t="shared" si="36"/>
        <v>0</v>
      </c>
      <c r="P77" s="46">
        <f t="shared" si="36"/>
        <v>0</v>
      </c>
      <c r="Q77" s="46">
        <f t="shared" si="36"/>
        <v>0</v>
      </c>
      <c r="R77" s="46">
        <f>SUM(B77:Q77)</f>
        <v>0</v>
      </c>
      <c r="S77" s="46">
        <f>R11+R44+R77-'4.1'!B9</f>
        <v>0</v>
      </c>
    </row>
    <row r="78" spans="1:19" x14ac:dyDescent="0.3">
      <c r="A78" s="47" t="s">
        <v>250</v>
      </c>
      <c r="B78" s="46">
        <f t="shared" si="35"/>
        <v>0</v>
      </c>
      <c r="C78" s="46">
        <f t="shared" si="35"/>
        <v>0</v>
      </c>
      <c r="D78" s="46">
        <f t="shared" si="35"/>
        <v>0</v>
      </c>
      <c r="E78" s="46">
        <f t="shared" si="35"/>
        <v>0</v>
      </c>
      <c r="F78" s="46">
        <f t="shared" si="35"/>
        <v>0</v>
      </c>
      <c r="G78" s="46">
        <f t="shared" si="35"/>
        <v>0</v>
      </c>
      <c r="H78" s="46">
        <f t="shared" si="35"/>
        <v>0</v>
      </c>
      <c r="I78" s="46">
        <f t="shared" si="35"/>
        <v>0</v>
      </c>
      <c r="J78" s="46">
        <f t="shared" si="35"/>
        <v>0</v>
      </c>
      <c r="K78" s="46">
        <f t="shared" si="35"/>
        <v>0</v>
      </c>
      <c r="L78" s="46">
        <f t="shared" si="36"/>
        <v>0</v>
      </c>
      <c r="M78" s="46">
        <f t="shared" si="36"/>
        <v>0</v>
      </c>
      <c r="N78" s="46">
        <f t="shared" si="36"/>
        <v>0</v>
      </c>
      <c r="O78" s="46">
        <f t="shared" si="36"/>
        <v>0</v>
      </c>
      <c r="P78" s="46">
        <f t="shared" si="36"/>
        <v>0</v>
      </c>
      <c r="Q78" s="46">
        <f t="shared" si="36"/>
        <v>0</v>
      </c>
      <c r="R78" s="46">
        <f>SUM(B78:Q78)</f>
        <v>0</v>
      </c>
      <c r="S78" s="46">
        <f>R12+R45+R78-'4.1'!B10</f>
        <v>0</v>
      </c>
    </row>
    <row r="79" spans="1:19" x14ac:dyDescent="0.3">
      <c r="A79" s="47" t="s">
        <v>251</v>
      </c>
      <c r="B79" s="46">
        <f t="shared" si="35"/>
        <v>0</v>
      </c>
      <c r="C79" s="46">
        <f t="shared" si="35"/>
        <v>0</v>
      </c>
      <c r="D79" s="46">
        <f t="shared" si="35"/>
        <v>0</v>
      </c>
      <c r="E79" s="46">
        <f t="shared" si="35"/>
        <v>0</v>
      </c>
      <c r="F79" s="46">
        <f t="shared" si="35"/>
        <v>0</v>
      </c>
      <c r="G79" s="46">
        <f t="shared" si="35"/>
        <v>0</v>
      </c>
      <c r="H79" s="46">
        <f t="shared" si="35"/>
        <v>0</v>
      </c>
      <c r="I79" s="46">
        <f t="shared" si="35"/>
        <v>0</v>
      </c>
      <c r="J79" s="46">
        <f t="shared" si="35"/>
        <v>0</v>
      </c>
      <c r="K79" s="46">
        <f t="shared" si="35"/>
        <v>0</v>
      </c>
      <c r="L79" s="46">
        <f t="shared" si="36"/>
        <v>0</v>
      </c>
      <c r="M79" s="46">
        <f t="shared" si="36"/>
        <v>0</v>
      </c>
      <c r="N79" s="46">
        <f t="shared" si="36"/>
        <v>0</v>
      </c>
      <c r="O79" s="46">
        <f t="shared" si="36"/>
        <v>0</v>
      </c>
      <c r="P79" s="46">
        <f t="shared" si="36"/>
        <v>0</v>
      </c>
      <c r="Q79" s="46">
        <f t="shared" si="36"/>
        <v>0</v>
      </c>
      <c r="R79" s="46">
        <f>SUM(B79:Q79)</f>
        <v>0</v>
      </c>
      <c r="S79" s="46">
        <f>R13+R46+R79-'4.1'!B11</f>
        <v>0</v>
      </c>
    </row>
    <row r="80" spans="1:19" x14ac:dyDescent="0.3">
      <c r="A80" s="47" t="s">
        <v>252</v>
      </c>
      <c r="B80" s="46">
        <f t="shared" si="35"/>
        <v>0</v>
      </c>
      <c r="C80" s="46">
        <f t="shared" si="35"/>
        <v>0</v>
      </c>
      <c r="D80" s="46">
        <f t="shared" si="35"/>
        <v>2086025</v>
      </c>
      <c r="E80" s="46">
        <f t="shared" si="35"/>
        <v>0</v>
      </c>
      <c r="F80" s="46">
        <f t="shared" si="35"/>
        <v>0</v>
      </c>
      <c r="G80" s="46">
        <f t="shared" si="35"/>
        <v>0</v>
      </c>
      <c r="H80" s="46">
        <f t="shared" si="35"/>
        <v>0</v>
      </c>
      <c r="I80" s="46">
        <f t="shared" si="35"/>
        <v>0</v>
      </c>
      <c r="J80" s="46">
        <f t="shared" si="35"/>
        <v>0</v>
      </c>
      <c r="K80" s="46">
        <f t="shared" si="35"/>
        <v>0</v>
      </c>
      <c r="L80" s="46">
        <f t="shared" si="36"/>
        <v>0</v>
      </c>
      <c r="M80" s="46">
        <f t="shared" si="36"/>
        <v>0</v>
      </c>
      <c r="N80" s="46">
        <f t="shared" si="36"/>
        <v>0</v>
      </c>
      <c r="O80" s="46">
        <f t="shared" si="36"/>
        <v>0</v>
      </c>
      <c r="P80" s="46">
        <f t="shared" si="36"/>
        <v>0</v>
      </c>
      <c r="Q80" s="46">
        <f t="shared" si="36"/>
        <v>0</v>
      </c>
      <c r="R80" s="46">
        <f>SUM(B80:Q80)</f>
        <v>2086025</v>
      </c>
      <c r="S80" s="46">
        <f>R14+R47+R80-'4.1'!B12</f>
        <v>0</v>
      </c>
    </row>
    <row r="81" spans="1:19" x14ac:dyDescent="0.3">
      <c r="A81" s="47" t="s">
        <v>253</v>
      </c>
      <c r="B81" s="46">
        <f t="shared" ref="B81:R81" si="37">SUBTOTAL(9,B72:B80)</f>
        <v>0</v>
      </c>
      <c r="C81" s="46">
        <f t="shared" si="37"/>
        <v>1081892</v>
      </c>
      <c r="D81" s="46">
        <f t="shared" si="37"/>
        <v>2086025</v>
      </c>
      <c r="E81" s="46">
        <f t="shared" si="37"/>
        <v>0</v>
      </c>
      <c r="F81" s="46">
        <f t="shared" si="37"/>
        <v>0</v>
      </c>
      <c r="G81" s="46">
        <f t="shared" si="37"/>
        <v>0</v>
      </c>
      <c r="H81" s="46">
        <f t="shared" si="37"/>
        <v>0</v>
      </c>
      <c r="I81" s="46">
        <f t="shared" si="37"/>
        <v>0</v>
      </c>
      <c r="J81" s="46">
        <f t="shared" si="37"/>
        <v>0</v>
      </c>
      <c r="K81" s="46">
        <f t="shared" si="37"/>
        <v>0</v>
      </c>
      <c r="L81" s="46">
        <f t="shared" si="37"/>
        <v>0</v>
      </c>
      <c r="M81" s="46">
        <f t="shared" si="37"/>
        <v>0</v>
      </c>
      <c r="N81" s="46">
        <f t="shared" si="37"/>
        <v>0</v>
      </c>
      <c r="O81" s="46">
        <f t="shared" si="37"/>
        <v>0</v>
      </c>
      <c r="P81" s="46">
        <f t="shared" si="37"/>
        <v>0</v>
      </c>
      <c r="Q81" s="46">
        <f t="shared" si="37"/>
        <v>0</v>
      </c>
      <c r="R81" s="46">
        <f t="shared" si="37"/>
        <v>3167917</v>
      </c>
      <c r="S81" s="46">
        <f>R15+R48+R81-'4.1'!B13</f>
        <v>0</v>
      </c>
    </row>
    <row r="82" spans="1:19" x14ac:dyDescent="0.3">
      <c r="A82" s="48" t="s">
        <v>138</v>
      </c>
      <c r="S82" s="46">
        <f>R16+R49+R82-'4.1'!B14</f>
        <v>0</v>
      </c>
    </row>
    <row r="83" spans="1:19" x14ac:dyDescent="0.3">
      <c r="A83" s="47" t="s">
        <v>479</v>
      </c>
      <c r="B83" s="46">
        <f t="shared" ref="B83:Q85" si="38">SUMIFS(RR_TB,RR_Reporting,$A83,RR_Function,B$71)</f>
        <v>0</v>
      </c>
      <c r="C83" s="46">
        <f t="shared" si="38"/>
        <v>0</v>
      </c>
      <c r="D83" s="46">
        <f t="shared" si="38"/>
        <v>0</v>
      </c>
      <c r="E83" s="46">
        <f t="shared" si="38"/>
        <v>0</v>
      </c>
      <c r="F83" s="46">
        <f t="shared" si="38"/>
        <v>0</v>
      </c>
      <c r="G83" s="46">
        <f t="shared" si="38"/>
        <v>0</v>
      </c>
      <c r="H83" s="46">
        <f t="shared" si="38"/>
        <v>0</v>
      </c>
      <c r="I83" s="46">
        <f t="shared" si="38"/>
        <v>0</v>
      </c>
      <c r="J83" s="46">
        <f t="shared" si="38"/>
        <v>0</v>
      </c>
      <c r="K83" s="46">
        <f t="shared" si="38"/>
        <v>0</v>
      </c>
      <c r="L83" s="46">
        <f t="shared" ref="L83:Q85" si="39">SUMIFS(RR_TB,RR_Reporting,$A83,RR_Function,L$71)</f>
        <v>0</v>
      </c>
      <c r="M83" s="46">
        <f t="shared" si="39"/>
        <v>0</v>
      </c>
      <c r="N83" s="46">
        <f t="shared" si="39"/>
        <v>0</v>
      </c>
      <c r="O83" s="46">
        <f t="shared" si="39"/>
        <v>0</v>
      </c>
      <c r="P83" s="46">
        <f t="shared" si="39"/>
        <v>0</v>
      </c>
      <c r="Q83" s="46">
        <f t="shared" si="39"/>
        <v>0</v>
      </c>
      <c r="R83" s="46">
        <f>SUM(B83:Q83)</f>
        <v>0</v>
      </c>
      <c r="S83" s="46">
        <f>R17+R50+R83-'4.1'!B15</f>
        <v>0</v>
      </c>
    </row>
    <row r="84" spans="1:19" x14ac:dyDescent="0.3">
      <c r="A84" s="47" t="s">
        <v>725</v>
      </c>
      <c r="B84" s="46">
        <f t="shared" si="38"/>
        <v>0</v>
      </c>
      <c r="C84" s="46">
        <f t="shared" si="38"/>
        <v>0</v>
      </c>
      <c r="D84" s="46">
        <f t="shared" si="38"/>
        <v>0</v>
      </c>
      <c r="E84" s="46">
        <f t="shared" si="38"/>
        <v>0</v>
      </c>
      <c r="F84" s="46">
        <f t="shared" si="38"/>
        <v>0</v>
      </c>
      <c r="G84" s="46">
        <f t="shared" si="38"/>
        <v>0</v>
      </c>
      <c r="H84" s="46">
        <f t="shared" si="38"/>
        <v>0</v>
      </c>
      <c r="I84" s="46">
        <f t="shared" si="38"/>
        <v>0</v>
      </c>
      <c r="J84" s="46">
        <f t="shared" si="38"/>
        <v>0</v>
      </c>
      <c r="K84" s="46">
        <f t="shared" si="38"/>
        <v>0</v>
      </c>
      <c r="L84" s="46">
        <f t="shared" si="38"/>
        <v>0</v>
      </c>
      <c r="M84" s="46">
        <f t="shared" si="38"/>
        <v>0</v>
      </c>
      <c r="N84" s="46">
        <f t="shared" si="38"/>
        <v>0</v>
      </c>
      <c r="O84" s="46">
        <f t="shared" si="38"/>
        <v>0</v>
      </c>
      <c r="P84" s="46">
        <f t="shared" si="38"/>
        <v>0</v>
      </c>
      <c r="Q84" s="46">
        <f t="shared" si="38"/>
        <v>0</v>
      </c>
      <c r="R84" s="46">
        <f>SUM(B84:Q84)</f>
        <v>0</v>
      </c>
    </row>
    <row r="85" spans="1:19" x14ac:dyDescent="0.3">
      <c r="A85" s="47" t="s">
        <v>480</v>
      </c>
      <c r="B85" s="46">
        <f t="shared" si="38"/>
        <v>27001358</v>
      </c>
      <c r="C85" s="46">
        <f t="shared" si="38"/>
        <v>0</v>
      </c>
      <c r="D85" s="46">
        <f t="shared" si="38"/>
        <v>0</v>
      </c>
      <c r="E85" s="46">
        <f t="shared" si="38"/>
        <v>0</v>
      </c>
      <c r="F85" s="46">
        <f t="shared" si="38"/>
        <v>0</v>
      </c>
      <c r="G85" s="46">
        <f t="shared" si="38"/>
        <v>0</v>
      </c>
      <c r="H85" s="46">
        <f t="shared" si="38"/>
        <v>0</v>
      </c>
      <c r="I85" s="46">
        <f t="shared" si="38"/>
        <v>0</v>
      </c>
      <c r="J85" s="46">
        <f t="shared" si="38"/>
        <v>0</v>
      </c>
      <c r="K85" s="46">
        <f t="shared" si="38"/>
        <v>0</v>
      </c>
      <c r="L85" s="46">
        <f t="shared" si="39"/>
        <v>0</v>
      </c>
      <c r="M85" s="46">
        <f t="shared" si="39"/>
        <v>0</v>
      </c>
      <c r="N85" s="46">
        <f t="shared" si="39"/>
        <v>0</v>
      </c>
      <c r="O85" s="46">
        <f t="shared" si="39"/>
        <v>0</v>
      </c>
      <c r="P85" s="46">
        <f t="shared" si="39"/>
        <v>0</v>
      </c>
      <c r="Q85" s="46">
        <f t="shared" si="39"/>
        <v>0</v>
      </c>
      <c r="R85" s="46">
        <f>SUM(B85:Q85)</f>
        <v>27001358</v>
      </c>
      <c r="S85" s="46">
        <f>R19+R52+R85-'4.1'!B17</f>
        <v>0</v>
      </c>
    </row>
    <row r="86" spans="1:19" x14ac:dyDescent="0.3">
      <c r="A86" s="47" t="s">
        <v>254</v>
      </c>
      <c r="B86" s="46">
        <f>SUBTOTAL(9,B82:B85)</f>
        <v>27001358</v>
      </c>
      <c r="C86" s="46">
        <f t="shared" ref="C86:R86" si="40">SUBTOTAL(9,C82:C85)</f>
        <v>0</v>
      </c>
      <c r="D86" s="46">
        <f t="shared" si="40"/>
        <v>0</v>
      </c>
      <c r="E86" s="46">
        <f t="shared" si="40"/>
        <v>0</v>
      </c>
      <c r="F86" s="46">
        <f t="shared" si="40"/>
        <v>0</v>
      </c>
      <c r="G86" s="46">
        <f t="shared" si="40"/>
        <v>0</v>
      </c>
      <c r="H86" s="46">
        <f t="shared" si="40"/>
        <v>0</v>
      </c>
      <c r="I86" s="46">
        <f t="shared" si="40"/>
        <v>0</v>
      </c>
      <c r="J86" s="46">
        <f t="shared" si="40"/>
        <v>0</v>
      </c>
      <c r="K86" s="46">
        <f t="shared" si="40"/>
        <v>0</v>
      </c>
      <c r="L86" s="46">
        <f t="shared" si="40"/>
        <v>0</v>
      </c>
      <c r="M86" s="46">
        <f t="shared" si="40"/>
        <v>0</v>
      </c>
      <c r="N86" s="46">
        <f t="shared" si="40"/>
        <v>0</v>
      </c>
      <c r="O86" s="46">
        <f t="shared" si="40"/>
        <v>0</v>
      </c>
      <c r="P86" s="46">
        <f t="shared" si="40"/>
        <v>0</v>
      </c>
      <c r="Q86" s="46">
        <f t="shared" si="40"/>
        <v>0</v>
      </c>
      <c r="R86" s="46">
        <f t="shared" si="40"/>
        <v>27001358</v>
      </c>
      <c r="S86" s="46">
        <f>R20+R53+R86-'4.1'!B18</f>
        <v>0</v>
      </c>
    </row>
    <row r="87" spans="1:19" x14ac:dyDescent="0.3">
      <c r="A87" s="46" t="s">
        <v>263</v>
      </c>
      <c r="B87" s="46">
        <f t="shared" ref="B87:R87" si="41">SUBTOTAL(9,B72:B86)</f>
        <v>27001358</v>
      </c>
      <c r="C87" s="46">
        <f t="shared" si="41"/>
        <v>1081892</v>
      </c>
      <c r="D87" s="46">
        <f t="shared" si="41"/>
        <v>2086025</v>
      </c>
      <c r="E87" s="46">
        <f t="shared" si="41"/>
        <v>0</v>
      </c>
      <c r="F87" s="46">
        <f t="shared" si="41"/>
        <v>0</v>
      </c>
      <c r="G87" s="46">
        <f t="shared" si="41"/>
        <v>0</v>
      </c>
      <c r="H87" s="46">
        <f t="shared" si="41"/>
        <v>0</v>
      </c>
      <c r="I87" s="46">
        <f t="shared" si="41"/>
        <v>0</v>
      </c>
      <c r="J87" s="46">
        <f t="shared" si="41"/>
        <v>0</v>
      </c>
      <c r="K87" s="46">
        <f t="shared" si="41"/>
        <v>0</v>
      </c>
      <c r="L87" s="46">
        <f t="shared" si="41"/>
        <v>0</v>
      </c>
      <c r="M87" s="46">
        <f t="shared" si="41"/>
        <v>0</v>
      </c>
      <c r="N87" s="46">
        <f t="shared" si="41"/>
        <v>0</v>
      </c>
      <c r="O87" s="46">
        <f t="shared" si="41"/>
        <v>0</v>
      </c>
      <c r="P87" s="46">
        <f t="shared" si="41"/>
        <v>0</v>
      </c>
      <c r="Q87" s="46">
        <f t="shared" si="41"/>
        <v>0</v>
      </c>
      <c r="R87" s="46">
        <f t="shared" si="41"/>
        <v>30169275</v>
      </c>
      <c r="S87" s="46">
        <f>R21+R54+R87-'4.1'!B19</f>
        <v>0</v>
      </c>
    </row>
    <row r="88" spans="1:19" x14ac:dyDescent="0.3">
      <c r="A88" s="46" t="s">
        <v>246</v>
      </c>
    </row>
    <row r="89" spans="1:19" x14ac:dyDescent="0.3">
      <c r="A89" s="47" t="s">
        <v>255</v>
      </c>
      <c r="B89" s="46">
        <f t="shared" ref="B89:Q93" si="42">SUMIFS(RR_TB,RR_Reporting,$A89,RR_Function,B$71)</f>
        <v>0</v>
      </c>
      <c r="C89" s="46">
        <f t="shared" si="42"/>
        <v>0</v>
      </c>
      <c r="D89" s="46">
        <f t="shared" si="42"/>
        <v>0</v>
      </c>
      <c r="E89" s="46">
        <f t="shared" si="42"/>
        <v>14742248</v>
      </c>
      <c r="F89" s="46">
        <f t="shared" si="42"/>
        <v>0</v>
      </c>
      <c r="G89" s="46">
        <f t="shared" si="42"/>
        <v>0</v>
      </c>
      <c r="H89" s="46">
        <f t="shared" si="42"/>
        <v>0</v>
      </c>
      <c r="I89" s="46">
        <f t="shared" si="42"/>
        <v>0</v>
      </c>
      <c r="J89" s="46">
        <f t="shared" si="42"/>
        <v>0</v>
      </c>
      <c r="K89" s="46">
        <f t="shared" si="42"/>
        <v>0</v>
      </c>
      <c r="L89" s="46">
        <f t="shared" ref="L89:Q93" si="43">SUMIFS(RR_TB,RR_Reporting,$A89,RR_Function,L$71)</f>
        <v>0</v>
      </c>
      <c r="M89" s="46">
        <f t="shared" si="43"/>
        <v>0</v>
      </c>
      <c r="N89" s="46">
        <f t="shared" si="43"/>
        <v>0</v>
      </c>
      <c r="O89" s="46">
        <f t="shared" si="43"/>
        <v>0</v>
      </c>
      <c r="P89" s="46">
        <f t="shared" si="43"/>
        <v>0</v>
      </c>
      <c r="Q89" s="46">
        <f t="shared" si="43"/>
        <v>0</v>
      </c>
      <c r="R89" s="46">
        <f>SUM(B89:Q89)</f>
        <v>14742248</v>
      </c>
      <c r="S89" s="46">
        <f>R23+R56+R89-'4.1'!B21</f>
        <v>0</v>
      </c>
    </row>
    <row r="90" spans="1:19" x14ac:dyDescent="0.3">
      <c r="A90" s="47" t="s">
        <v>256</v>
      </c>
      <c r="B90" s="46">
        <f t="shared" si="42"/>
        <v>0</v>
      </c>
      <c r="C90" s="46">
        <f t="shared" si="42"/>
        <v>0</v>
      </c>
      <c r="D90" s="46">
        <f t="shared" si="42"/>
        <v>0</v>
      </c>
      <c r="E90" s="46">
        <f t="shared" si="42"/>
        <v>1336713</v>
      </c>
      <c r="F90" s="46">
        <f t="shared" si="42"/>
        <v>0</v>
      </c>
      <c r="G90" s="46">
        <f t="shared" si="42"/>
        <v>0</v>
      </c>
      <c r="H90" s="46">
        <f t="shared" si="42"/>
        <v>0</v>
      </c>
      <c r="I90" s="46">
        <f t="shared" si="42"/>
        <v>0</v>
      </c>
      <c r="J90" s="46">
        <f t="shared" si="42"/>
        <v>0</v>
      </c>
      <c r="K90" s="46">
        <f t="shared" si="42"/>
        <v>0</v>
      </c>
      <c r="L90" s="46">
        <f t="shared" si="43"/>
        <v>0</v>
      </c>
      <c r="M90" s="46">
        <f t="shared" si="43"/>
        <v>0</v>
      </c>
      <c r="N90" s="46">
        <f t="shared" si="43"/>
        <v>0</v>
      </c>
      <c r="O90" s="46">
        <f t="shared" si="43"/>
        <v>0</v>
      </c>
      <c r="P90" s="46">
        <f t="shared" si="43"/>
        <v>0</v>
      </c>
      <c r="Q90" s="46">
        <f t="shared" si="43"/>
        <v>0</v>
      </c>
      <c r="R90" s="46">
        <f>SUM(B90:Q90)</f>
        <v>1336713</v>
      </c>
      <c r="S90" s="46">
        <f>R24+R57+R90-'4.1'!B22</f>
        <v>0</v>
      </c>
    </row>
    <row r="91" spans="1:19" x14ac:dyDescent="0.3">
      <c r="A91" s="47" t="s">
        <v>257</v>
      </c>
      <c r="B91" s="46">
        <f t="shared" si="42"/>
        <v>0</v>
      </c>
      <c r="C91" s="46">
        <f t="shared" si="42"/>
        <v>0</v>
      </c>
      <c r="D91" s="46">
        <f t="shared" si="42"/>
        <v>0</v>
      </c>
      <c r="E91" s="46">
        <f t="shared" si="42"/>
        <v>-778959</v>
      </c>
      <c r="F91" s="46">
        <f t="shared" si="42"/>
        <v>0</v>
      </c>
      <c r="G91" s="46">
        <f t="shared" si="42"/>
        <v>0</v>
      </c>
      <c r="H91" s="46">
        <f t="shared" si="42"/>
        <v>0</v>
      </c>
      <c r="I91" s="46">
        <f t="shared" si="42"/>
        <v>0</v>
      </c>
      <c r="J91" s="46">
        <f t="shared" si="42"/>
        <v>0</v>
      </c>
      <c r="K91" s="46">
        <f t="shared" si="42"/>
        <v>0</v>
      </c>
      <c r="L91" s="46">
        <f t="shared" si="43"/>
        <v>0</v>
      </c>
      <c r="M91" s="46">
        <f t="shared" si="43"/>
        <v>0</v>
      </c>
      <c r="N91" s="46">
        <f t="shared" si="43"/>
        <v>0</v>
      </c>
      <c r="O91" s="46">
        <f t="shared" si="43"/>
        <v>0</v>
      </c>
      <c r="P91" s="46">
        <f t="shared" si="43"/>
        <v>0</v>
      </c>
      <c r="Q91" s="46">
        <f t="shared" si="43"/>
        <v>0</v>
      </c>
      <c r="R91" s="46">
        <f>SUM(B91:Q91)</f>
        <v>-778959</v>
      </c>
      <c r="S91" s="46">
        <f>R25+R58+R91-'4.1'!B23</f>
        <v>0</v>
      </c>
    </row>
    <row r="92" spans="1:19" x14ac:dyDescent="0.3">
      <c r="A92" s="47" t="s">
        <v>728</v>
      </c>
      <c r="B92" s="46">
        <f t="shared" si="42"/>
        <v>0</v>
      </c>
      <c r="C92" s="46">
        <f t="shared" si="42"/>
        <v>0</v>
      </c>
      <c r="D92" s="46">
        <f t="shared" si="42"/>
        <v>0</v>
      </c>
      <c r="E92" s="46">
        <f t="shared" si="42"/>
        <v>-48812</v>
      </c>
      <c r="F92" s="46">
        <f t="shared" si="42"/>
        <v>0</v>
      </c>
      <c r="G92" s="46">
        <f t="shared" si="42"/>
        <v>0</v>
      </c>
      <c r="H92" s="46">
        <f t="shared" si="42"/>
        <v>0</v>
      </c>
      <c r="I92" s="46">
        <f t="shared" si="42"/>
        <v>0</v>
      </c>
      <c r="J92" s="46">
        <f t="shared" si="42"/>
        <v>0</v>
      </c>
      <c r="K92" s="46">
        <f t="shared" si="42"/>
        <v>0</v>
      </c>
      <c r="L92" s="46">
        <f t="shared" si="42"/>
        <v>0</v>
      </c>
      <c r="M92" s="46">
        <f t="shared" si="42"/>
        <v>0</v>
      </c>
      <c r="N92" s="46">
        <f t="shared" si="42"/>
        <v>0</v>
      </c>
      <c r="O92" s="46">
        <f t="shared" si="42"/>
        <v>0</v>
      </c>
      <c r="P92" s="46">
        <f t="shared" si="42"/>
        <v>0</v>
      </c>
      <c r="Q92" s="46">
        <f t="shared" si="42"/>
        <v>0</v>
      </c>
      <c r="R92" s="46">
        <f>SUM(B92:Q92)</f>
        <v>-48812</v>
      </c>
    </row>
    <row r="93" spans="1:19" x14ac:dyDescent="0.3">
      <c r="A93" s="47" t="s">
        <v>258</v>
      </c>
      <c r="B93" s="46">
        <f t="shared" si="42"/>
        <v>0</v>
      </c>
      <c r="C93" s="46">
        <f t="shared" si="42"/>
        <v>0</v>
      </c>
      <c r="D93" s="46">
        <f t="shared" si="42"/>
        <v>0</v>
      </c>
      <c r="E93" s="46">
        <f t="shared" si="42"/>
        <v>24888</v>
      </c>
      <c r="F93" s="46">
        <f t="shared" si="42"/>
        <v>0</v>
      </c>
      <c r="G93" s="46">
        <f t="shared" si="42"/>
        <v>0</v>
      </c>
      <c r="H93" s="46">
        <f t="shared" si="42"/>
        <v>0</v>
      </c>
      <c r="I93" s="46">
        <f t="shared" si="42"/>
        <v>0</v>
      </c>
      <c r="J93" s="46">
        <f t="shared" si="42"/>
        <v>0</v>
      </c>
      <c r="K93" s="46">
        <f t="shared" si="42"/>
        <v>0</v>
      </c>
      <c r="L93" s="46">
        <f t="shared" si="43"/>
        <v>0</v>
      </c>
      <c r="M93" s="46">
        <f t="shared" si="43"/>
        <v>0</v>
      </c>
      <c r="N93" s="46">
        <f t="shared" si="43"/>
        <v>0</v>
      </c>
      <c r="O93" s="46">
        <f t="shared" si="43"/>
        <v>0</v>
      </c>
      <c r="P93" s="46">
        <f t="shared" si="43"/>
        <v>0</v>
      </c>
      <c r="Q93" s="46">
        <f t="shared" si="43"/>
        <v>0</v>
      </c>
      <c r="R93" s="46">
        <f>SUM(B93:Q93)</f>
        <v>24888</v>
      </c>
      <c r="S93" s="46">
        <f>R27+R60+R93-'4.1'!B25</f>
        <v>0</v>
      </c>
    </row>
    <row r="94" spans="1:19" x14ac:dyDescent="0.3">
      <c r="A94" s="47" t="s">
        <v>259</v>
      </c>
      <c r="B94" s="46">
        <f>SUBTOTAL(9,B88:B93)</f>
        <v>0</v>
      </c>
      <c r="C94" s="46">
        <f t="shared" ref="C94:R94" si="44">SUBTOTAL(9,C88:C93)</f>
        <v>0</v>
      </c>
      <c r="D94" s="46">
        <f t="shared" si="44"/>
        <v>0</v>
      </c>
      <c r="E94" s="46">
        <f t="shared" si="44"/>
        <v>15276078</v>
      </c>
      <c r="F94" s="46">
        <f t="shared" si="44"/>
        <v>0</v>
      </c>
      <c r="G94" s="46">
        <f t="shared" si="44"/>
        <v>0</v>
      </c>
      <c r="H94" s="46">
        <f t="shared" si="44"/>
        <v>0</v>
      </c>
      <c r="I94" s="46">
        <f t="shared" si="44"/>
        <v>0</v>
      </c>
      <c r="J94" s="46">
        <f t="shared" si="44"/>
        <v>0</v>
      </c>
      <c r="K94" s="46">
        <f t="shared" si="44"/>
        <v>0</v>
      </c>
      <c r="L94" s="46">
        <f t="shared" si="44"/>
        <v>0</v>
      </c>
      <c r="M94" s="46">
        <f t="shared" si="44"/>
        <v>0</v>
      </c>
      <c r="N94" s="46">
        <f t="shared" si="44"/>
        <v>0</v>
      </c>
      <c r="O94" s="46">
        <f t="shared" si="44"/>
        <v>0</v>
      </c>
      <c r="P94" s="46">
        <f t="shared" si="44"/>
        <v>0</v>
      </c>
      <c r="Q94" s="46">
        <f t="shared" si="44"/>
        <v>0</v>
      </c>
      <c r="R94" s="46">
        <f t="shared" si="44"/>
        <v>15276078</v>
      </c>
      <c r="S94" s="46">
        <f>R28+R61+R94-'4.1'!B26</f>
        <v>0</v>
      </c>
    </row>
    <row r="95" spans="1:19" x14ac:dyDescent="0.3">
      <c r="A95" s="46" t="s">
        <v>260</v>
      </c>
      <c r="B95" s="46">
        <f t="shared" ref="B95:R95" si="45">SUBTOTAL(9,B96:B97)</f>
        <v>0</v>
      </c>
      <c r="C95" s="46">
        <f t="shared" si="45"/>
        <v>0</v>
      </c>
      <c r="D95" s="46">
        <f t="shared" si="45"/>
        <v>0</v>
      </c>
      <c r="E95" s="46">
        <f t="shared" si="45"/>
        <v>25764648</v>
      </c>
      <c r="F95" s="46">
        <f t="shared" si="45"/>
        <v>0</v>
      </c>
      <c r="G95" s="46">
        <f t="shared" si="45"/>
        <v>0</v>
      </c>
      <c r="H95" s="46">
        <f t="shared" si="45"/>
        <v>0</v>
      </c>
      <c r="I95" s="46">
        <f t="shared" si="45"/>
        <v>0</v>
      </c>
      <c r="J95" s="46">
        <f t="shared" si="45"/>
        <v>0</v>
      </c>
      <c r="K95" s="46">
        <f t="shared" si="45"/>
        <v>0</v>
      </c>
      <c r="L95" s="46">
        <f t="shared" si="45"/>
        <v>0</v>
      </c>
      <c r="M95" s="46">
        <f t="shared" si="45"/>
        <v>0</v>
      </c>
      <c r="N95" s="46">
        <f t="shared" si="45"/>
        <v>0</v>
      </c>
      <c r="O95" s="46">
        <f t="shared" si="45"/>
        <v>0</v>
      </c>
      <c r="P95" s="46">
        <f t="shared" si="45"/>
        <v>0</v>
      </c>
      <c r="Q95" s="46">
        <f t="shared" si="45"/>
        <v>0</v>
      </c>
      <c r="R95" s="46">
        <f t="shared" si="45"/>
        <v>25764648</v>
      </c>
      <c r="S95" s="46">
        <f>R29+R62+R95-'4.1'!B27</f>
        <v>0</v>
      </c>
    </row>
    <row r="96" spans="1:19" x14ac:dyDescent="0.3">
      <c r="A96" s="46" t="s">
        <v>261</v>
      </c>
      <c r="B96" s="46">
        <f t="shared" ref="B96:K100" si="46">SUMIFS(RR_TB,RR_Reporting,$A96,RR_Function,B$71)</f>
        <v>0</v>
      </c>
      <c r="C96" s="46">
        <f t="shared" si="46"/>
        <v>0</v>
      </c>
      <c r="D96" s="46">
        <f t="shared" si="46"/>
        <v>0</v>
      </c>
      <c r="E96" s="46">
        <f t="shared" si="46"/>
        <v>8025872</v>
      </c>
      <c r="F96" s="46">
        <f t="shared" si="46"/>
        <v>0</v>
      </c>
      <c r="G96" s="46">
        <f t="shared" si="46"/>
        <v>0</v>
      </c>
      <c r="H96" s="46">
        <f t="shared" si="46"/>
        <v>0</v>
      </c>
      <c r="I96" s="46">
        <f t="shared" si="46"/>
        <v>0</v>
      </c>
      <c r="J96" s="46">
        <f t="shared" si="46"/>
        <v>0</v>
      </c>
      <c r="K96" s="46">
        <f t="shared" si="46"/>
        <v>0</v>
      </c>
      <c r="L96" s="46">
        <f t="shared" ref="L96:Q100" si="47">SUMIFS(RR_TB,RR_Reporting,$A96,RR_Function,L$71)</f>
        <v>0</v>
      </c>
      <c r="M96" s="46">
        <f t="shared" si="47"/>
        <v>0</v>
      </c>
      <c r="N96" s="46">
        <f t="shared" si="47"/>
        <v>0</v>
      </c>
      <c r="O96" s="46">
        <f t="shared" si="47"/>
        <v>0</v>
      </c>
      <c r="P96" s="46">
        <f t="shared" si="47"/>
        <v>0</v>
      </c>
      <c r="Q96" s="46">
        <f t="shared" si="47"/>
        <v>0</v>
      </c>
      <c r="R96" s="46">
        <f>SUM(B96:Q96)</f>
        <v>8025872</v>
      </c>
      <c r="S96" s="46">
        <f>R30+R63+R96-'4.1'!B28</f>
        <v>0</v>
      </c>
    </row>
    <row r="97" spans="1:19" x14ac:dyDescent="0.3">
      <c r="A97" s="46" t="s">
        <v>606</v>
      </c>
      <c r="B97" s="46">
        <f t="shared" si="46"/>
        <v>0</v>
      </c>
      <c r="C97" s="46">
        <f t="shared" si="46"/>
        <v>0</v>
      </c>
      <c r="D97" s="46">
        <f t="shared" si="46"/>
        <v>0</v>
      </c>
      <c r="E97" s="46">
        <f t="shared" si="46"/>
        <v>17738776</v>
      </c>
      <c r="F97" s="46">
        <f t="shared" si="46"/>
        <v>0</v>
      </c>
      <c r="G97" s="46">
        <f t="shared" si="46"/>
        <v>0</v>
      </c>
      <c r="H97" s="46">
        <f t="shared" si="46"/>
        <v>0</v>
      </c>
      <c r="I97" s="46">
        <f t="shared" si="46"/>
        <v>0</v>
      </c>
      <c r="J97" s="46">
        <f t="shared" si="46"/>
        <v>0</v>
      </c>
      <c r="K97" s="46">
        <f t="shared" si="46"/>
        <v>0</v>
      </c>
      <c r="L97" s="46">
        <f t="shared" si="47"/>
        <v>0</v>
      </c>
      <c r="M97" s="46">
        <f t="shared" si="47"/>
        <v>0</v>
      </c>
      <c r="N97" s="46">
        <f t="shared" si="47"/>
        <v>0</v>
      </c>
      <c r="O97" s="46">
        <f t="shared" si="47"/>
        <v>0</v>
      </c>
      <c r="P97" s="46">
        <f t="shared" si="47"/>
        <v>0</v>
      </c>
      <c r="Q97" s="46">
        <f t="shared" si="47"/>
        <v>0</v>
      </c>
      <c r="R97" s="46">
        <f>SUM(B97:Q97)</f>
        <v>17738776</v>
      </c>
      <c r="S97" s="46">
        <f>R31+R64+R97-'4.1'!B29</f>
        <v>0</v>
      </c>
    </row>
    <row r="98" spans="1:19" x14ac:dyDescent="0.3">
      <c r="A98" s="46" t="s">
        <v>629</v>
      </c>
      <c r="B98" s="46">
        <f>SUBTOTAL(9,B72:B97)</f>
        <v>27001358</v>
      </c>
      <c r="C98" s="46">
        <f t="shared" ref="C98:R98" si="48">SUBTOTAL(9,C72:C97)</f>
        <v>1081892</v>
      </c>
      <c r="D98" s="46">
        <f t="shared" si="48"/>
        <v>2086025</v>
      </c>
      <c r="E98" s="46">
        <f t="shared" si="48"/>
        <v>41040726</v>
      </c>
      <c r="F98" s="46">
        <f t="shared" si="48"/>
        <v>0</v>
      </c>
      <c r="G98" s="46">
        <f t="shared" si="48"/>
        <v>0</v>
      </c>
      <c r="H98" s="46">
        <f t="shared" si="48"/>
        <v>0</v>
      </c>
      <c r="I98" s="46">
        <f t="shared" si="48"/>
        <v>0</v>
      </c>
      <c r="J98" s="46">
        <f t="shared" si="48"/>
        <v>0</v>
      </c>
      <c r="K98" s="46">
        <f t="shared" si="48"/>
        <v>0</v>
      </c>
      <c r="L98" s="46">
        <f t="shared" si="48"/>
        <v>0</v>
      </c>
      <c r="M98" s="46">
        <f t="shared" si="48"/>
        <v>0</v>
      </c>
      <c r="N98" s="46">
        <f t="shared" si="48"/>
        <v>0</v>
      </c>
      <c r="O98" s="46">
        <f t="shared" si="48"/>
        <v>0</v>
      </c>
      <c r="P98" s="46">
        <f t="shared" si="48"/>
        <v>0</v>
      </c>
      <c r="Q98" s="46">
        <f t="shared" si="48"/>
        <v>0</v>
      </c>
      <c r="R98" s="46">
        <f t="shared" si="48"/>
        <v>71210001</v>
      </c>
      <c r="S98" s="46">
        <f>R32+R65+R98-'4.1'!B30</f>
        <v>0</v>
      </c>
    </row>
    <row r="99" spans="1:19" x14ac:dyDescent="0.3">
      <c r="A99" s="46" t="s">
        <v>632</v>
      </c>
      <c r="B99" s="46">
        <f t="shared" si="46"/>
        <v>0</v>
      </c>
      <c r="C99" s="46">
        <f t="shared" si="46"/>
        <v>0</v>
      </c>
      <c r="D99" s="46">
        <f t="shared" si="46"/>
        <v>0</v>
      </c>
      <c r="E99" s="46">
        <f t="shared" si="46"/>
        <v>0</v>
      </c>
      <c r="F99" s="46">
        <f t="shared" si="46"/>
        <v>0</v>
      </c>
      <c r="G99" s="46">
        <f t="shared" si="46"/>
        <v>0</v>
      </c>
      <c r="H99" s="46">
        <f t="shared" si="46"/>
        <v>0</v>
      </c>
      <c r="I99" s="46">
        <f t="shared" si="46"/>
        <v>0</v>
      </c>
      <c r="J99" s="46">
        <f t="shared" si="46"/>
        <v>0</v>
      </c>
      <c r="K99" s="46">
        <f t="shared" si="46"/>
        <v>0</v>
      </c>
      <c r="L99" s="46">
        <f t="shared" si="47"/>
        <v>0</v>
      </c>
      <c r="M99" s="46">
        <f t="shared" si="47"/>
        <v>0</v>
      </c>
      <c r="N99" s="46">
        <f t="shared" si="47"/>
        <v>0</v>
      </c>
      <c r="O99" s="46">
        <f t="shared" si="47"/>
        <v>0</v>
      </c>
      <c r="P99" s="46">
        <f t="shared" si="47"/>
        <v>0</v>
      </c>
      <c r="Q99" s="46">
        <f t="shared" si="47"/>
        <v>0</v>
      </c>
      <c r="R99" s="46">
        <f>SUM(B99:Q99)</f>
        <v>0</v>
      </c>
      <c r="S99" s="46">
        <f>R33+R66+R99-'4.1'!B31</f>
        <v>0</v>
      </c>
    </row>
    <row r="100" spans="1:19" x14ac:dyDescent="0.3">
      <c r="A100" s="46" t="s">
        <v>631</v>
      </c>
      <c r="B100" s="46">
        <f t="shared" si="46"/>
        <v>0</v>
      </c>
      <c r="C100" s="46">
        <f t="shared" si="46"/>
        <v>0</v>
      </c>
      <c r="D100" s="46">
        <f t="shared" si="46"/>
        <v>0</v>
      </c>
      <c r="E100" s="46">
        <f t="shared" si="46"/>
        <v>-1457840</v>
      </c>
      <c r="F100" s="46">
        <f t="shared" si="46"/>
        <v>0</v>
      </c>
      <c r="G100" s="46">
        <f t="shared" si="46"/>
        <v>0</v>
      </c>
      <c r="H100" s="46">
        <f t="shared" si="46"/>
        <v>0</v>
      </c>
      <c r="I100" s="46">
        <f t="shared" si="46"/>
        <v>0</v>
      </c>
      <c r="J100" s="46">
        <f t="shared" si="46"/>
        <v>0</v>
      </c>
      <c r="K100" s="46">
        <f t="shared" si="46"/>
        <v>0</v>
      </c>
      <c r="L100" s="46">
        <f t="shared" si="47"/>
        <v>0</v>
      </c>
      <c r="M100" s="46">
        <f t="shared" si="47"/>
        <v>0</v>
      </c>
      <c r="N100" s="46">
        <f t="shared" si="47"/>
        <v>0</v>
      </c>
      <c r="O100" s="46">
        <f t="shared" si="47"/>
        <v>0</v>
      </c>
      <c r="P100" s="46">
        <f t="shared" si="47"/>
        <v>0</v>
      </c>
      <c r="Q100" s="46">
        <f t="shared" si="47"/>
        <v>0</v>
      </c>
      <c r="R100" s="46">
        <f>SUM(B100:Q100)</f>
        <v>-1457840</v>
      </c>
      <c r="S100" s="46">
        <f>R34+R67+R100-'4.1'!B32</f>
        <v>0</v>
      </c>
    </row>
    <row r="101" spans="1:19" x14ac:dyDescent="0.3">
      <c r="A101" s="46" t="s">
        <v>630</v>
      </c>
      <c r="B101" s="46">
        <f t="shared" ref="B101:R101" si="49">SUBTOTAL(9,B72:B100)</f>
        <v>27001358</v>
      </c>
      <c r="C101" s="46">
        <f t="shared" si="49"/>
        <v>1081892</v>
      </c>
      <c r="D101" s="46">
        <f t="shared" si="49"/>
        <v>2086025</v>
      </c>
      <c r="E101" s="46">
        <f t="shared" si="49"/>
        <v>39582886</v>
      </c>
      <c r="F101" s="46">
        <f t="shared" si="49"/>
        <v>0</v>
      </c>
      <c r="G101" s="46">
        <f t="shared" si="49"/>
        <v>0</v>
      </c>
      <c r="H101" s="46">
        <f t="shared" si="49"/>
        <v>0</v>
      </c>
      <c r="I101" s="46">
        <f t="shared" si="49"/>
        <v>0</v>
      </c>
      <c r="J101" s="46">
        <f t="shared" si="49"/>
        <v>0</v>
      </c>
      <c r="K101" s="46">
        <f t="shared" si="49"/>
        <v>0</v>
      </c>
      <c r="L101" s="46">
        <f t="shared" si="49"/>
        <v>0</v>
      </c>
      <c r="M101" s="46">
        <f t="shared" si="49"/>
        <v>0</v>
      </c>
      <c r="N101" s="46">
        <f t="shared" si="49"/>
        <v>0</v>
      </c>
      <c r="O101" s="46">
        <f t="shared" si="49"/>
        <v>0</v>
      </c>
      <c r="P101" s="46">
        <f t="shared" si="49"/>
        <v>0</v>
      </c>
      <c r="Q101" s="46">
        <f t="shared" si="49"/>
        <v>0</v>
      </c>
      <c r="R101" s="46">
        <f t="shared" si="49"/>
        <v>69752161</v>
      </c>
      <c r="S101" s="46">
        <f>R35+R68+R101-'4.1'!B33</f>
        <v>0</v>
      </c>
    </row>
    <row r="103" spans="1:19" x14ac:dyDescent="0.3">
      <c r="A103" s="46" t="s">
        <v>229</v>
      </c>
    </row>
    <row r="104" spans="1:19" s="55" customFormat="1" ht="54" x14ac:dyDescent="0.25">
      <c r="B104" s="50" t="str">
        <f t="array" ref="B104:Q104">TRANSPOSE(List_Functions)</f>
        <v>Generation</v>
      </c>
      <c r="C104" s="50" t="str">
        <v>Purchased Power</v>
      </c>
      <c r="D104" s="50" t="str">
        <v>Transmission</v>
      </c>
      <c r="E104" s="50" t="str">
        <v>Substations</v>
      </c>
      <c r="F104" s="50" t="str">
        <v>Primary Lines</v>
      </c>
      <c r="G104" s="50" t="str">
        <v>Transformers</v>
      </c>
      <c r="H104" s="50" t="str">
        <v>Secondary Lines</v>
      </c>
      <c r="I104" s="50" t="str">
        <v>Service Lines</v>
      </c>
      <c r="J104" s="50" t="str">
        <v>Meter Assets</v>
      </c>
      <c r="K104" s="50" t="str">
        <v>Meter Reading</v>
      </c>
      <c r="L104" s="50" t="str">
        <v>Billing</v>
      </c>
      <c r="M104" s="50" t="str">
        <v>Remittance &amp; Collection</v>
      </c>
      <c r="N104" s="50" t="str">
        <v>Uncollectibles &amp; Damage Claims</v>
      </c>
      <c r="O104" s="50" t="str">
        <v>Service Connections</v>
      </c>
      <c r="P104" s="50" t="str">
        <v>Late Payments</v>
      </c>
      <c r="Q104" s="50" t="str">
        <v>Lighting</v>
      </c>
      <c r="R104" s="50" t="s">
        <v>214</v>
      </c>
    </row>
    <row r="105" spans="1:19" x14ac:dyDescent="0.3">
      <c r="A105" s="46" t="s">
        <v>200</v>
      </c>
      <c r="B105" s="51">
        <f>VLOOKUP($A105,Table_FunctionAllocators,COLUMN(),FALSE)</f>
        <v>8.3333333333333356E-2</v>
      </c>
      <c r="C105" s="51">
        <f t="shared" ref="B105:Q123" si="50">VLOOKUP($A105,Table_FunctionAllocators,COLUMN(),FALSE)</f>
        <v>0.16666666666666671</v>
      </c>
      <c r="D105" s="51">
        <f t="shared" si="50"/>
        <v>0.25000000000000006</v>
      </c>
      <c r="E105" s="51">
        <f t="shared" si="50"/>
        <v>0.25000000000000006</v>
      </c>
      <c r="F105" s="51">
        <f t="shared" si="50"/>
        <v>8.3333333333333356E-2</v>
      </c>
      <c r="G105" s="51">
        <f t="shared" si="50"/>
        <v>8.3333333333333356E-2</v>
      </c>
      <c r="H105" s="51">
        <f t="shared" si="50"/>
        <v>8.3333333333333356E-2</v>
      </c>
      <c r="I105" s="51">
        <f t="shared" si="50"/>
        <v>0</v>
      </c>
      <c r="J105" s="51">
        <f t="shared" si="50"/>
        <v>0</v>
      </c>
      <c r="K105" s="51">
        <f t="shared" si="50"/>
        <v>0</v>
      </c>
      <c r="L105" s="51">
        <f t="shared" si="50"/>
        <v>0</v>
      </c>
      <c r="M105" s="51">
        <f t="shared" si="50"/>
        <v>0</v>
      </c>
      <c r="N105" s="51">
        <f t="shared" si="50"/>
        <v>0</v>
      </c>
      <c r="O105" s="51">
        <f t="shared" si="50"/>
        <v>0</v>
      </c>
      <c r="P105" s="51">
        <f t="shared" si="50"/>
        <v>0</v>
      </c>
      <c r="Q105" s="51">
        <f t="shared" si="50"/>
        <v>0</v>
      </c>
      <c r="R105" s="51">
        <f t="shared" ref="R105:R123" si="51">SUM(B105:Q105)</f>
        <v>1.0000000000000002</v>
      </c>
    </row>
    <row r="106" spans="1:19" x14ac:dyDescent="0.3">
      <c r="A106" s="46" t="s">
        <v>201</v>
      </c>
      <c r="B106" s="51">
        <f t="shared" si="50"/>
        <v>0.25000000000000006</v>
      </c>
      <c r="C106" s="51">
        <f t="shared" si="50"/>
        <v>0</v>
      </c>
      <c r="D106" s="51">
        <f t="shared" si="50"/>
        <v>0.25000000000000006</v>
      </c>
      <c r="E106" s="51">
        <f t="shared" si="50"/>
        <v>0.25000000000000006</v>
      </c>
      <c r="F106" s="51">
        <f t="shared" si="50"/>
        <v>8.3333333333333356E-2</v>
      </c>
      <c r="G106" s="51">
        <f t="shared" si="50"/>
        <v>8.3333333333333356E-2</v>
      </c>
      <c r="H106" s="51">
        <f t="shared" si="50"/>
        <v>8.3333333333333356E-2</v>
      </c>
      <c r="I106" s="51">
        <f t="shared" si="50"/>
        <v>0</v>
      </c>
      <c r="J106" s="51">
        <f t="shared" si="50"/>
        <v>0</v>
      </c>
      <c r="K106" s="51">
        <f t="shared" si="50"/>
        <v>0</v>
      </c>
      <c r="L106" s="51">
        <f t="shared" ref="L106:Q123" si="52">VLOOKUP($A106,Table_FunctionAllocators,COLUMN(),FALSE)</f>
        <v>0</v>
      </c>
      <c r="M106" s="51">
        <f t="shared" si="52"/>
        <v>0</v>
      </c>
      <c r="N106" s="51">
        <f t="shared" si="52"/>
        <v>0</v>
      </c>
      <c r="O106" s="51">
        <f t="shared" si="52"/>
        <v>0</v>
      </c>
      <c r="P106" s="51">
        <f t="shared" si="52"/>
        <v>0</v>
      </c>
      <c r="Q106" s="51">
        <f t="shared" si="52"/>
        <v>0</v>
      </c>
      <c r="R106" s="51">
        <f t="shared" si="51"/>
        <v>1.0000000000000002</v>
      </c>
    </row>
    <row r="107" spans="1:19" x14ac:dyDescent="0.3">
      <c r="A107" s="46" t="s">
        <v>202</v>
      </c>
      <c r="B107" s="51">
        <f t="shared" si="50"/>
        <v>0.5</v>
      </c>
      <c r="C107" s="51">
        <f t="shared" si="50"/>
        <v>0</v>
      </c>
      <c r="D107" s="51">
        <f t="shared" si="50"/>
        <v>0</v>
      </c>
      <c r="E107" s="51">
        <f t="shared" si="50"/>
        <v>2.1061995193733501E-2</v>
      </c>
      <c r="F107" s="51">
        <f t="shared" si="50"/>
        <v>0</v>
      </c>
      <c r="G107" s="51">
        <f t="shared" si="50"/>
        <v>0.47893800480626647</v>
      </c>
      <c r="H107" s="51">
        <f t="shared" si="50"/>
        <v>0</v>
      </c>
      <c r="I107" s="51">
        <f t="shared" si="50"/>
        <v>0</v>
      </c>
      <c r="J107" s="51">
        <f t="shared" si="50"/>
        <v>0</v>
      </c>
      <c r="K107" s="51">
        <f t="shared" si="50"/>
        <v>0</v>
      </c>
      <c r="L107" s="51">
        <f t="shared" si="52"/>
        <v>0</v>
      </c>
      <c r="M107" s="51">
        <f t="shared" si="52"/>
        <v>0</v>
      </c>
      <c r="N107" s="51">
        <f t="shared" si="52"/>
        <v>0</v>
      </c>
      <c r="O107" s="51">
        <f t="shared" si="52"/>
        <v>0</v>
      </c>
      <c r="P107" s="51">
        <f t="shared" si="52"/>
        <v>0</v>
      </c>
      <c r="Q107" s="51">
        <f t="shared" si="52"/>
        <v>0</v>
      </c>
      <c r="R107" s="51">
        <f t="shared" si="51"/>
        <v>1</v>
      </c>
    </row>
    <row r="108" spans="1:19" x14ac:dyDescent="0.3">
      <c r="A108" s="46" t="s">
        <v>198</v>
      </c>
      <c r="B108" s="51">
        <f t="shared" si="50"/>
        <v>0</v>
      </c>
      <c r="C108" s="51">
        <f t="shared" si="50"/>
        <v>0</v>
      </c>
      <c r="D108" s="51">
        <f t="shared" si="50"/>
        <v>0</v>
      </c>
      <c r="E108" s="51">
        <f t="shared" si="50"/>
        <v>0</v>
      </c>
      <c r="F108" s="51">
        <f t="shared" si="50"/>
        <v>0.75</v>
      </c>
      <c r="G108" s="51">
        <f t="shared" si="50"/>
        <v>0</v>
      </c>
      <c r="H108" s="51">
        <f t="shared" si="50"/>
        <v>0.25</v>
      </c>
      <c r="I108" s="51">
        <f t="shared" si="50"/>
        <v>0</v>
      </c>
      <c r="J108" s="51">
        <f t="shared" si="50"/>
        <v>0</v>
      </c>
      <c r="K108" s="51">
        <f t="shared" si="50"/>
        <v>0</v>
      </c>
      <c r="L108" s="51">
        <f t="shared" si="52"/>
        <v>0</v>
      </c>
      <c r="M108" s="51">
        <f t="shared" si="52"/>
        <v>0</v>
      </c>
      <c r="N108" s="51">
        <f t="shared" si="52"/>
        <v>0</v>
      </c>
      <c r="O108" s="51">
        <f t="shared" si="52"/>
        <v>0</v>
      </c>
      <c r="P108" s="51">
        <f t="shared" si="52"/>
        <v>0</v>
      </c>
      <c r="Q108" s="51">
        <f t="shared" si="52"/>
        <v>0</v>
      </c>
      <c r="R108" s="51">
        <f t="shared" si="51"/>
        <v>1</v>
      </c>
    </row>
    <row r="109" spans="1:19" x14ac:dyDescent="0.3">
      <c r="A109" s="46" t="s">
        <v>199</v>
      </c>
      <c r="B109" s="51">
        <f t="shared" si="50"/>
        <v>0</v>
      </c>
      <c r="C109" s="51">
        <f t="shared" si="50"/>
        <v>0</v>
      </c>
      <c r="D109" s="51">
        <f t="shared" si="50"/>
        <v>0.05</v>
      </c>
      <c r="E109" s="51">
        <f t="shared" si="50"/>
        <v>0</v>
      </c>
      <c r="F109" s="51">
        <f t="shared" si="50"/>
        <v>3.3333333333333333E-2</v>
      </c>
      <c r="G109" s="51">
        <f t="shared" si="50"/>
        <v>3.3333333333333333E-2</v>
      </c>
      <c r="H109" s="51">
        <f t="shared" si="50"/>
        <v>3.3333333333333333E-2</v>
      </c>
      <c r="I109" s="51">
        <f t="shared" si="50"/>
        <v>0</v>
      </c>
      <c r="J109" s="51">
        <f t="shared" si="50"/>
        <v>0</v>
      </c>
      <c r="K109" s="51">
        <f t="shared" si="50"/>
        <v>0.05</v>
      </c>
      <c r="L109" s="51">
        <f t="shared" si="52"/>
        <v>0.2</v>
      </c>
      <c r="M109" s="51">
        <f t="shared" si="52"/>
        <v>0.4</v>
      </c>
      <c r="N109" s="51">
        <f t="shared" si="52"/>
        <v>0.1</v>
      </c>
      <c r="O109" s="51">
        <f t="shared" si="52"/>
        <v>0.1</v>
      </c>
      <c r="P109" s="51">
        <f t="shared" si="52"/>
        <v>0</v>
      </c>
      <c r="Q109" s="51">
        <f t="shared" si="52"/>
        <v>0</v>
      </c>
      <c r="R109" s="51">
        <f t="shared" si="51"/>
        <v>1</v>
      </c>
    </row>
    <row r="110" spans="1:19" x14ac:dyDescent="0.3">
      <c r="A110" s="46" t="s">
        <v>156</v>
      </c>
      <c r="B110" s="51">
        <f t="shared" si="50"/>
        <v>0.12113254655344105</v>
      </c>
      <c r="C110" s="51">
        <f t="shared" si="50"/>
        <v>3.4372820389175815E-2</v>
      </c>
      <c r="D110" s="51">
        <f t="shared" si="50"/>
        <v>0.22645835694866853</v>
      </c>
      <c r="E110" s="51">
        <f t="shared" si="50"/>
        <v>9.6658953553241098E-2</v>
      </c>
      <c r="F110" s="51">
        <f t="shared" si="50"/>
        <v>0.13558744221439376</v>
      </c>
      <c r="G110" s="51">
        <f t="shared" si="50"/>
        <v>0.18934991436201665</v>
      </c>
      <c r="H110" s="51">
        <f t="shared" si="50"/>
        <v>5.9471804714520057E-2</v>
      </c>
      <c r="I110" s="51">
        <f t="shared" si="50"/>
        <v>6.228740772611604E-3</v>
      </c>
      <c r="J110" s="51">
        <f t="shared" si="50"/>
        <v>1.9263744309704213E-2</v>
      </c>
      <c r="K110" s="51">
        <f t="shared" si="50"/>
        <v>7.6481470746461208E-2</v>
      </c>
      <c r="L110" s="51">
        <f t="shared" si="52"/>
        <v>2.2709214023798351E-2</v>
      </c>
      <c r="M110" s="51">
        <f t="shared" si="52"/>
        <v>2.3653796662825442E-3</v>
      </c>
      <c r="N110" s="51">
        <f t="shared" si="52"/>
        <v>2.3653796662825442E-3</v>
      </c>
      <c r="O110" s="51">
        <f t="shared" si="52"/>
        <v>2.3653796662825442E-3</v>
      </c>
      <c r="P110" s="51">
        <f t="shared" si="52"/>
        <v>2.3653796662825442E-3</v>
      </c>
      <c r="Q110" s="51">
        <f t="shared" si="52"/>
        <v>2.8234727468375125E-3</v>
      </c>
      <c r="R110" s="51">
        <f t="shared" si="51"/>
        <v>1.0000000000000002</v>
      </c>
    </row>
    <row r="111" spans="1:19" x14ac:dyDescent="0.3">
      <c r="A111" s="46" t="s">
        <v>464</v>
      </c>
      <c r="B111" s="51">
        <f t="shared" si="50"/>
        <v>0</v>
      </c>
      <c r="C111" s="51">
        <f t="shared" si="50"/>
        <v>0</v>
      </c>
      <c r="D111" s="51">
        <f t="shared" si="50"/>
        <v>2.7500000000000004E-2</v>
      </c>
      <c r="E111" s="51">
        <f t="shared" si="50"/>
        <v>0</v>
      </c>
      <c r="F111" s="51">
        <f t="shared" si="50"/>
        <v>1.8333333333333333E-2</v>
      </c>
      <c r="G111" s="51">
        <f t="shared" si="50"/>
        <v>1.8333333333333333E-2</v>
      </c>
      <c r="H111" s="51">
        <f t="shared" si="50"/>
        <v>1.8333333333333333E-2</v>
      </c>
      <c r="I111" s="51">
        <f t="shared" si="50"/>
        <v>0</v>
      </c>
      <c r="J111" s="51">
        <f t="shared" si="50"/>
        <v>0</v>
      </c>
      <c r="K111" s="51">
        <f t="shared" si="50"/>
        <v>0.27750000000000002</v>
      </c>
      <c r="L111" s="51">
        <f t="shared" si="52"/>
        <v>0.11000000000000001</v>
      </c>
      <c r="M111" s="51">
        <f t="shared" si="52"/>
        <v>0.22000000000000003</v>
      </c>
      <c r="N111" s="51">
        <f t="shared" si="52"/>
        <v>0.255</v>
      </c>
      <c r="O111" s="51">
        <f t="shared" si="52"/>
        <v>5.5000000000000007E-2</v>
      </c>
      <c r="P111" s="51">
        <f t="shared" si="52"/>
        <v>0</v>
      </c>
      <c r="Q111" s="51">
        <f t="shared" si="52"/>
        <v>0</v>
      </c>
      <c r="R111" s="51">
        <f t="shared" si="51"/>
        <v>1.0000000000000002</v>
      </c>
    </row>
    <row r="112" spans="1:19" x14ac:dyDescent="0.3">
      <c r="A112" s="46" t="s">
        <v>577</v>
      </c>
      <c r="B112" s="51">
        <f t="shared" si="50"/>
        <v>4.9375537015141767E-2</v>
      </c>
      <c r="C112" s="51">
        <f t="shared" si="50"/>
        <v>1.3306578034943837E-2</v>
      </c>
      <c r="D112" s="51">
        <f t="shared" si="50"/>
        <v>0.1766729401016276</v>
      </c>
      <c r="E112" s="51">
        <f t="shared" si="50"/>
        <v>6.9091083206931705E-2</v>
      </c>
      <c r="F112" s="51">
        <f t="shared" si="50"/>
        <v>0.16456838859773562</v>
      </c>
      <c r="G112" s="51">
        <f t="shared" si="50"/>
        <v>0.14555979857304541</v>
      </c>
      <c r="H112" s="51">
        <f t="shared" si="50"/>
        <v>6.0135563739970303E-2</v>
      </c>
      <c r="I112" s="51">
        <f t="shared" si="50"/>
        <v>5.6950756130566368E-2</v>
      </c>
      <c r="J112" s="51">
        <f t="shared" si="50"/>
        <v>1.8316299022522624E-2</v>
      </c>
      <c r="K112" s="51">
        <f t="shared" si="50"/>
        <v>3.0812571306208864E-2</v>
      </c>
      <c r="L112" s="51">
        <f t="shared" si="52"/>
        <v>8.4576215184437725E-3</v>
      </c>
      <c r="M112" s="51">
        <f t="shared" si="52"/>
        <v>0.2</v>
      </c>
      <c r="N112" s="51">
        <f t="shared" si="52"/>
        <v>0</v>
      </c>
      <c r="O112" s="51">
        <f t="shared" si="52"/>
        <v>0</v>
      </c>
      <c r="P112" s="51">
        <f t="shared" si="52"/>
        <v>0</v>
      </c>
      <c r="Q112" s="51">
        <f t="shared" si="52"/>
        <v>6.7528627528621685E-3</v>
      </c>
      <c r="R112" s="51">
        <f t="shared" si="51"/>
        <v>0.99999999999999978</v>
      </c>
    </row>
    <row r="113" spans="1:18" s="78" customFormat="1" x14ac:dyDescent="0.3">
      <c r="A113" s="78" t="s">
        <v>585</v>
      </c>
      <c r="B113" s="87">
        <f t="shared" si="50"/>
        <v>2.4687768507570883E-2</v>
      </c>
      <c r="C113" s="87">
        <f t="shared" si="50"/>
        <v>6.6532890174719186E-3</v>
      </c>
      <c r="D113" s="87">
        <f t="shared" si="50"/>
        <v>8.8336470050813798E-2</v>
      </c>
      <c r="E113" s="87">
        <f t="shared" si="50"/>
        <v>3.4545541603465853E-2</v>
      </c>
      <c r="F113" s="87">
        <f t="shared" si="50"/>
        <v>8.228419429886781E-2</v>
      </c>
      <c r="G113" s="87">
        <f t="shared" si="50"/>
        <v>7.2779899286522703E-2</v>
      </c>
      <c r="H113" s="87">
        <f t="shared" si="50"/>
        <v>3.0067781869985152E-2</v>
      </c>
      <c r="I113" s="87">
        <f t="shared" si="50"/>
        <v>2.8475378065283184E-2</v>
      </c>
      <c r="J113" s="87">
        <f t="shared" si="50"/>
        <v>9.1581495112613119E-3</v>
      </c>
      <c r="K113" s="87">
        <f t="shared" si="50"/>
        <v>1.5406285653104432E-2</v>
      </c>
      <c r="L113" s="87">
        <f t="shared" si="52"/>
        <v>0.50422881075922188</v>
      </c>
      <c r="M113" s="87">
        <f t="shared" si="52"/>
        <v>0.1</v>
      </c>
      <c r="N113" s="87">
        <f t="shared" si="52"/>
        <v>0</v>
      </c>
      <c r="O113" s="87">
        <f t="shared" si="52"/>
        <v>0</v>
      </c>
      <c r="P113" s="87">
        <f t="shared" si="52"/>
        <v>0</v>
      </c>
      <c r="Q113" s="87">
        <f t="shared" si="52"/>
        <v>3.3764313764310843E-3</v>
      </c>
      <c r="R113" s="87">
        <f t="shared" si="51"/>
        <v>0.99999999999999989</v>
      </c>
    </row>
    <row r="114" spans="1:18" x14ac:dyDescent="0.3">
      <c r="A114" s="46" t="s">
        <v>212</v>
      </c>
      <c r="B114" s="51">
        <f t="shared" si="50"/>
        <v>4.8723181189309892E-2</v>
      </c>
      <c r="C114" s="51">
        <f t="shared" si="50"/>
        <v>1.3609626622862716E-2</v>
      </c>
      <c r="D114" s="51">
        <f t="shared" si="50"/>
        <v>0.14610035826605675</v>
      </c>
      <c r="E114" s="51">
        <f t="shared" si="50"/>
        <v>5.1573402198519233E-2</v>
      </c>
      <c r="F114" s="51">
        <f t="shared" si="50"/>
        <v>0.11362028574347134</v>
      </c>
      <c r="G114" s="51">
        <f t="shared" si="50"/>
        <v>0.11766433144923831</v>
      </c>
      <c r="H114" s="51">
        <f t="shared" si="50"/>
        <v>5.2469812066459016E-2</v>
      </c>
      <c r="I114" s="51">
        <f t="shared" si="50"/>
        <v>2.5687619194927975E-2</v>
      </c>
      <c r="J114" s="51">
        <f t="shared" si="50"/>
        <v>1.2309905552467488E-2</v>
      </c>
      <c r="K114" s="51">
        <f t="shared" si="50"/>
        <v>5.0423834991147158E-2</v>
      </c>
      <c r="L114" s="51">
        <f t="shared" si="52"/>
        <v>8.8922957450883799E-2</v>
      </c>
      <c r="M114" s="51">
        <f t="shared" si="52"/>
        <v>0.19278845988876089</v>
      </c>
      <c r="N114" s="51">
        <f t="shared" si="52"/>
        <v>4.0788459888760856E-2</v>
      </c>
      <c r="O114" s="51">
        <f t="shared" si="52"/>
        <v>4.0788459888760856E-2</v>
      </c>
      <c r="P114" s="51">
        <f t="shared" si="52"/>
        <v>7.8845988876084805E-4</v>
      </c>
      <c r="Q114" s="51">
        <f t="shared" si="52"/>
        <v>3.7408457196129474E-3</v>
      </c>
      <c r="R114" s="51">
        <f t="shared" si="51"/>
        <v>1.0000000000000002</v>
      </c>
    </row>
    <row r="115" spans="1:18" x14ac:dyDescent="0.3">
      <c r="A115" s="46" t="s">
        <v>208</v>
      </c>
      <c r="B115" s="51">
        <f t="shared" si="50"/>
        <v>0</v>
      </c>
      <c r="C115" s="51">
        <f t="shared" si="50"/>
        <v>0</v>
      </c>
      <c r="D115" s="51">
        <f t="shared" si="50"/>
        <v>0.21141959316939007</v>
      </c>
      <c r="E115" s="51">
        <f t="shared" si="50"/>
        <v>8.0216370176262028E-2</v>
      </c>
      <c r="F115" s="51">
        <f t="shared" si="50"/>
        <v>0.26952200648450569</v>
      </c>
      <c r="G115" s="51">
        <f t="shared" si="50"/>
        <v>0.16831887897827269</v>
      </c>
      <c r="H115" s="51">
        <f t="shared" si="50"/>
        <v>9.1413546973513976E-2</v>
      </c>
      <c r="I115" s="51">
        <f t="shared" si="50"/>
        <v>0.13542361551303328</v>
      </c>
      <c r="J115" s="51">
        <f t="shared" si="50"/>
        <v>2.7628307452129089E-2</v>
      </c>
      <c r="K115" s="51">
        <f t="shared" si="50"/>
        <v>0</v>
      </c>
      <c r="L115" s="51">
        <f t="shared" si="52"/>
        <v>0</v>
      </c>
      <c r="M115" s="51">
        <f t="shared" si="52"/>
        <v>0</v>
      </c>
      <c r="N115" s="51">
        <f t="shared" si="52"/>
        <v>0</v>
      </c>
      <c r="O115" s="51">
        <f t="shared" si="52"/>
        <v>0</v>
      </c>
      <c r="P115" s="51">
        <f t="shared" si="52"/>
        <v>0</v>
      </c>
      <c r="Q115" s="51">
        <f t="shared" si="52"/>
        <v>1.6057681252893231E-2</v>
      </c>
      <c r="R115" s="51">
        <f t="shared" si="51"/>
        <v>1.0000000000000002</v>
      </c>
    </row>
    <row r="116" spans="1:18" x14ac:dyDescent="0.3">
      <c r="A116" s="46" t="s">
        <v>657</v>
      </c>
      <c r="B116" s="51">
        <f t="shared" si="50"/>
        <v>0</v>
      </c>
      <c r="C116" s="51">
        <f>VLOOKUP($A116,Table_FunctionAllocators,COLUMN(),FALSE)</f>
        <v>0</v>
      </c>
      <c r="D116" s="51">
        <f t="shared" si="50"/>
        <v>0.93684854928874062</v>
      </c>
      <c r="E116" s="51">
        <f t="shared" si="50"/>
        <v>0</v>
      </c>
      <c r="F116" s="51">
        <f t="shared" si="50"/>
        <v>3.2310362538400202E-2</v>
      </c>
      <c r="G116" s="51">
        <f t="shared" si="50"/>
        <v>2.0070967326725704E-2</v>
      </c>
      <c r="H116" s="51">
        <f t="shared" si="50"/>
        <v>1.0770120846133401E-2</v>
      </c>
      <c r="I116" s="51">
        <f t="shared" si="50"/>
        <v>0</v>
      </c>
      <c r="J116" s="51">
        <f t="shared" si="50"/>
        <v>0</v>
      </c>
      <c r="K116" s="51">
        <f t="shared" si="50"/>
        <v>0</v>
      </c>
      <c r="L116" s="51">
        <f t="shared" si="52"/>
        <v>0</v>
      </c>
      <c r="M116" s="51">
        <f t="shared" si="52"/>
        <v>0</v>
      </c>
      <c r="N116" s="51">
        <f t="shared" si="52"/>
        <v>0</v>
      </c>
      <c r="O116" s="51">
        <f t="shared" si="52"/>
        <v>0</v>
      </c>
      <c r="P116" s="51">
        <f t="shared" si="52"/>
        <v>0</v>
      </c>
      <c r="Q116" s="51">
        <f t="shared" si="52"/>
        <v>0</v>
      </c>
      <c r="R116" s="51">
        <f t="shared" si="51"/>
        <v>1</v>
      </c>
    </row>
    <row r="117" spans="1:18" x14ac:dyDescent="0.3">
      <c r="A117" s="46" t="s">
        <v>191</v>
      </c>
      <c r="B117" s="51">
        <f t="shared" si="50"/>
        <v>0</v>
      </c>
      <c r="C117" s="51">
        <f t="shared" si="50"/>
        <v>0</v>
      </c>
      <c r="D117" s="51">
        <f t="shared" si="50"/>
        <v>0</v>
      </c>
      <c r="E117" s="51">
        <f t="shared" si="50"/>
        <v>0</v>
      </c>
      <c r="F117" s="51">
        <f t="shared" si="50"/>
        <v>0.52622341571925935</v>
      </c>
      <c r="G117" s="51">
        <f t="shared" si="50"/>
        <v>0</v>
      </c>
      <c r="H117" s="51">
        <f t="shared" si="50"/>
        <v>0.17540780523975311</v>
      </c>
      <c r="I117" s="51">
        <f t="shared" si="50"/>
        <v>0.26674038100146935</v>
      </c>
      <c r="J117" s="51">
        <f t="shared" si="50"/>
        <v>0</v>
      </c>
      <c r="K117" s="51">
        <f t="shared" si="50"/>
        <v>0</v>
      </c>
      <c r="L117" s="51">
        <f t="shared" si="52"/>
        <v>0</v>
      </c>
      <c r="M117" s="51">
        <f t="shared" si="52"/>
        <v>0</v>
      </c>
      <c r="N117" s="51">
        <f t="shared" si="52"/>
        <v>0</v>
      </c>
      <c r="O117" s="51">
        <f t="shared" si="52"/>
        <v>0</v>
      </c>
      <c r="P117" s="51">
        <f t="shared" si="52"/>
        <v>0</v>
      </c>
      <c r="Q117" s="51">
        <f t="shared" si="52"/>
        <v>3.1628398039518231E-2</v>
      </c>
      <c r="R117" s="51">
        <f t="shared" si="51"/>
        <v>1</v>
      </c>
    </row>
    <row r="118" spans="1:18" x14ac:dyDescent="0.3">
      <c r="A118" s="46" t="s">
        <v>207</v>
      </c>
      <c r="B118" s="51">
        <f t="shared" si="50"/>
        <v>0</v>
      </c>
      <c r="C118" s="51">
        <f t="shared" si="50"/>
        <v>0</v>
      </c>
      <c r="D118" s="51">
        <f t="shared" si="50"/>
        <v>0</v>
      </c>
      <c r="E118" s="51">
        <f t="shared" si="50"/>
        <v>0.12285669081634128</v>
      </c>
      <c r="F118" s="51">
        <f t="shared" si="50"/>
        <v>0.44877541210313276</v>
      </c>
      <c r="G118" s="51">
        <f t="shared" si="50"/>
        <v>0.27877609304614837</v>
      </c>
      <c r="H118" s="51">
        <f t="shared" si="50"/>
        <v>0.14959180403437758</v>
      </c>
      <c r="I118" s="51">
        <f t="shared" si="50"/>
        <v>0</v>
      </c>
      <c r="J118" s="51">
        <f t="shared" si="50"/>
        <v>0</v>
      </c>
      <c r="K118" s="51">
        <f t="shared" si="50"/>
        <v>0</v>
      </c>
      <c r="L118" s="51">
        <f t="shared" si="52"/>
        <v>0</v>
      </c>
      <c r="M118" s="51">
        <f t="shared" si="52"/>
        <v>0</v>
      </c>
      <c r="N118" s="51">
        <f t="shared" si="52"/>
        <v>0</v>
      </c>
      <c r="O118" s="51">
        <f t="shared" si="52"/>
        <v>0</v>
      </c>
      <c r="P118" s="51">
        <f t="shared" si="52"/>
        <v>0</v>
      </c>
      <c r="Q118" s="51">
        <f t="shared" si="52"/>
        <v>0</v>
      </c>
      <c r="R118" s="51">
        <f t="shared" si="51"/>
        <v>1</v>
      </c>
    </row>
    <row r="119" spans="1:18" x14ac:dyDescent="0.3">
      <c r="A119" s="46" t="s">
        <v>209</v>
      </c>
      <c r="B119" s="51">
        <f t="shared" si="50"/>
        <v>8.4242885874879769E-2</v>
      </c>
      <c r="C119" s="51">
        <f t="shared" si="50"/>
        <v>1.2256874224551215E-3</v>
      </c>
      <c r="D119" s="51">
        <f t="shared" si="50"/>
        <v>0.18888060669999304</v>
      </c>
      <c r="E119" s="51">
        <f t="shared" si="50"/>
        <v>7.4706071640003424E-2</v>
      </c>
      <c r="F119" s="51">
        <f t="shared" si="50"/>
        <v>0.24644626735942424</v>
      </c>
      <c r="G119" s="51">
        <f t="shared" si="50"/>
        <v>0.16124401868806601</v>
      </c>
      <c r="H119" s="51">
        <f t="shared" si="50"/>
        <v>8.3976688022650681E-2</v>
      </c>
      <c r="I119" s="51">
        <f t="shared" si="50"/>
        <v>0.11547298568081336</v>
      </c>
      <c r="J119" s="51">
        <f t="shared" si="50"/>
        <v>2.4629942949122269E-2</v>
      </c>
      <c r="K119" s="51">
        <f t="shared" si="50"/>
        <v>1.8611116988771705E-3</v>
      </c>
      <c r="L119" s="51">
        <f t="shared" si="52"/>
        <v>1.1551504567430802E-3</v>
      </c>
      <c r="M119" s="51">
        <f t="shared" si="52"/>
        <v>1.6156651359192627E-3</v>
      </c>
      <c r="N119" s="51">
        <f t="shared" si="52"/>
        <v>3.7719145492509968E-4</v>
      </c>
      <c r="O119" s="51">
        <f t="shared" si="52"/>
        <v>3.7719145492509968E-4</v>
      </c>
      <c r="P119" s="51">
        <f t="shared" si="52"/>
        <v>5.1277328347688337E-5</v>
      </c>
      <c r="Q119" s="51">
        <f t="shared" si="52"/>
        <v>1.3737258132854601E-2</v>
      </c>
      <c r="R119" s="51">
        <f t="shared" si="51"/>
        <v>0.99999999999999989</v>
      </c>
    </row>
    <row r="120" spans="1:18" x14ac:dyDescent="0.3">
      <c r="A120" s="46" t="s">
        <v>138</v>
      </c>
      <c r="B120" s="51">
        <f t="shared" si="50"/>
        <v>9.2516114343538208E-2</v>
      </c>
      <c r="C120" s="51">
        <f t="shared" si="50"/>
        <v>2.8392712546368051E-3</v>
      </c>
      <c r="D120" s="51">
        <f t="shared" si="50"/>
        <v>0.14593707469306086</v>
      </c>
      <c r="E120" s="51">
        <f t="shared" si="50"/>
        <v>5.3310837666635594E-2</v>
      </c>
      <c r="F120" s="51">
        <f t="shared" si="50"/>
        <v>0.24811213118929495</v>
      </c>
      <c r="G120" s="51">
        <f t="shared" si="50"/>
        <v>0.18733534828805465</v>
      </c>
      <c r="H120" s="51">
        <f t="shared" si="50"/>
        <v>8.5572784898380785E-2</v>
      </c>
      <c r="I120" s="51">
        <f t="shared" si="50"/>
        <v>0.10977721825824521</v>
      </c>
      <c r="J120" s="51">
        <f t="shared" si="50"/>
        <v>4.6446262458852833E-2</v>
      </c>
      <c r="K120" s="51">
        <f t="shared" si="50"/>
        <v>5.090148011321992E-3</v>
      </c>
      <c r="L120" s="51">
        <f t="shared" si="52"/>
        <v>1.9443854506246627E-3</v>
      </c>
      <c r="M120" s="51">
        <f t="shared" si="52"/>
        <v>1.2771070706776931E-3</v>
      </c>
      <c r="N120" s="51">
        <f t="shared" si="52"/>
        <v>3.8711851677035897E-4</v>
      </c>
      <c r="O120" s="51">
        <f t="shared" si="52"/>
        <v>3.8711851677035897E-4</v>
      </c>
      <c r="P120" s="51">
        <f t="shared" si="52"/>
        <v>1.529110025842185E-4</v>
      </c>
      <c r="Q120" s="51">
        <f t="shared" si="52"/>
        <v>1.8914168380550919E-2</v>
      </c>
      <c r="R120" s="51">
        <f t="shared" si="51"/>
        <v>1.0000000000000002</v>
      </c>
    </row>
    <row r="121" spans="1:18" x14ac:dyDescent="0.3">
      <c r="A121" s="46" t="s">
        <v>463</v>
      </c>
      <c r="B121" s="51">
        <f t="shared" si="50"/>
        <v>0.35292417087740618</v>
      </c>
      <c r="C121" s="51">
        <f t="shared" si="50"/>
        <v>0</v>
      </c>
      <c r="D121" s="51">
        <f t="shared" si="50"/>
        <v>0.64707582912259376</v>
      </c>
      <c r="E121" s="51">
        <f t="shared" si="50"/>
        <v>0</v>
      </c>
      <c r="F121" s="51">
        <f t="shared" si="50"/>
        <v>0</v>
      </c>
      <c r="G121" s="51">
        <f t="shared" si="50"/>
        <v>0</v>
      </c>
      <c r="H121" s="51">
        <f t="shared" si="50"/>
        <v>0</v>
      </c>
      <c r="I121" s="51">
        <f t="shared" si="50"/>
        <v>0</v>
      </c>
      <c r="J121" s="51">
        <f t="shared" si="50"/>
        <v>0</v>
      </c>
      <c r="K121" s="51">
        <f t="shared" si="50"/>
        <v>0</v>
      </c>
      <c r="L121" s="51">
        <f t="shared" si="52"/>
        <v>0</v>
      </c>
      <c r="M121" s="51">
        <f t="shared" si="52"/>
        <v>0</v>
      </c>
      <c r="N121" s="51">
        <f t="shared" si="52"/>
        <v>0</v>
      </c>
      <c r="O121" s="51">
        <f t="shared" si="52"/>
        <v>0</v>
      </c>
      <c r="P121" s="51">
        <f t="shared" si="52"/>
        <v>0</v>
      </c>
      <c r="Q121" s="51">
        <f t="shared" si="52"/>
        <v>0</v>
      </c>
      <c r="R121" s="51">
        <f t="shared" si="51"/>
        <v>1</v>
      </c>
    </row>
    <row r="122" spans="1:18" x14ac:dyDescent="0.3">
      <c r="A122" s="46" t="s">
        <v>490</v>
      </c>
      <c r="B122" s="51">
        <f t="shared" si="50"/>
        <v>9.108006023325213E-2</v>
      </c>
      <c r="C122" s="51">
        <f t="shared" si="50"/>
        <v>1.7662290359229896E-2</v>
      </c>
      <c r="D122" s="51">
        <f t="shared" si="50"/>
        <v>0.16643815927011282</v>
      </c>
      <c r="E122" s="51">
        <f t="shared" si="50"/>
        <v>7.4659046255878589E-2</v>
      </c>
      <c r="F122" s="51">
        <f t="shared" si="50"/>
        <v>0.27135922525129319</v>
      </c>
      <c r="G122" s="51">
        <f t="shared" si="50"/>
        <v>0.16015609123105543</v>
      </c>
      <c r="H122" s="51">
        <f t="shared" si="50"/>
        <v>9.1621803527874204E-2</v>
      </c>
      <c r="I122" s="51">
        <f t="shared" si="50"/>
        <v>8.341757134223593E-2</v>
      </c>
      <c r="J122" s="51">
        <f t="shared" si="50"/>
        <v>2.3909214985314325E-2</v>
      </c>
      <c r="K122" s="51">
        <f t="shared" si="50"/>
        <v>1.1549594018072E-3</v>
      </c>
      <c r="L122" s="51">
        <f t="shared" si="52"/>
        <v>8.5854167878832599E-4</v>
      </c>
      <c r="M122" s="51">
        <f t="shared" si="52"/>
        <v>1.3690213062789633E-3</v>
      </c>
      <c r="N122" s="51">
        <f t="shared" si="52"/>
        <v>3.0923527072115544E-4</v>
      </c>
      <c r="O122" s="51">
        <f t="shared" si="52"/>
        <v>3.0923527072115544E-4</v>
      </c>
      <c r="P122" s="51">
        <f t="shared" si="52"/>
        <v>3.0344208732258548E-5</v>
      </c>
      <c r="Q122" s="51">
        <f t="shared" si="52"/>
        <v>1.5665200406704341E-2</v>
      </c>
      <c r="R122" s="51">
        <f t="shared" si="51"/>
        <v>0.99999999999999978</v>
      </c>
    </row>
    <row r="123" spans="1:18" x14ac:dyDescent="0.3">
      <c r="A123" s="46" t="s">
        <v>179</v>
      </c>
      <c r="B123" s="51">
        <f t="shared" si="50"/>
        <v>9.0025415598731215E-2</v>
      </c>
      <c r="C123" s="51">
        <f t="shared" si="50"/>
        <v>2.864106692036553E-2</v>
      </c>
      <c r="D123" s="51">
        <f t="shared" si="50"/>
        <v>0.16505888586727116</v>
      </c>
      <c r="E123" s="51">
        <f t="shared" si="50"/>
        <v>7.3822890063267477E-2</v>
      </c>
      <c r="F123" s="51">
        <f t="shared" si="50"/>
        <v>0.26803138435319629</v>
      </c>
      <c r="G123" s="51">
        <f t="shared" si="50"/>
        <v>0.15827760477044711</v>
      </c>
      <c r="H123" s="51">
        <f t="shared" si="50"/>
        <v>9.0513328783139627E-2</v>
      </c>
      <c r="I123" s="51">
        <f t="shared" si="50"/>
        <v>8.2312204852194537E-2</v>
      </c>
      <c r="J123" s="51">
        <f t="shared" si="50"/>
        <v>2.3605305585559028E-2</v>
      </c>
      <c r="K123" s="51">
        <f t="shared" si="50"/>
        <v>1.2361900943966408E-3</v>
      </c>
      <c r="L123" s="51">
        <f t="shared" si="52"/>
        <v>9.2586424104650652E-4</v>
      </c>
      <c r="M123" s="51">
        <f t="shared" si="52"/>
        <v>1.4097460085474743E-3</v>
      </c>
      <c r="N123" s="51">
        <f t="shared" si="52"/>
        <v>3.371738840353592E-4</v>
      </c>
      <c r="O123" s="51">
        <f t="shared" si="52"/>
        <v>3.176653712926769E-4</v>
      </c>
      <c r="P123" s="51">
        <f t="shared" si="52"/>
        <v>3.1210905971916337E-5</v>
      </c>
      <c r="Q123" s="51">
        <f t="shared" si="52"/>
        <v>1.5454062700537702E-2</v>
      </c>
      <c r="R123" s="51">
        <f t="shared" si="51"/>
        <v>1.0000000000000002</v>
      </c>
    </row>
    <row r="125" spans="1:18" x14ac:dyDescent="0.3">
      <c r="A125" s="44" t="s">
        <v>226</v>
      </c>
    </row>
    <row r="126" spans="1:18" s="55" customFormat="1" ht="54" x14ac:dyDescent="0.25">
      <c r="B126" s="50" t="str">
        <f t="array" ref="B126:Q126">TRANSPOSE(List_Functions)</f>
        <v>Generation</v>
      </c>
      <c r="C126" s="50" t="str">
        <v>Purchased Power</v>
      </c>
      <c r="D126" s="50" t="str">
        <v>Transmission</v>
      </c>
      <c r="E126" s="50" t="str">
        <v>Substations</v>
      </c>
      <c r="F126" s="50" t="str">
        <v>Primary Lines</v>
      </c>
      <c r="G126" s="50" t="str">
        <v>Transformers</v>
      </c>
      <c r="H126" s="50" t="str">
        <v>Secondary Lines</v>
      </c>
      <c r="I126" s="50" t="str">
        <v>Service Lines</v>
      </c>
      <c r="J126" s="50" t="str">
        <v>Meter Assets</v>
      </c>
      <c r="K126" s="50" t="str">
        <v>Meter Reading</v>
      </c>
      <c r="L126" s="50" t="str">
        <v>Billing</v>
      </c>
      <c r="M126" s="50" t="str">
        <v>Remittance &amp; Collection</v>
      </c>
      <c r="N126" s="50" t="str">
        <v>Uncollectibles &amp; Damage Claims</v>
      </c>
      <c r="O126" s="50" t="str">
        <v>Service Connections</v>
      </c>
      <c r="P126" s="50" t="str">
        <v>Late Payments</v>
      </c>
      <c r="Q126" s="50" t="str">
        <v>Lighting</v>
      </c>
      <c r="R126" s="50" t="s">
        <v>214</v>
      </c>
    </row>
    <row r="127" spans="1:18" x14ac:dyDescent="0.3">
      <c r="A127" s="46" t="s">
        <v>262</v>
      </c>
    </row>
    <row r="128" spans="1:18" x14ac:dyDescent="0.3">
      <c r="A128" s="47" t="s">
        <v>247</v>
      </c>
      <c r="B128" s="46">
        <f t="array" ref="B128:Q128">MMULT(B40:P40,$B$105:$Q$119)</f>
        <v>91819.833333333358</v>
      </c>
      <c r="C128" s="46">
        <v>183639.66666666672</v>
      </c>
      <c r="D128" s="46">
        <v>275459.50000000006</v>
      </c>
      <c r="E128" s="46">
        <v>275459.50000000006</v>
      </c>
      <c r="F128" s="46">
        <v>91819.833333333358</v>
      </c>
      <c r="G128" s="46">
        <v>91819.833333333358</v>
      </c>
      <c r="H128" s="46">
        <v>91819.833333333358</v>
      </c>
      <c r="I128" s="46">
        <v>0</v>
      </c>
      <c r="J128" s="46">
        <v>0</v>
      </c>
      <c r="K128" s="46">
        <v>0</v>
      </c>
      <c r="L128" s="46">
        <v>0</v>
      </c>
      <c r="M128" s="46">
        <v>0</v>
      </c>
      <c r="N128" s="46">
        <v>0</v>
      </c>
      <c r="O128" s="46">
        <v>0</v>
      </c>
      <c r="P128" s="46">
        <v>0</v>
      </c>
      <c r="Q128" s="46">
        <v>0</v>
      </c>
      <c r="R128" s="46">
        <f>SUM(B128:Q128)</f>
        <v>1101838.0000000002</v>
      </c>
    </row>
    <row r="129" spans="1:18" x14ac:dyDescent="0.3">
      <c r="A129" s="47" t="s">
        <v>248</v>
      </c>
      <c r="B129" s="46">
        <f t="array" ref="B129:Q129">MMULT(B41:P41,$B$105:$Q$119)</f>
        <v>0</v>
      </c>
      <c r="C129" s="46">
        <v>0</v>
      </c>
      <c r="D129" s="46">
        <v>0</v>
      </c>
      <c r="E129" s="46">
        <v>0</v>
      </c>
      <c r="F129" s="46">
        <v>0</v>
      </c>
      <c r="G129" s="46">
        <v>0</v>
      </c>
      <c r="H129" s="46">
        <v>0</v>
      </c>
      <c r="I129" s="46">
        <v>0</v>
      </c>
      <c r="J129" s="46">
        <v>0</v>
      </c>
      <c r="K129" s="46">
        <v>0</v>
      </c>
      <c r="L129" s="46">
        <v>0</v>
      </c>
      <c r="M129" s="46">
        <v>0</v>
      </c>
      <c r="N129" s="46">
        <v>0</v>
      </c>
      <c r="O129" s="46">
        <v>0</v>
      </c>
      <c r="P129" s="46">
        <v>0</v>
      </c>
      <c r="Q129" s="46">
        <v>0</v>
      </c>
      <c r="R129" s="46">
        <f>SUM(B129:Q129)</f>
        <v>0</v>
      </c>
    </row>
    <row r="130" spans="1:18" x14ac:dyDescent="0.3">
      <c r="A130" s="47" t="s">
        <v>249</v>
      </c>
      <c r="B130" s="46">
        <f>SUBTOTAL(9,B128:B129)</f>
        <v>91819.833333333358</v>
      </c>
      <c r="C130" s="46">
        <f t="shared" ref="C130:Q130" si="53">SUBTOTAL(9,C128:C129)</f>
        <v>183639.66666666672</v>
      </c>
      <c r="D130" s="46">
        <f t="shared" si="53"/>
        <v>275459.50000000006</v>
      </c>
      <c r="E130" s="46">
        <f t="shared" si="53"/>
        <v>275459.50000000006</v>
      </c>
      <c r="F130" s="46">
        <f t="shared" si="53"/>
        <v>91819.833333333358</v>
      </c>
      <c r="G130" s="46">
        <f t="shared" si="53"/>
        <v>91819.833333333358</v>
      </c>
      <c r="H130" s="46">
        <f t="shared" si="53"/>
        <v>91819.833333333358</v>
      </c>
      <c r="I130" s="46">
        <f t="shared" si="53"/>
        <v>0</v>
      </c>
      <c r="J130" s="46">
        <f t="shared" si="53"/>
        <v>0</v>
      </c>
      <c r="K130" s="46">
        <f t="shared" si="53"/>
        <v>0</v>
      </c>
      <c r="L130" s="46">
        <f t="shared" si="53"/>
        <v>0</v>
      </c>
      <c r="M130" s="46">
        <f t="shared" si="53"/>
        <v>0</v>
      </c>
      <c r="N130" s="46">
        <f t="shared" si="53"/>
        <v>0</v>
      </c>
      <c r="O130" s="46">
        <f t="shared" si="53"/>
        <v>0</v>
      </c>
      <c r="P130" s="46">
        <f t="shared" si="53"/>
        <v>0</v>
      </c>
      <c r="Q130" s="46">
        <f t="shared" si="53"/>
        <v>0</v>
      </c>
      <c r="R130" s="46">
        <f>SUBTOTAL(9,R128:R129)</f>
        <v>1101838.0000000002</v>
      </c>
    </row>
    <row r="131" spans="1:18" x14ac:dyDescent="0.3">
      <c r="A131" s="47" t="s">
        <v>124</v>
      </c>
      <c r="B131" s="46">
        <f t="array" ref="B131:Q131">MMULT(B43:P43,$B$105:$Q$119)</f>
        <v>84987.500000000015</v>
      </c>
      <c r="C131" s="46">
        <v>0</v>
      </c>
      <c r="D131" s="46">
        <v>84987.500000000015</v>
      </c>
      <c r="E131" s="46">
        <v>698530.74251953792</v>
      </c>
      <c r="F131" s="46">
        <v>3504361.3764815149</v>
      </c>
      <c r="G131" s="46">
        <v>1420530.0059368056</v>
      </c>
      <c r="H131" s="46">
        <v>1187006.5699382825</v>
      </c>
      <c r="I131" s="46">
        <v>625944.71463481209</v>
      </c>
      <c r="J131" s="46">
        <v>0</v>
      </c>
      <c r="K131" s="46">
        <v>0</v>
      </c>
      <c r="L131" s="46">
        <v>0</v>
      </c>
      <c r="M131" s="46">
        <v>0</v>
      </c>
      <c r="N131" s="46">
        <v>0</v>
      </c>
      <c r="O131" s="46">
        <v>0</v>
      </c>
      <c r="P131" s="46">
        <v>0</v>
      </c>
      <c r="Q131" s="46">
        <v>74220.590489047216</v>
      </c>
      <c r="R131" s="46">
        <f>SUM(B131:Q131)</f>
        <v>7680569.0000000009</v>
      </c>
    </row>
    <row r="132" spans="1:18" x14ac:dyDescent="0.3">
      <c r="A132" s="47" t="s">
        <v>12</v>
      </c>
      <c r="B132" s="46">
        <f t="array" ref="B132:Q132">MMULT(B44:P44,$B$105:$Q$119)</f>
        <v>0</v>
      </c>
      <c r="C132" s="46">
        <v>0</v>
      </c>
      <c r="D132" s="46">
        <v>0</v>
      </c>
      <c r="E132" s="46">
        <v>0</v>
      </c>
      <c r="F132" s="46">
        <v>0</v>
      </c>
      <c r="G132" s="46">
        <v>0</v>
      </c>
      <c r="H132" s="46">
        <v>0</v>
      </c>
      <c r="I132" s="46">
        <v>0</v>
      </c>
      <c r="J132" s="46">
        <v>0</v>
      </c>
      <c r="K132" s="46">
        <v>0</v>
      </c>
      <c r="L132" s="46">
        <v>0</v>
      </c>
      <c r="M132" s="46">
        <v>0</v>
      </c>
      <c r="N132" s="46">
        <v>0</v>
      </c>
      <c r="O132" s="46">
        <v>0</v>
      </c>
      <c r="P132" s="46">
        <v>0</v>
      </c>
      <c r="Q132" s="46">
        <v>0</v>
      </c>
      <c r="R132" s="46">
        <f>SUM(B132:Q132)</f>
        <v>0</v>
      </c>
    </row>
    <row r="133" spans="1:18" x14ac:dyDescent="0.3">
      <c r="A133" s="47" t="s">
        <v>250</v>
      </c>
      <c r="B133" s="46">
        <f t="array" ref="B133:Q133">MMULT(B45:P45,$B$105:$Q$119)</f>
        <v>0</v>
      </c>
      <c r="C133" s="46">
        <v>0</v>
      </c>
      <c r="D133" s="46">
        <v>0</v>
      </c>
      <c r="E133" s="46">
        <v>309123.40546372079</v>
      </c>
      <c r="F133" s="46">
        <v>1129177.2776550555</v>
      </c>
      <c r="G133" s="46">
        <v>701436.89099620527</v>
      </c>
      <c r="H133" s="46">
        <v>376392.42588501849</v>
      </c>
      <c r="I133" s="46">
        <v>0</v>
      </c>
      <c r="J133" s="46">
        <v>0</v>
      </c>
      <c r="K133" s="46">
        <v>0</v>
      </c>
      <c r="L133" s="46">
        <v>0</v>
      </c>
      <c r="M133" s="46">
        <v>0</v>
      </c>
      <c r="N133" s="46">
        <v>0</v>
      </c>
      <c r="O133" s="46">
        <v>0</v>
      </c>
      <c r="P133" s="46">
        <v>0</v>
      </c>
      <c r="Q133" s="46">
        <v>0</v>
      </c>
      <c r="R133" s="46">
        <f>SUM(B133:Q133)</f>
        <v>2516130</v>
      </c>
    </row>
    <row r="134" spans="1:18" x14ac:dyDescent="0.3">
      <c r="A134" s="47" t="s">
        <v>251</v>
      </c>
      <c r="B134" s="46">
        <f t="array" ref="B134:Q134">MMULT(B46:P46,$B$105:$Q$119)</f>
        <v>0</v>
      </c>
      <c r="C134" s="46">
        <v>0</v>
      </c>
      <c r="D134" s="46">
        <v>0</v>
      </c>
      <c r="E134" s="46">
        <v>0</v>
      </c>
      <c r="F134" s="46">
        <v>0</v>
      </c>
      <c r="G134" s="46">
        <v>0</v>
      </c>
      <c r="H134" s="46">
        <v>0</v>
      </c>
      <c r="I134" s="46">
        <v>0</v>
      </c>
      <c r="J134" s="46">
        <v>0</v>
      </c>
      <c r="K134" s="46">
        <v>0</v>
      </c>
      <c r="L134" s="46">
        <v>0</v>
      </c>
      <c r="M134" s="46">
        <v>0</v>
      </c>
      <c r="N134" s="46">
        <v>0</v>
      </c>
      <c r="O134" s="46">
        <v>0</v>
      </c>
      <c r="P134" s="46">
        <v>0</v>
      </c>
      <c r="Q134" s="46">
        <v>0</v>
      </c>
      <c r="R134" s="46">
        <f>SUM(B134:Q134)</f>
        <v>0</v>
      </c>
    </row>
    <row r="135" spans="1:18" x14ac:dyDescent="0.3">
      <c r="A135" s="47" t="s">
        <v>252</v>
      </c>
      <c r="B135" s="46">
        <f t="array" ref="B135:Q135">MMULT(B47:P47,$B$105:$Q$119)</f>
        <v>872052.5801180636</v>
      </c>
      <c r="C135" s="46">
        <v>244948.54828766786</v>
      </c>
      <c r="D135" s="46">
        <v>1962969.342243907</v>
      </c>
      <c r="E135" s="46">
        <v>792654.18838395551</v>
      </c>
      <c r="F135" s="46">
        <v>1367755.3672451442</v>
      </c>
      <c r="G135" s="46">
        <v>1620107.4132337226</v>
      </c>
      <c r="H135" s="46">
        <v>590792.34219998063</v>
      </c>
      <c r="I135" s="46">
        <v>220248.47030870995</v>
      </c>
      <c r="J135" s="46">
        <v>172976.90432010393</v>
      </c>
      <c r="K135" s="46">
        <v>723986.44263499707</v>
      </c>
      <c r="L135" s="46">
        <v>447927.09546783485</v>
      </c>
      <c r="M135" s="46">
        <v>747766.69631993701</v>
      </c>
      <c r="N135" s="46">
        <v>244526.27878199931</v>
      </c>
      <c r="O135" s="46">
        <v>159321.07878199933</v>
      </c>
      <c r="P135" s="46">
        <v>16125.83627201574</v>
      </c>
      <c r="Q135" s="46">
        <v>40329.415399961552</v>
      </c>
      <c r="R135" s="46">
        <f>SUM(B135:Q135)</f>
        <v>10224488.000000002</v>
      </c>
    </row>
    <row r="136" spans="1:18" x14ac:dyDescent="0.3">
      <c r="A136" s="47" t="s">
        <v>253</v>
      </c>
      <c r="B136" s="46">
        <f t="shared" ref="B136:R136" si="54">SUBTOTAL(9,B127:B135)</f>
        <v>1048859.9134513969</v>
      </c>
      <c r="C136" s="46">
        <f t="shared" si="54"/>
        <v>428588.21495433454</v>
      </c>
      <c r="D136" s="46">
        <f t="shared" si="54"/>
        <v>2323416.342243907</v>
      </c>
      <c r="E136" s="46">
        <f t="shared" si="54"/>
        <v>2075767.8363672141</v>
      </c>
      <c r="F136" s="46">
        <f t="shared" si="54"/>
        <v>6093113.8547150483</v>
      </c>
      <c r="G136" s="46">
        <f t="shared" si="54"/>
        <v>3833894.1435000668</v>
      </c>
      <c r="H136" s="46">
        <f t="shared" si="54"/>
        <v>2246011.1713566147</v>
      </c>
      <c r="I136" s="46">
        <f t="shared" si="54"/>
        <v>846193.18494352209</v>
      </c>
      <c r="J136" s="46">
        <f t="shared" si="54"/>
        <v>172976.90432010393</v>
      </c>
      <c r="K136" s="46">
        <f t="shared" si="54"/>
        <v>723986.44263499707</v>
      </c>
      <c r="L136" s="46">
        <f t="shared" si="54"/>
        <v>447927.09546783485</v>
      </c>
      <c r="M136" s="46">
        <f t="shared" si="54"/>
        <v>747766.69631993701</v>
      </c>
      <c r="N136" s="46">
        <f t="shared" si="54"/>
        <v>244526.27878199931</v>
      </c>
      <c r="O136" s="46">
        <f t="shared" si="54"/>
        <v>159321.07878199933</v>
      </c>
      <c r="P136" s="46">
        <f t="shared" si="54"/>
        <v>16125.83627201574</v>
      </c>
      <c r="Q136" s="46">
        <f t="shared" si="54"/>
        <v>114550.00588900877</v>
      </c>
      <c r="R136" s="46">
        <f t="shared" si="54"/>
        <v>21523025.000000004</v>
      </c>
    </row>
    <row r="137" spans="1:18" x14ac:dyDescent="0.3">
      <c r="A137" s="48" t="s">
        <v>138</v>
      </c>
    </row>
    <row r="138" spans="1:18" x14ac:dyDescent="0.3">
      <c r="A138" s="47" t="s">
        <v>479</v>
      </c>
      <c r="B138" s="46">
        <f t="array" ref="B138:Q138">MMULT(B50:P50,$B$105:$Q$119)</f>
        <v>34030.977628723726</v>
      </c>
      <c r="C138" s="46">
        <v>9656.700160135053</v>
      </c>
      <c r="D138" s="46">
        <v>121773.27395260964</v>
      </c>
      <c r="E138" s="46">
        <v>27155.366411247553</v>
      </c>
      <c r="F138" s="46">
        <v>40097.504839195361</v>
      </c>
      <c r="G138" s="46">
        <v>54441.810024769475</v>
      </c>
      <c r="H138" s="46">
        <v>17376.531757658457</v>
      </c>
      <c r="I138" s="46">
        <v>1749.9024326575041</v>
      </c>
      <c r="J138" s="46">
        <v>5411.9563263683012</v>
      </c>
      <c r="K138" s="46">
        <v>21486.704391510812</v>
      </c>
      <c r="L138" s="46">
        <v>6379.9265878459082</v>
      </c>
      <c r="M138" s="46">
        <v>664.52976344541798</v>
      </c>
      <c r="N138" s="46">
        <v>664.52976344541798</v>
      </c>
      <c r="O138" s="46">
        <v>664.52976344541798</v>
      </c>
      <c r="P138" s="46">
        <v>664.52976344541798</v>
      </c>
      <c r="Q138" s="46">
        <v>793.22643349653072</v>
      </c>
      <c r="R138" s="46">
        <f>SUM(B138:Q138)</f>
        <v>343012</v>
      </c>
    </row>
    <row r="139" spans="1:18" x14ac:dyDescent="0.3">
      <c r="A139" s="47" t="s">
        <v>725</v>
      </c>
      <c r="B139" s="46">
        <f t="array" ref="B139:Q139">MMULT(B51:P51,$B$105:$Q$119)</f>
        <v>0</v>
      </c>
      <c r="C139" s="46">
        <v>0</v>
      </c>
      <c r="D139" s="46">
        <v>0</v>
      </c>
      <c r="E139" s="46">
        <v>0</v>
      </c>
      <c r="F139" s="46">
        <v>0</v>
      </c>
      <c r="G139" s="46">
        <v>0</v>
      </c>
      <c r="H139" s="46">
        <v>0</v>
      </c>
      <c r="I139" s="46">
        <v>0</v>
      </c>
      <c r="J139" s="46">
        <v>0</v>
      </c>
      <c r="K139" s="46">
        <v>0</v>
      </c>
      <c r="L139" s="46">
        <v>0</v>
      </c>
      <c r="M139" s="46">
        <v>0</v>
      </c>
      <c r="N139" s="46">
        <v>0</v>
      </c>
      <c r="O139" s="46">
        <v>0</v>
      </c>
      <c r="P139" s="46">
        <v>0</v>
      </c>
      <c r="Q139" s="46">
        <v>0</v>
      </c>
      <c r="R139" s="46">
        <f>SUM(B139:Q139)</f>
        <v>0</v>
      </c>
    </row>
    <row r="140" spans="1:18" x14ac:dyDescent="0.3">
      <c r="A140" s="47" t="s">
        <v>480</v>
      </c>
      <c r="B140" s="46">
        <f t="array" ref="B140:Q140">MMULT(B52:P52,$B$105:$Q$119)</f>
        <v>0</v>
      </c>
      <c r="C140" s="46">
        <v>0</v>
      </c>
      <c r="D140" s="46">
        <v>0</v>
      </c>
      <c r="E140" s="46">
        <v>0</v>
      </c>
      <c r="F140" s="46">
        <v>0</v>
      </c>
      <c r="G140" s="46">
        <v>0</v>
      </c>
      <c r="H140" s="46">
        <v>0</v>
      </c>
      <c r="I140" s="46">
        <v>0</v>
      </c>
      <c r="J140" s="46">
        <v>0</v>
      </c>
      <c r="K140" s="46">
        <v>0</v>
      </c>
      <c r="L140" s="46">
        <v>0</v>
      </c>
      <c r="M140" s="46">
        <v>0</v>
      </c>
      <c r="N140" s="46">
        <v>0</v>
      </c>
      <c r="O140" s="46">
        <v>0</v>
      </c>
      <c r="P140" s="46">
        <v>0</v>
      </c>
      <c r="Q140" s="46">
        <v>0</v>
      </c>
      <c r="R140" s="46">
        <f>SUM(B140:Q140)</f>
        <v>0</v>
      </c>
    </row>
    <row r="141" spans="1:18" x14ac:dyDescent="0.3">
      <c r="A141" s="47" t="s">
        <v>254</v>
      </c>
      <c r="B141" s="46">
        <f>SUBTOTAL(9,B137:B140)</f>
        <v>34030.977628723726</v>
      </c>
      <c r="C141" s="46">
        <f t="shared" ref="C141:R141" si="55">SUBTOTAL(9,C137:C140)</f>
        <v>9656.700160135053</v>
      </c>
      <c r="D141" s="46">
        <f t="shared" si="55"/>
        <v>121773.27395260964</v>
      </c>
      <c r="E141" s="46">
        <f t="shared" si="55"/>
        <v>27155.366411247553</v>
      </c>
      <c r="F141" s="46">
        <f t="shared" si="55"/>
        <v>40097.504839195361</v>
      </c>
      <c r="G141" s="46">
        <f t="shared" si="55"/>
        <v>54441.810024769475</v>
      </c>
      <c r="H141" s="46">
        <f t="shared" si="55"/>
        <v>17376.531757658457</v>
      </c>
      <c r="I141" s="46">
        <f t="shared" si="55"/>
        <v>1749.9024326575041</v>
      </c>
      <c r="J141" s="46">
        <f t="shared" si="55"/>
        <v>5411.9563263683012</v>
      </c>
      <c r="K141" s="46">
        <f t="shared" si="55"/>
        <v>21486.704391510812</v>
      </c>
      <c r="L141" s="46">
        <f t="shared" si="55"/>
        <v>6379.9265878459082</v>
      </c>
      <c r="M141" s="46">
        <f t="shared" si="55"/>
        <v>664.52976344541798</v>
      </c>
      <c r="N141" s="46">
        <f t="shared" si="55"/>
        <v>664.52976344541798</v>
      </c>
      <c r="O141" s="46">
        <f t="shared" si="55"/>
        <v>664.52976344541798</v>
      </c>
      <c r="P141" s="46">
        <f t="shared" si="55"/>
        <v>664.52976344541798</v>
      </c>
      <c r="Q141" s="46">
        <f t="shared" si="55"/>
        <v>793.22643349653072</v>
      </c>
      <c r="R141" s="46">
        <f t="shared" si="55"/>
        <v>343012</v>
      </c>
    </row>
    <row r="142" spans="1:18" x14ac:dyDescent="0.3">
      <c r="A142" s="46" t="s">
        <v>263</v>
      </c>
      <c r="B142" s="46">
        <f>SUBTOTAL(9,B127:B141)</f>
        <v>1082890.8910801206</v>
      </c>
      <c r="C142" s="46">
        <f t="shared" ref="C142:R142" si="56">SUBTOTAL(9,C127:C141)</f>
        <v>438244.91511446959</v>
      </c>
      <c r="D142" s="46">
        <f t="shared" si="56"/>
        <v>2445189.6161965169</v>
      </c>
      <c r="E142" s="46">
        <f t="shared" si="56"/>
        <v>2102923.2027784619</v>
      </c>
      <c r="F142" s="46">
        <f t="shared" si="56"/>
        <v>6133211.3595542433</v>
      </c>
      <c r="G142" s="46">
        <f t="shared" si="56"/>
        <v>3888335.9535248363</v>
      </c>
      <c r="H142" s="46">
        <f t="shared" si="56"/>
        <v>2263387.703114273</v>
      </c>
      <c r="I142" s="46">
        <f t="shared" si="56"/>
        <v>847943.08737617964</v>
      </c>
      <c r="J142" s="46">
        <f t="shared" si="56"/>
        <v>178388.86064647223</v>
      </c>
      <c r="K142" s="46">
        <f t="shared" si="56"/>
        <v>745473.14702650788</v>
      </c>
      <c r="L142" s="46">
        <f t="shared" si="56"/>
        <v>454307.02205568075</v>
      </c>
      <c r="M142" s="46">
        <f t="shared" si="56"/>
        <v>748431.22608338238</v>
      </c>
      <c r="N142" s="46">
        <f t="shared" si="56"/>
        <v>245190.80854544471</v>
      </c>
      <c r="O142" s="46">
        <f t="shared" si="56"/>
        <v>159985.60854544473</v>
      </c>
      <c r="P142" s="46">
        <f t="shared" si="56"/>
        <v>16790.366035461157</v>
      </c>
      <c r="Q142" s="46">
        <f t="shared" si="56"/>
        <v>115343.2323225053</v>
      </c>
      <c r="R142" s="46">
        <f t="shared" si="56"/>
        <v>21866037.000000004</v>
      </c>
    </row>
    <row r="143" spans="1:18" x14ac:dyDescent="0.3">
      <c r="A143" s="46" t="s">
        <v>246</v>
      </c>
      <c r="R143" s="46">
        <f t="shared" ref="R143:R148" si="57">SUM(B143:Q143)</f>
        <v>0</v>
      </c>
    </row>
    <row r="144" spans="1:18" x14ac:dyDescent="0.3">
      <c r="A144" s="47" t="s">
        <v>255</v>
      </c>
      <c r="B144" s="46">
        <f t="array" ref="B144:Q144">MMULT(B56:P56,$B$105:$Q$119)</f>
        <v>0</v>
      </c>
      <c r="C144" s="46">
        <v>0</v>
      </c>
      <c r="D144" s="46">
        <v>0</v>
      </c>
      <c r="E144" s="46">
        <v>0</v>
      </c>
      <c r="F144" s="46">
        <v>0</v>
      </c>
      <c r="G144" s="46">
        <v>0</v>
      </c>
      <c r="H144" s="46">
        <v>0</v>
      </c>
      <c r="I144" s="46">
        <v>0</v>
      </c>
      <c r="J144" s="46">
        <v>0</v>
      </c>
      <c r="K144" s="46">
        <v>0</v>
      </c>
      <c r="L144" s="46">
        <v>0</v>
      </c>
      <c r="M144" s="46">
        <v>0</v>
      </c>
      <c r="N144" s="46">
        <v>0</v>
      </c>
      <c r="O144" s="46">
        <v>0</v>
      </c>
      <c r="P144" s="46">
        <v>0</v>
      </c>
      <c r="Q144" s="46">
        <v>0</v>
      </c>
      <c r="R144" s="46">
        <f t="shared" si="57"/>
        <v>0</v>
      </c>
    </row>
    <row r="145" spans="1:18" x14ac:dyDescent="0.3">
      <c r="A145" s="47" t="s">
        <v>256</v>
      </c>
      <c r="B145" s="46">
        <f t="array" ref="B145:Q145">MMULT(B57:P57,$B$105:$Q$119)</f>
        <v>0</v>
      </c>
      <c r="C145" s="46">
        <v>0</v>
      </c>
      <c r="D145" s="46">
        <v>0</v>
      </c>
      <c r="E145" s="46">
        <v>0</v>
      </c>
      <c r="F145" s="46">
        <v>0</v>
      </c>
      <c r="G145" s="46">
        <v>0</v>
      </c>
      <c r="H145" s="46">
        <v>0</v>
      </c>
      <c r="I145" s="46">
        <v>0</v>
      </c>
      <c r="J145" s="46">
        <v>0</v>
      </c>
      <c r="K145" s="46">
        <v>0</v>
      </c>
      <c r="L145" s="46">
        <v>0</v>
      </c>
      <c r="M145" s="46">
        <v>0</v>
      </c>
      <c r="N145" s="46">
        <v>0</v>
      </c>
      <c r="O145" s="46">
        <v>0</v>
      </c>
      <c r="P145" s="46">
        <v>0</v>
      </c>
      <c r="Q145" s="46">
        <v>0</v>
      </c>
      <c r="R145" s="46">
        <f t="shared" si="57"/>
        <v>0</v>
      </c>
    </row>
    <row r="146" spans="1:18" x14ac:dyDescent="0.3">
      <c r="A146" s="47" t="s">
        <v>257</v>
      </c>
      <c r="B146" s="46">
        <f t="array" ref="B146:Q146">MMULT(B58:P58,$B$105:$Q$119)</f>
        <v>0</v>
      </c>
      <c r="C146" s="46">
        <v>0</v>
      </c>
      <c r="D146" s="46">
        <v>0</v>
      </c>
      <c r="E146" s="46">
        <v>0</v>
      </c>
      <c r="F146" s="46">
        <v>0</v>
      </c>
      <c r="G146" s="46">
        <v>0</v>
      </c>
      <c r="H146" s="46">
        <v>0</v>
      </c>
      <c r="I146" s="46">
        <v>0</v>
      </c>
      <c r="J146" s="46">
        <v>0</v>
      </c>
      <c r="K146" s="46">
        <v>0</v>
      </c>
      <c r="L146" s="46">
        <v>0</v>
      </c>
      <c r="M146" s="46">
        <v>0</v>
      </c>
      <c r="N146" s="46">
        <v>0</v>
      </c>
      <c r="O146" s="46">
        <v>0</v>
      </c>
      <c r="P146" s="46">
        <v>0</v>
      </c>
      <c r="Q146" s="46">
        <v>0</v>
      </c>
      <c r="R146" s="46">
        <f t="shared" si="57"/>
        <v>0</v>
      </c>
    </row>
    <row r="147" spans="1:18" x14ac:dyDescent="0.3">
      <c r="A147" s="47" t="s">
        <v>728</v>
      </c>
      <c r="B147" s="46">
        <f t="array" ref="B147:Q147">MMULT(B59:P59,$B$105:$Q$119)</f>
        <v>0</v>
      </c>
      <c r="C147" s="46">
        <v>0</v>
      </c>
      <c r="D147" s="46">
        <v>0</v>
      </c>
      <c r="E147" s="46">
        <v>0</v>
      </c>
      <c r="F147" s="46">
        <v>0</v>
      </c>
      <c r="G147" s="46">
        <v>0</v>
      </c>
      <c r="H147" s="46">
        <v>0</v>
      </c>
      <c r="I147" s="46">
        <v>0</v>
      </c>
      <c r="J147" s="46">
        <v>0</v>
      </c>
      <c r="K147" s="46">
        <v>0</v>
      </c>
      <c r="L147" s="46">
        <v>0</v>
      </c>
      <c r="M147" s="46">
        <v>0</v>
      </c>
      <c r="N147" s="46">
        <v>0</v>
      </c>
      <c r="O147" s="46">
        <v>0</v>
      </c>
      <c r="P147" s="46">
        <v>0</v>
      </c>
      <c r="Q147" s="46">
        <v>0</v>
      </c>
      <c r="R147" s="46">
        <f t="shared" si="57"/>
        <v>0</v>
      </c>
    </row>
    <row r="148" spans="1:18" x14ac:dyDescent="0.3">
      <c r="A148" s="47" t="s">
        <v>258</v>
      </c>
      <c r="B148" s="46">
        <f t="array" ref="B148:Q148">MMULT(B60:P60,$B$105:$Q$119)</f>
        <v>0</v>
      </c>
      <c r="C148" s="46">
        <v>0</v>
      </c>
      <c r="D148" s="46">
        <v>0</v>
      </c>
      <c r="E148" s="46">
        <v>0</v>
      </c>
      <c r="F148" s="46">
        <v>0</v>
      </c>
      <c r="G148" s="46">
        <v>0</v>
      </c>
      <c r="H148" s="46">
        <v>0</v>
      </c>
      <c r="I148" s="46">
        <v>0</v>
      </c>
      <c r="J148" s="46">
        <v>0</v>
      </c>
      <c r="K148" s="46">
        <v>0</v>
      </c>
      <c r="L148" s="46">
        <v>0</v>
      </c>
      <c r="M148" s="46">
        <v>0</v>
      </c>
      <c r="N148" s="46">
        <v>0</v>
      </c>
      <c r="O148" s="46">
        <v>0</v>
      </c>
      <c r="P148" s="46">
        <v>0</v>
      </c>
      <c r="Q148" s="46">
        <v>0</v>
      </c>
      <c r="R148" s="46">
        <f t="shared" si="57"/>
        <v>0</v>
      </c>
    </row>
    <row r="149" spans="1:18" x14ac:dyDescent="0.3">
      <c r="A149" s="47" t="s">
        <v>259</v>
      </c>
      <c r="B149" s="46">
        <f>SUBTOTAL(9,B143:B148)</f>
        <v>0</v>
      </c>
      <c r="C149" s="46">
        <f t="shared" ref="C149:R149" si="58">SUBTOTAL(9,C143:C148)</f>
        <v>0</v>
      </c>
      <c r="D149" s="46">
        <f t="shared" si="58"/>
        <v>0</v>
      </c>
      <c r="E149" s="46">
        <f t="shared" si="58"/>
        <v>0</v>
      </c>
      <c r="F149" s="46">
        <f t="shared" si="58"/>
        <v>0</v>
      </c>
      <c r="G149" s="46">
        <f t="shared" si="58"/>
        <v>0</v>
      </c>
      <c r="H149" s="46">
        <f t="shared" si="58"/>
        <v>0</v>
      </c>
      <c r="I149" s="46">
        <f t="shared" si="58"/>
        <v>0</v>
      </c>
      <c r="J149" s="46">
        <f t="shared" si="58"/>
        <v>0</v>
      </c>
      <c r="K149" s="46">
        <f t="shared" si="58"/>
        <v>0</v>
      </c>
      <c r="L149" s="46">
        <f t="shared" si="58"/>
        <v>0</v>
      </c>
      <c r="M149" s="46">
        <f t="shared" si="58"/>
        <v>0</v>
      </c>
      <c r="N149" s="46">
        <f t="shared" si="58"/>
        <v>0</v>
      </c>
      <c r="O149" s="46">
        <f t="shared" si="58"/>
        <v>0</v>
      </c>
      <c r="P149" s="46">
        <f t="shared" si="58"/>
        <v>0</v>
      </c>
      <c r="Q149" s="46">
        <f t="shared" si="58"/>
        <v>0</v>
      </c>
      <c r="R149" s="46">
        <f t="shared" si="58"/>
        <v>0</v>
      </c>
    </row>
    <row r="150" spans="1:18" x14ac:dyDescent="0.3">
      <c r="A150" s="46" t="s">
        <v>260</v>
      </c>
      <c r="B150" s="46">
        <f t="shared" ref="B150:R150" si="59">SUBTOTAL(9,B151:B152)</f>
        <v>0</v>
      </c>
      <c r="C150" s="46">
        <f t="shared" si="59"/>
        <v>0</v>
      </c>
      <c r="D150" s="46">
        <f t="shared" si="59"/>
        <v>0</v>
      </c>
      <c r="E150" s="46">
        <f t="shared" si="59"/>
        <v>0</v>
      </c>
      <c r="F150" s="46">
        <f t="shared" si="59"/>
        <v>0</v>
      </c>
      <c r="G150" s="46">
        <f t="shared" si="59"/>
        <v>0</v>
      </c>
      <c r="H150" s="46">
        <f t="shared" si="59"/>
        <v>0</v>
      </c>
      <c r="I150" s="46">
        <f t="shared" si="59"/>
        <v>0</v>
      </c>
      <c r="J150" s="46">
        <f t="shared" si="59"/>
        <v>0</v>
      </c>
      <c r="K150" s="46">
        <f t="shared" si="59"/>
        <v>0</v>
      </c>
      <c r="L150" s="46">
        <f t="shared" si="59"/>
        <v>0</v>
      </c>
      <c r="M150" s="46">
        <f t="shared" si="59"/>
        <v>0</v>
      </c>
      <c r="N150" s="46">
        <f t="shared" si="59"/>
        <v>0</v>
      </c>
      <c r="O150" s="46">
        <f t="shared" si="59"/>
        <v>0</v>
      </c>
      <c r="P150" s="46">
        <f t="shared" si="59"/>
        <v>0</v>
      </c>
      <c r="Q150" s="46">
        <f t="shared" si="59"/>
        <v>0</v>
      </c>
      <c r="R150" s="46">
        <f t="shared" si="59"/>
        <v>0</v>
      </c>
    </row>
    <row r="151" spans="1:18" x14ac:dyDescent="0.3">
      <c r="A151" s="46" t="s">
        <v>261</v>
      </c>
      <c r="B151" s="46">
        <f t="array" ref="B151:Q151">MMULT(B63:P63,$B$105:$Q$119)</f>
        <v>0</v>
      </c>
      <c r="C151" s="46">
        <v>0</v>
      </c>
      <c r="D151" s="46">
        <v>0</v>
      </c>
      <c r="E151" s="46">
        <v>0</v>
      </c>
      <c r="F151" s="46">
        <v>0</v>
      </c>
      <c r="G151" s="46">
        <v>0</v>
      </c>
      <c r="H151" s="46">
        <v>0</v>
      </c>
      <c r="I151" s="46">
        <v>0</v>
      </c>
      <c r="J151" s="46">
        <v>0</v>
      </c>
      <c r="K151" s="46">
        <v>0</v>
      </c>
      <c r="L151" s="46">
        <v>0</v>
      </c>
      <c r="M151" s="46">
        <v>0</v>
      </c>
      <c r="N151" s="46">
        <v>0</v>
      </c>
      <c r="O151" s="46">
        <v>0</v>
      </c>
      <c r="P151" s="46">
        <v>0</v>
      </c>
      <c r="Q151" s="46">
        <v>0</v>
      </c>
      <c r="R151" s="46">
        <f>SUM(B151:Q151)</f>
        <v>0</v>
      </c>
    </row>
    <row r="152" spans="1:18" x14ac:dyDescent="0.3">
      <c r="A152" s="46" t="s">
        <v>606</v>
      </c>
      <c r="B152" s="46">
        <f t="array" ref="B152:Q152">MMULT(B64:P64,$B$105:$Q$119)</f>
        <v>0</v>
      </c>
      <c r="C152" s="46">
        <v>0</v>
      </c>
      <c r="D152" s="46">
        <v>0</v>
      </c>
      <c r="E152" s="46">
        <v>0</v>
      </c>
      <c r="F152" s="46">
        <v>0</v>
      </c>
      <c r="G152" s="46">
        <v>0</v>
      </c>
      <c r="H152" s="46">
        <v>0</v>
      </c>
      <c r="I152" s="46">
        <v>0</v>
      </c>
      <c r="J152" s="46">
        <v>0</v>
      </c>
      <c r="K152" s="46">
        <v>0</v>
      </c>
      <c r="L152" s="46">
        <v>0</v>
      </c>
      <c r="M152" s="46">
        <v>0</v>
      </c>
      <c r="N152" s="46">
        <v>0</v>
      </c>
      <c r="O152" s="46">
        <v>0</v>
      </c>
      <c r="P152" s="46">
        <v>0</v>
      </c>
      <c r="Q152" s="46">
        <v>0</v>
      </c>
      <c r="R152" s="46">
        <f>SUM(B152:Q152)</f>
        <v>0</v>
      </c>
    </row>
    <row r="153" spans="1:18" x14ac:dyDescent="0.3">
      <c r="A153" s="46" t="s">
        <v>629</v>
      </c>
      <c r="B153" s="46">
        <f>SUBTOTAL(9,B127:B152)</f>
        <v>1082890.8910801206</v>
      </c>
      <c r="C153" s="46">
        <f t="shared" ref="C153:R153" si="60">SUBTOTAL(9,C127:C152)</f>
        <v>438244.91511446959</v>
      </c>
      <c r="D153" s="46">
        <f t="shared" si="60"/>
        <v>2445189.6161965169</v>
      </c>
      <c r="E153" s="46">
        <f t="shared" si="60"/>
        <v>2102923.2027784619</v>
      </c>
      <c r="F153" s="46">
        <f t="shared" si="60"/>
        <v>6133211.3595542433</v>
      </c>
      <c r="G153" s="46">
        <f t="shared" si="60"/>
        <v>3888335.9535248363</v>
      </c>
      <c r="H153" s="46">
        <f t="shared" si="60"/>
        <v>2263387.703114273</v>
      </c>
      <c r="I153" s="46">
        <f t="shared" si="60"/>
        <v>847943.08737617964</v>
      </c>
      <c r="J153" s="46">
        <f t="shared" si="60"/>
        <v>178388.86064647223</v>
      </c>
      <c r="K153" s="46">
        <f t="shared" si="60"/>
        <v>745473.14702650788</v>
      </c>
      <c r="L153" s="46">
        <f t="shared" si="60"/>
        <v>454307.02205568075</v>
      </c>
      <c r="M153" s="46">
        <f t="shared" si="60"/>
        <v>748431.22608338238</v>
      </c>
      <c r="N153" s="46">
        <f t="shared" si="60"/>
        <v>245190.80854544471</v>
      </c>
      <c r="O153" s="46">
        <f t="shared" si="60"/>
        <v>159985.60854544473</v>
      </c>
      <c r="P153" s="46">
        <f t="shared" si="60"/>
        <v>16790.366035461157</v>
      </c>
      <c r="Q153" s="46">
        <f t="shared" si="60"/>
        <v>115343.2323225053</v>
      </c>
      <c r="R153" s="46">
        <f t="shared" si="60"/>
        <v>21866037.000000004</v>
      </c>
    </row>
    <row r="154" spans="1:18" x14ac:dyDescent="0.3">
      <c r="A154" s="46" t="s">
        <v>632</v>
      </c>
      <c r="B154" s="46">
        <f t="array" ref="B154:Q154">MMULT(B66:P66,$B$105:$Q$119)</f>
        <v>0</v>
      </c>
      <c r="C154" s="46">
        <v>0</v>
      </c>
      <c r="D154" s="46">
        <v>0</v>
      </c>
      <c r="E154" s="46">
        <v>0</v>
      </c>
      <c r="F154" s="46">
        <v>0</v>
      </c>
      <c r="G154" s="46">
        <v>0</v>
      </c>
      <c r="H154" s="46">
        <v>0</v>
      </c>
      <c r="I154" s="46">
        <v>0</v>
      </c>
      <c r="J154" s="46">
        <v>0</v>
      </c>
      <c r="K154" s="46">
        <v>0</v>
      </c>
      <c r="L154" s="46">
        <v>0</v>
      </c>
      <c r="M154" s="46">
        <v>0</v>
      </c>
      <c r="N154" s="46">
        <v>0</v>
      </c>
      <c r="O154" s="46">
        <v>0</v>
      </c>
      <c r="P154" s="46">
        <v>0</v>
      </c>
      <c r="Q154" s="46">
        <v>0</v>
      </c>
      <c r="R154" s="46">
        <f>SUM(B154:Q154)</f>
        <v>0</v>
      </c>
    </row>
    <row r="155" spans="1:18" x14ac:dyDescent="0.3">
      <c r="A155" s="46" t="s">
        <v>631</v>
      </c>
      <c r="B155" s="46">
        <f t="array" ref="B155:Q155">MMULT(B67:P67,$B$105:$Q$119)</f>
        <v>0</v>
      </c>
      <c r="C155" s="46">
        <v>0</v>
      </c>
      <c r="D155" s="46">
        <v>0</v>
      </c>
      <c r="E155" s="46">
        <v>0</v>
      </c>
      <c r="F155" s="46">
        <v>-376873.5</v>
      </c>
      <c r="G155" s="46">
        <v>0</v>
      </c>
      <c r="H155" s="46">
        <v>-125624.5</v>
      </c>
      <c r="I155" s="46">
        <v>0</v>
      </c>
      <c r="J155" s="46">
        <v>0</v>
      </c>
      <c r="K155" s="46">
        <v>0</v>
      </c>
      <c r="L155" s="46">
        <v>0</v>
      </c>
      <c r="M155" s="46">
        <v>0</v>
      </c>
      <c r="N155" s="46">
        <v>0</v>
      </c>
      <c r="O155" s="46">
        <v>0</v>
      </c>
      <c r="P155" s="46">
        <v>0</v>
      </c>
      <c r="Q155" s="46">
        <v>0</v>
      </c>
      <c r="R155" s="46">
        <f>SUM(B155:Q155)</f>
        <v>-502498</v>
      </c>
    </row>
    <row r="156" spans="1:18" x14ac:dyDescent="0.3">
      <c r="A156" s="46" t="s">
        <v>630</v>
      </c>
      <c r="B156" s="46">
        <f>SUBTOTAL(9,B127:B155)</f>
        <v>1082890.8910801206</v>
      </c>
      <c r="C156" s="46">
        <f t="shared" ref="C156:R156" si="61">SUBTOTAL(9,C127:C155)</f>
        <v>438244.91511446959</v>
      </c>
      <c r="D156" s="46">
        <f t="shared" si="61"/>
        <v>2445189.6161965169</v>
      </c>
      <c r="E156" s="46">
        <f t="shared" si="61"/>
        <v>2102923.2027784619</v>
      </c>
      <c r="F156" s="46">
        <f t="shared" si="61"/>
        <v>5756337.8595542433</v>
      </c>
      <c r="G156" s="46">
        <f t="shared" si="61"/>
        <v>3888335.9535248363</v>
      </c>
      <c r="H156" s="46">
        <f t="shared" si="61"/>
        <v>2137763.203114273</v>
      </c>
      <c r="I156" s="46">
        <f t="shared" si="61"/>
        <v>847943.08737617964</v>
      </c>
      <c r="J156" s="46">
        <f t="shared" si="61"/>
        <v>178388.86064647223</v>
      </c>
      <c r="K156" s="46">
        <f t="shared" si="61"/>
        <v>745473.14702650788</v>
      </c>
      <c r="L156" s="46">
        <f t="shared" si="61"/>
        <v>454307.02205568075</v>
      </c>
      <c r="M156" s="46">
        <f t="shared" si="61"/>
        <v>748431.22608338238</v>
      </c>
      <c r="N156" s="46">
        <f t="shared" si="61"/>
        <v>245190.80854544471</v>
      </c>
      <c r="O156" s="46">
        <f t="shared" si="61"/>
        <v>159985.60854544473</v>
      </c>
      <c r="P156" s="46">
        <f t="shared" si="61"/>
        <v>16790.366035461157</v>
      </c>
      <c r="Q156" s="46">
        <f t="shared" si="61"/>
        <v>115343.2323225053</v>
      </c>
      <c r="R156" s="46">
        <f t="shared" si="61"/>
        <v>21363539.000000004</v>
      </c>
    </row>
    <row r="158" spans="1:18" x14ac:dyDescent="0.3">
      <c r="A158" s="44" t="s">
        <v>227</v>
      </c>
    </row>
    <row r="159" spans="1:18" s="55" customFormat="1" ht="54" x14ac:dyDescent="0.25">
      <c r="B159" s="50" t="str">
        <f t="array" ref="B159:Q159">TRANSPOSE(List_Functions)</f>
        <v>Generation</v>
      </c>
      <c r="C159" s="50" t="str">
        <v>Purchased Power</v>
      </c>
      <c r="D159" s="50" t="str">
        <v>Transmission</v>
      </c>
      <c r="E159" s="50" t="str">
        <v>Substations</v>
      </c>
      <c r="F159" s="50" t="str">
        <v>Primary Lines</v>
      </c>
      <c r="G159" s="50" t="str">
        <v>Transformers</v>
      </c>
      <c r="H159" s="50" t="str">
        <v>Secondary Lines</v>
      </c>
      <c r="I159" s="50" t="str">
        <v>Service Lines</v>
      </c>
      <c r="J159" s="50" t="str">
        <v>Meter Assets</v>
      </c>
      <c r="K159" s="50" t="str">
        <v>Meter Reading</v>
      </c>
      <c r="L159" s="50" t="str">
        <v>Billing</v>
      </c>
      <c r="M159" s="50" t="str">
        <v>Remittance &amp; Collection</v>
      </c>
      <c r="N159" s="50" t="str">
        <v>Uncollectibles &amp; Damage Claims</v>
      </c>
      <c r="O159" s="50" t="str">
        <v>Service Connections</v>
      </c>
      <c r="P159" s="50" t="str">
        <v>Late Payments</v>
      </c>
      <c r="Q159" s="50" t="str">
        <v>Lighting</v>
      </c>
      <c r="R159" s="50" t="s">
        <v>214</v>
      </c>
    </row>
    <row r="160" spans="1:18" x14ac:dyDescent="0.3">
      <c r="A160" s="46" t="s">
        <v>262</v>
      </c>
    </row>
    <row r="161" spans="1:18" x14ac:dyDescent="0.3">
      <c r="A161" s="47" t="s">
        <v>247</v>
      </c>
      <c r="B161" s="46">
        <f t="array" ref="B161:Q161">MMULT(B73:E73,$B$120:$Q$123)</f>
        <v>381825.83707889874</v>
      </c>
      <c r="C161" s="46">
        <v>0</v>
      </c>
      <c r="D161" s="46">
        <v>700066.1629211012</v>
      </c>
      <c r="E161" s="46">
        <v>0</v>
      </c>
      <c r="F161" s="46">
        <v>0</v>
      </c>
      <c r="G161" s="46">
        <v>0</v>
      </c>
      <c r="H161" s="46">
        <v>0</v>
      </c>
      <c r="I161" s="46">
        <v>0</v>
      </c>
      <c r="J161" s="46">
        <v>0</v>
      </c>
      <c r="K161" s="46">
        <v>0</v>
      </c>
      <c r="L161" s="46">
        <v>0</v>
      </c>
      <c r="M161" s="46">
        <v>0</v>
      </c>
      <c r="N161" s="46">
        <v>0</v>
      </c>
      <c r="O161" s="46">
        <v>0</v>
      </c>
      <c r="P161" s="46">
        <v>0</v>
      </c>
      <c r="Q161" s="46">
        <v>0</v>
      </c>
      <c r="R161" s="46">
        <f>SUM(B161:Q161)</f>
        <v>1081892</v>
      </c>
    </row>
    <row r="162" spans="1:18" x14ac:dyDescent="0.3">
      <c r="A162" s="47" t="s">
        <v>248</v>
      </c>
      <c r="B162" s="46">
        <f t="array" ref="B162:Q162">MMULT(B74:E74,$B$120:$Q$123)</f>
        <v>0</v>
      </c>
      <c r="C162" s="46">
        <v>0</v>
      </c>
      <c r="D162" s="46">
        <v>0</v>
      </c>
      <c r="E162" s="46">
        <v>0</v>
      </c>
      <c r="F162" s="46">
        <v>0</v>
      </c>
      <c r="G162" s="46">
        <v>0</v>
      </c>
      <c r="H162" s="46">
        <v>0</v>
      </c>
      <c r="I162" s="46">
        <v>0</v>
      </c>
      <c r="J162" s="46">
        <v>0</v>
      </c>
      <c r="K162" s="46">
        <v>0</v>
      </c>
      <c r="L162" s="46">
        <v>0</v>
      </c>
      <c r="M162" s="46">
        <v>0</v>
      </c>
      <c r="N162" s="46">
        <v>0</v>
      </c>
      <c r="O162" s="46">
        <v>0</v>
      </c>
      <c r="P162" s="46">
        <v>0</v>
      </c>
      <c r="Q162" s="46">
        <v>0</v>
      </c>
      <c r="R162" s="46">
        <f>SUM(B162:Q162)</f>
        <v>0</v>
      </c>
    </row>
    <row r="163" spans="1:18" x14ac:dyDescent="0.3">
      <c r="A163" s="47" t="s">
        <v>249</v>
      </c>
      <c r="B163" s="46">
        <f>SUBTOTAL(9,B161:B162)</f>
        <v>381825.83707889874</v>
      </c>
      <c r="C163" s="46">
        <f t="shared" ref="C163:R163" si="62">SUBTOTAL(9,C161:C162)</f>
        <v>0</v>
      </c>
      <c r="D163" s="46">
        <f t="shared" si="62"/>
        <v>700066.1629211012</v>
      </c>
      <c r="E163" s="46">
        <f t="shared" si="62"/>
        <v>0</v>
      </c>
      <c r="F163" s="46">
        <f t="shared" si="62"/>
        <v>0</v>
      </c>
      <c r="G163" s="46">
        <f t="shared" si="62"/>
        <v>0</v>
      </c>
      <c r="H163" s="46">
        <f t="shared" si="62"/>
        <v>0</v>
      </c>
      <c r="I163" s="46">
        <f t="shared" si="62"/>
        <v>0</v>
      </c>
      <c r="J163" s="46">
        <f t="shared" si="62"/>
        <v>0</v>
      </c>
      <c r="K163" s="46">
        <f t="shared" si="62"/>
        <v>0</v>
      </c>
      <c r="L163" s="46">
        <f t="shared" si="62"/>
        <v>0</v>
      </c>
      <c r="M163" s="46">
        <f t="shared" si="62"/>
        <v>0</v>
      </c>
      <c r="N163" s="46">
        <f t="shared" si="62"/>
        <v>0</v>
      </c>
      <c r="O163" s="46">
        <f t="shared" si="62"/>
        <v>0</v>
      </c>
      <c r="P163" s="46">
        <f t="shared" si="62"/>
        <v>0</v>
      </c>
      <c r="Q163" s="46">
        <f t="shared" si="62"/>
        <v>0</v>
      </c>
      <c r="R163" s="46">
        <f t="shared" si="62"/>
        <v>1081892</v>
      </c>
    </row>
    <row r="164" spans="1:18" x14ac:dyDescent="0.3">
      <c r="A164" s="47" t="s">
        <v>124</v>
      </c>
      <c r="B164" s="46">
        <f t="array" ref="B164:Q164">MMULT(B76:E76,$B$120:$Q$123)</f>
        <v>0</v>
      </c>
      <c r="C164" s="46">
        <v>0</v>
      </c>
      <c r="D164" s="46">
        <v>0</v>
      </c>
      <c r="E164" s="46">
        <v>0</v>
      </c>
      <c r="F164" s="46">
        <v>0</v>
      </c>
      <c r="G164" s="46">
        <v>0</v>
      </c>
      <c r="H164" s="46">
        <v>0</v>
      </c>
      <c r="I164" s="46">
        <v>0</v>
      </c>
      <c r="J164" s="46">
        <v>0</v>
      </c>
      <c r="K164" s="46">
        <v>0</v>
      </c>
      <c r="L164" s="46">
        <v>0</v>
      </c>
      <c r="M164" s="46">
        <v>0</v>
      </c>
      <c r="N164" s="46">
        <v>0</v>
      </c>
      <c r="O164" s="46">
        <v>0</v>
      </c>
      <c r="P164" s="46">
        <v>0</v>
      </c>
      <c r="Q164" s="46">
        <v>0</v>
      </c>
      <c r="R164" s="46">
        <f>SUM(B164:Q164)</f>
        <v>0</v>
      </c>
    </row>
    <row r="165" spans="1:18" x14ac:dyDescent="0.3">
      <c r="A165" s="47" t="s">
        <v>12</v>
      </c>
      <c r="B165" s="46">
        <f t="array" ref="B165:Q165">MMULT(B77:E77,$B$120:$Q$123)</f>
        <v>0</v>
      </c>
      <c r="C165" s="46">
        <v>0</v>
      </c>
      <c r="D165" s="46">
        <v>0</v>
      </c>
      <c r="E165" s="46">
        <v>0</v>
      </c>
      <c r="F165" s="46">
        <v>0</v>
      </c>
      <c r="G165" s="46">
        <v>0</v>
      </c>
      <c r="H165" s="46">
        <v>0</v>
      </c>
      <c r="I165" s="46">
        <v>0</v>
      </c>
      <c r="J165" s="46">
        <v>0</v>
      </c>
      <c r="K165" s="46">
        <v>0</v>
      </c>
      <c r="L165" s="46">
        <v>0</v>
      </c>
      <c r="M165" s="46">
        <v>0</v>
      </c>
      <c r="N165" s="46">
        <v>0</v>
      </c>
      <c r="O165" s="46">
        <v>0</v>
      </c>
      <c r="P165" s="46">
        <v>0</v>
      </c>
      <c r="Q165" s="46">
        <v>0</v>
      </c>
      <c r="R165" s="46">
        <f>SUM(B165:Q165)</f>
        <v>0</v>
      </c>
    </row>
    <row r="166" spans="1:18" x14ac:dyDescent="0.3">
      <c r="A166" s="47" t="s">
        <v>250</v>
      </c>
      <c r="B166" s="46">
        <f t="array" ref="B166:Q166">MMULT(B78:E78,$B$120:$Q$123)</f>
        <v>0</v>
      </c>
      <c r="C166" s="46">
        <v>0</v>
      </c>
      <c r="D166" s="46">
        <v>0</v>
      </c>
      <c r="E166" s="46">
        <v>0</v>
      </c>
      <c r="F166" s="46">
        <v>0</v>
      </c>
      <c r="G166" s="46">
        <v>0</v>
      </c>
      <c r="H166" s="46">
        <v>0</v>
      </c>
      <c r="I166" s="46">
        <v>0</v>
      </c>
      <c r="J166" s="46">
        <v>0</v>
      </c>
      <c r="K166" s="46">
        <v>0</v>
      </c>
      <c r="L166" s="46">
        <v>0</v>
      </c>
      <c r="M166" s="46">
        <v>0</v>
      </c>
      <c r="N166" s="46">
        <v>0</v>
      </c>
      <c r="O166" s="46">
        <v>0</v>
      </c>
      <c r="P166" s="46">
        <v>0</v>
      </c>
      <c r="Q166" s="46">
        <v>0</v>
      </c>
      <c r="R166" s="46">
        <f>SUM(B166:Q166)</f>
        <v>0</v>
      </c>
    </row>
    <row r="167" spans="1:18" x14ac:dyDescent="0.3">
      <c r="A167" s="47" t="s">
        <v>251</v>
      </c>
      <c r="B167" s="46">
        <f t="array" ref="B167:Q167">MMULT(B79:E79,$B$120:$Q$123)</f>
        <v>0</v>
      </c>
      <c r="C167" s="46">
        <v>0</v>
      </c>
      <c r="D167" s="46">
        <v>0</v>
      </c>
      <c r="E167" s="46">
        <v>0</v>
      </c>
      <c r="F167" s="46">
        <v>0</v>
      </c>
      <c r="G167" s="46">
        <v>0</v>
      </c>
      <c r="H167" s="46">
        <v>0</v>
      </c>
      <c r="I167" s="46">
        <v>0</v>
      </c>
      <c r="J167" s="46">
        <v>0</v>
      </c>
      <c r="K167" s="46">
        <v>0</v>
      </c>
      <c r="L167" s="46">
        <v>0</v>
      </c>
      <c r="M167" s="46">
        <v>0</v>
      </c>
      <c r="N167" s="46">
        <v>0</v>
      </c>
      <c r="O167" s="46">
        <v>0</v>
      </c>
      <c r="P167" s="46">
        <v>0</v>
      </c>
      <c r="Q167" s="46">
        <v>0</v>
      </c>
      <c r="R167" s="46">
        <f>SUM(B167:Q167)</f>
        <v>0</v>
      </c>
    </row>
    <row r="168" spans="1:18" x14ac:dyDescent="0.3">
      <c r="A168" s="47" t="s">
        <v>252</v>
      </c>
      <c r="B168" s="46">
        <f t="array" ref="B168:Q168">MMULT(B80:E80,$B$120:$Q$123)</f>
        <v>189995.28264806978</v>
      </c>
      <c r="C168" s="46">
        <v>36843.979246612544</v>
      </c>
      <c r="D168" s="46">
        <v>347194.1611914371</v>
      </c>
      <c r="E168" s="46">
        <v>155740.63696591914</v>
      </c>
      <c r="F168" s="46">
        <v>566062.12785482884</v>
      </c>
      <c r="G168" s="46">
        <v>334089.61021026241</v>
      </c>
      <c r="H168" s="46">
        <v>191125.3727042338</v>
      </c>
      <c r="I168" s="46">
        <v>174011.13925918771</v>
      </c>
      <c r="J168" s="46">
        <v>49875.220189740314</v>
      </c>
      <c r="K168" s="46">
        <v>2409.2741861548643</v>
      </c>
      <c r="L168" s="46">
        <v>1790.9394054944178</v>
      </c>
      <c r="M168" s="46">
        <v>2855.8126704305746</v>
      </c>
      <c r="N168" s="46">
        <v>645.07250560609828</v>
      </c>
      <c r="O168" s="46">
        <v>645.07250560609828</v>
      </c>
      <c r="P168" s="46">
        <v>63.298778020709641</v>
      </c>
      <c r="Q168" s="46">
        <v>32677.999678395423</v>
      </c>
      <c r="R168" s="46">
        <f>SUM(B168:Q168)</f>
        <v>2086025</v>
      </c>
    </row>
    <row r="169" spans="1:18" x14ac:dyDescent="0.3">
      <c r="A169" s="47" t="s">
        <v>253</v>
      </c>
      <c r="B169" s="46">
        <f t="shared" ref="B169:N169" si="63">SUBTOTAL(9,B160:B168)</f>
        <v>571821.11972696846</v>
      </c>
      <c r="C169" s="46">
        <f t="shared" si="63"/>
        <v>36843.979246612544</v>
      </c>
      <c r="D169" s="46">
        <f t="shared" si="63"/>
        <v>1047260.3241125382</v>
      </c>
      <c r="E169" s="46">
        <f t="shared" si="63"/>
        <v>155740.63696591914</v>
      </c>
      <c r="F169" s="46">
        <f t="shared" si="63"/>
        <v>566062.12785482884</v>
      </c>
      <c r="G169" s="46">
        <f t="shared" si="63"/>
        <v>334089.61021026241</v>
      </c>
      <c r="H169" s="46">
        <f t="shared" si="63"/>
        <v>191125.3727042338</v>
      </c>
      <c r="I169" s="46">
        <f t="shared" si="63"/>
        <v>174011.13925918771</v>
      </c>
      <c r="J169" s="46">
        <f t="shared" si="63"/>
        <v>49875.220189740314</v>
      </c>
      <c r="K169" s="46">
        <f t="shared" si="63"/>
        <v>2409.2741861548643</v>
      </c>
      <c r="L169" s="46">
        <f t="shared" si="63"/>
        <v>1790.9394054944178</v>
      </c>
      <c r="M169" s="46">
        <f t="shared" si="63"/>
        <v>2855.8126704305746</v>
      </c>
      <c r="N169" s="46">
        <f t="shared" si="63"/>
        <v>645.07250560609828</v>
      </c>
      <c r="O169" s="46">
        <f>SUBTOTAL(9,O160:P168)</f>
        <v>708.37128362680789</v>
      </c>
      <c r="P169" s="46">
        <f>SUBTOTAL(9,P160:P168)</f>
        <v>63.298778020709641</v>
      </c>
      <c r="Q169" s="46">
        <f>SUBTOTAL(9,P160:Q168)</f>
        <v>32741.298456416134</v>
      </c>
      <c r="R169" s="46">
        <f>SUBTOTAL(9,R160:R168)</f>
        <v>3167917</v>
      </c>
    </row>
    <row r="170" spans="1:18" x14ac:dyDescent="0.3">
      <c r="A170" s="48" t="s">
        <v>138</v>
      </c>
    </row>
    <row r="171" spans="1:18" x14ac:dyDescent="0.3">
      <c r="A171" s="47" t="s">
        <v>479</v>
      </c>
      <c r="B171" s="46">
        <f t="array" ref="B171:Q171">MMULT(B83:E83,$B$120:$Q$123)</f>
        <v>0</v>
      </c>
      <c r="C171" s="46">
        <v>0</v>
      </c>
      <c r="D171" s="46">
        <v>0</v>
      </c>
      <c r="E171" s="46">
        <v>0</v>
      </c>
      <c r="F171" s="46">
        <v>0</v>
      </c>
      <c r="G171" s="46">
        <v>0</v>
      </c>
      <c r="H171" s="46">
        <v>0</v>
      </c>
      <c r="I171" s="46">
        <v>0</v>
      </c>
      <c r="J171" s="46">
        <v>0</v>
      </c>
      <c r="K171" s="46">
        <v>0</v>
      </c>
      <c r="L171" s="46">
        <v>0</v>
      </c>
      <c r="M171" s="46">
        <v>0</v>
      </c>
      <c r="N171" s="46">
        <v>0</v>
      </c>
      <c r="O171" s="46">
        <v>0</v>
      </c>
      <c r="P171" s="46">
        <v>0</v>
      </c>
      <c r="Q171" s="46">
        <v>0</v>
      </c>
      <c r="R171" s="46">
        <f>SUM(B171:Q171)</f>
        <v>0</v>
      </c>
    </row>
    <row r="172" spans="1:18" x14ac:dyDescent="0.3">
      <c r="A172" s="47" t="s">
        <v>725</v>
      </c>
      <c r="B172" s="46">
        <f t="array" ref="B172:Q172">MMULT(B84:E84,$B$120:$Q$123)</f>
        <v>0</v>
      </c>
      <c r="C172" s="46">
        <v>0</v>
      </c>
      <c r="D172" s="46">
        <v>0</v>
      </c>
      <c r="E172" s="46">
        <v>0</v>
      </c>
      <c r="F172" s="46">
        <v>0</v>
      </c>
      <c r="G172" s="46">
        <v>0</v>
      </c>
      <c r="H172" s="46">
        <v>0</v>
      </c>
      <c r="I172" s="46">
        <v>0</v>
      </c>
      <c r="J172" s="46">
        <v>0</v>
      </c>
      <c r="K172" s="46">
        <v>0</v>
      </c>
      <c r="L172" s="46">
        <v>0</v>
      </c>
      <c r="M172" s="46">
        <v>0</v>
      </c>
      <c r="N172" s="46">
        <v>0</v>
      </c>
      <c r="O172" s="46">
        <v>0</v>
      </c>
      <c r="P172" s="46">
        <v>0</v>
      </c>
      <c r="Q172" s="46">
        <v>0</v>
      </c>
      <c r="R172" s="46">
        <f>SUM(B172:Q172)</f>
        <v>0</v>
      </c>
    </row>
    <row r="173" spans="1:18" x14ac:dyDescent="0.3">
      <c r="A173" s="47" t="s">
        <v>480</v>
      </c>
      <c r="B173" s="46">
        <f t="array" ref="B173:Q173">MMULT(B85:E85,$B$120:$Q$123)</f>
        <v>2498060.72415881</v>
      </c>
      <c r="C173" s="46">
        <v>76664.17960555754</v>
      </c>
      <c r="D173" s="46">
        <v>3940499.1992600765</v>
      </c>
      <c r="E173" s="46">
        <v>1439465.0131167122</v>
      </c>
      <c r="F173" s="46">
        <v>6699364.4783851188</v>
      </c>
      <c r="G173" s="46">
        <v>5058308.8051804509</v>
      </c>
      <c r="H173" s="46">
        <v>2310581.4000981734</v>
      </c>
      <c r="I173" s="46">
        <v>2964133.9704350154</v>
      </c>
      <c r="J173" s="46">
        <v>1254112.1604134457</v>
      </c>
      <c r="K173" s="46">
        <v>137440.90872669316</v>
      </c>
      <c r="L173" s="46">
        <v>52501.047642307843</v>
      </c>
      <c r="M173" s="46">
        <v>34483.625219699694</v>
      </c>
      <c r="N173" s="46">
        <v>10452.725659745467</v>
      </c>
      <c r="O173" s="46">
        <v>10452.725659745467</v>
      </c>
      <c r="P173" s="46">
        <v>4128.804722915409</v>
      </c>
      <c r="Q173" s="46">
        <v>510708.23171553563</v>
      </c>
      <c r="R173" s="46">
        <f>SUM(B173:Q173)</f>
        <v>27001358.000000004</v>
      </c>
    </row>
    <row r="174" spans="1:18" x14ac:dyDescent="0.3">
      <c r="A174" s="47" t="s">
        <v>254</v>
      </c>
      <c r="B174" s="46">
        <f t="shared" ref="B174:N174" si="64">SUBTOTAL(9,B170:B173)</f>
        <v>2498060.72415881</v>
      </c>
      <c r="C174" s="46">
        <f t="shared" si="64"/>
        <v>76664.17960555754</v>
      </c>
      <c r="D174" s="46">
        <f t="shared" si="64"/>
        <v>3940499.1992600765</v>
      </c>
      <c r="E174" s="46">
        <f t="shared" si="64"/>
        <v>1439465.0131167122</v>
      </c>
      <c r="F174" s="46">
        <f t="shared" si="64"/>
        <v>6699364.4783851188</v>
      </c>
      <c r="G174" s="46">
        <f t="shared" si="64"/>
        <v>5058308.8051804509</v>
      </c>
      <c r="H174" s="46">
        <f t="shared" si="64"/>
        <v>2310581.4000981734</v>
      </c>
      <c r="I174" s="46">
        <f t="shared" si="64"/>
        <v>2964133.9704350154</v>
      </c>
      <c r="J174" s="46">
        <f t="shared" si="64"/>
        <v>1254112.1604134457</v>
      </c>
      <c r="K174" s="46">
        <f t="shared" si="64"/>
        <v>137440.90872669316</v>
      </c>
      <c r="L174" s="46">
        <f t="shared" si="64"/>
        <v>52501.047642307843</v>
      </c>
      <c r="M174" s="46">
        <f t="shared" si="64"/>
        <v>34483.625219699694</v>
      </c>
      <c r="N174" s="46">
        <f t="shared" si="64"/>
        <v>10452.725659745467</v>
      </c>
      <c r="O174" s="46">
        <f>SUBTOTAL(9,O170:P173)</f>
        <v>14581.530382660876</v>
      </c>
      <c r="P174" s="46">
        <f>SUBTOTAL(9,P170:P173)</f>
        <v>4128.804722915409</v>
      </c>
      <c r="Q174" s="46">
        <f>SUBTOTAL(9,P170:Q173)</f>
        <v>514837.03643845103</v>
      </c>
      <c r="R174" s="46">
        <f>SUBTOTAL(9,R170:R173)</f>
        <v>27001358.000000004</v>
      </c>
    </row>
    <row r="175" spans="1:18" x14ac:dyDescent="0.3">
      <c r="A175" s="46" t="s">
        <v>263</v>
      </c>
      <c r="B175" s="46">
        <f t="shared" ref="B175:N175" si="65">SUBTOTAL(9,B160:B174)</f>
        <v>3069881.8438857784</v>
      </c>
      <c r="C175" s="46">
        <f t="shared" si="65"/>
        <v>113508.15885217008</v>
      </c>
      <c r="D175" s="46">
        <f t="shared" si="65"/>
        <v>4987759.5233726148</v>
      </c>
      <c r="E175" s="46">
        <f t="shared" si="65"/>
        <v>1595205.6500826313</v>
      </c>
      <c r="F175" s="46">
        <f t="shared" si="65"/>
        <v>7265426.6062399475</v>
      </c>
      <c r="G175" s="46">
        <f t="shared" si="65"/>
        <v>5392398.4153907131</v>
      </c>
      <c r="H175" s="46">
        <f t="shared" si="65"/>
        <v>2501706.7728024074</v>
      </c>
      <c r="I175" s="46">
        <f t="shared" si="65"/>
        <v>3138145.1096942029</v>
      </c>
      <c r="J175" s="46">
        <f t="shared" si="65"/>
        <v>1303987.3806031861</v>
      </c>
      <c r="K175" s="46">
        <f t="shared" si="65"/>
        <v>139850.18291284802</v>
      </c>
      <c r="L175" s="46">
        <f t="shared" si="65"/>
        <v>54291.987047802264</v>
      </c>
      <c r="M175" s="46">
        <f t="shared" si="65"/>
        <v>37339.43789013027</v>
      </c>
      <c r="N175" s="46">
        <f t="shared" si="65"/>
        <v>11097.798165351565</v>
      </c>
      <c r="O175" s="46">
        <f>SUBTOTAL(9,O160:P174)</f>
        <v>15289.901666287684</v>
      </c>
      <c r="P175" s="46">
        <f>SUBTOTAL(9,P160:P174)</f>
        <v>4192.1035009361185</v>
      </c>
      <c r="Q175" s="46">
        <f>SUBTOTAL(9,P160:Q174)</f>
        <v>547578.33489486715</v>
      </c>
      <c r="R175" s="46">
        <f>SUBTOTAL(9,R160:R174)</f>
        <v>30169275.000000004</v>
      </c>
    </row>
    <row r="176" spans="1:18" x14ac:dyDescent="0.3">
      <c r="A176" s="46" t="s">
        <v>246</v>
      </c>
    </row>
    <row r="177" spans="1:18" x14ac:dyDescent="0.3">
      <c r="A177" s="47" t="s">
        <v>255</v>
      </c>
      <c r="B177" s="46">
        <f t="array" ref="B177:Q177">MMULT(B89:E89,$B$120:$Q$123)</f>
        <v>1327177.0030595642</v>
      </c>
      <c r="C177" s="46">
        <v>422233.7115246249</v>
      </c>
      <c r="D177" s="46">
        <v>2433339.0300590065</v>
      </c>
      <c r="E177" s="46">
        <v>1088315.3533894247</v>
      </c>
      <c r="F177" s="46">
        <v>3951385.1399181392</v>
      </c>
      <c r="G177" s="46">
        <v>2333367.7023719144</v>
      </c>
      <c r="H177" s="46">
        <v>1334369.9402265826</v>
      </c>
      <c r="I177" s="46">
        <v>1213466.9373578553</v>
      </c>
      <c r="J177" s="46">
        <v>347995.2690580964</v>
      </c>
      <c r="K177" s="46">
        <v>18224.220946738689</v>
      </c>
      <c r="L177" s="46">
        <v>13649.320255839379</v>
      </c>
      <c r="M177" s="46">
        <v>20782.825275016985</v>
      </c>
      <c r="N177" s="46">
        <v>4970.7010175725063</v>
      </c>
      <c r="O177" s="46">
        <v>4683.1016846087232</v>
      </c>
      <c r="P177" s="46">
        <v>460.11891614267171</v>
      </c>
      <c r="Q177" s="46">
        <v>227827.62493887654</v>
      </c>
      <c r="R177" s="46">
        <f>SUM(B177:Q177)</f>
        <v>14742248.000000006</v>
      </c>
    </row>
    <row r="178" spans="1:18" x14ac:dyDescent="0.3">
      <c r="A178" s="47" t="s">
        <v>256</v>
      </c>
      <c r="B178" s="46">
        <f t="array" ref="B178:Q178">MMULT(B90:E90,$B$120:$Q$123)</f>
        <v>120338.1433612268</v>
      </c>
      <c r="C178" s="46">
        <v>38284.886486322568</v>
      </c>
      <c r="D178" s="46">
        <v>220636.35850429765</v>
      </c>
      <c r="E178" s="46">
        <v>98680.016845140461</v>
      </c>
      <c r="F178" s="46">
        <v>358281.03587291407</v>
      </c>
      <c r="G178" s="46">
        <v>211571.73190551868</v>
      </c>
      <c r="H178" s="46">
        <v>120990.34325769692</v>
      </c>
      <c r="I178" s="46">
        <v>110027.79428459151</v>
      </c>
      <c r="J178" s="46">
        <v>31553.518845189366</v>
      </c>
      <c r="K178" s="46">
        <v>1652.4313696512168</v>
      </c>
      <c r="L178" s="46">
        <v>1237.6147672419988</v>
      </c>
      <c r="M178" s="46">
        <v>1884.4258163235199</v>
      </c>
      <c r="N178" s="46">
        <v>450.70471405055713</v>
      </c>
      <c r="O178" s="46">
        <v>424.62743145674801</v>
      </c>
      <c r="P178" s="46">
        <v>41.720023754438202</v>
      </c>
      <c r="Q178" s="46">
        <v>20657.646514623852</v>
      </c>
      <c r="R178" s="46">
        <f>SUM(B178:Q178)</f>
        <v>1336713.0000000002</v>
      </c>
    </row>
    <row r="179" spans="1:18" x14ac:dyDescent="0.3">
      <c r="A179" s="47" t="s">
        <v>257</v>
      </c>
      <c r="B179" s="46">
        <f t="array" ref="B179:Q179">MMULT(B91:E91,$B$120:$Q$123)</f>
        <v>-70126.107709372067</v>
      </c>
      <c r="C179" s="46">
        <v>-22310.216847221014</v>
      </c>
      <c r="D179" s="46">
        <v>-128574.10467628368</v>
      </c>
      <c r="E179" s="46">
        <v>-57505.004620792773</v>
      </c>
      <c r="F179" s="46">
        <v>-208785.45912438142</v>
      </c>
      <c r="G179" s="46">
        <v>-123291.76473438271</v>
      </c>
      <c r="H179" s="46">
        <v>-70506.172075585666</v>
      </c>
      <c r="I179" s="46">
        <v>-64117.832779460601</v>
      </c>
      <c r="J179" s="46">
        <v>-18387.565233621473</v>
      </c>
      <c r="K179" s="46">
        <v>-962.94139974111283</v>
      </c>
      <c r="L179" s="46">
        <v>-721.21028334134564</v>
      </c>
      <c r="M179" s="46">
        <v>-1098.134341072132</v>
      </c>
      <c r="N179" s="46">
        <v>-262.64463153429938</v>
      </c>
      <c r="O179" s="46">
        <v>-247.4482999567723</v>
      </c>
      <c r="P179" s="46">
        <v>-24.312016104977978</v>
      </c>
      <c r="Q179" s="46">
        <v>-12038.081227148148</v>
      </c>
      <c r="R179" s="46">
        <f>SUM(B179:Q179)</f>
        <v>-778959.00000000023</v>
      </c>
    </row>
    <row r="180" spans="1:18" x14ac:dyDescent="0.3">
      <c r="A180" s="47" t="s">
        <v>728</v>
      </c>
      <c r="B180" s="46">
        <f t="array" ref="B180:Q180">MMULT(B92:E92,$B$120:$Q$123)</f>
        <v>-4394.3205862052682</v>
      </c>
      <c r="C180" s="46">
        <v>-1398.0277585168822</v>
      </c>
      <c r="D180" s="46">
        <v>-8056.8543369532399</v>
      </c>
      <c r="E180" s="46">
        <v>-3603.4429097682118</v>
      </c>
      <c r="F180" s="46">
        <v>-13083.147933048218</v>
      </c>
      <c r="G180" s="46">
        <v>-7725.8464440550642</v>
      </c>
      <c r="H180" s="46">
        <v>-4418.1366045626119</v>
      </c>
      <c r="I180" s="46">
        <v>-4017.8233432453198</v>
      </c>
      <c r="J180" s="46">
        <v>-1152.2221762423073</v>
      </c>
      <c r="K180" s="46">
        <v>-60.340910887688828</v>
      </c>
      <c r="L180" s="46">
        <v>-45.193285333962073</v>
      </c>
      <c r="M180" s="46">
        <v>-68.812522169219321</v>
      </c>
      <c r="N180" s="46">
        <v>-16.458131627533952</v>
      </c>
      <c r="O180" s="46">
        <v>-15.505882103538145</v>
      </c>
      <c r="P180" s="46">
        <v>-1.5234667423011803</v>
      </c>
      <c r="Q180" s="46">
        <v>-754.3437085386463</v>
      </c>
      <c r="R180" s="46">
        <f>SUM(B180:Q180)</f>
        <v>-48812.000000000007</v>
      </c>
    </row>
    <row r="181" spans="1:18" x14ac:dyDescent="0.3">
      <c r="A181" s="47" t="s">
        <v>258</v>
      </c>
      <c r="B181" s="46">
        <f t="array" ref="B181:Q181">MMULT(B93:E93,$B$120:$Q$123)</f>
        <v>2240.5525434212223</v>
      </c>
      <c r="C181" s="46">
        <v>712.81887351405726</v>
      </c>
      <c r="D181" s="46">
        <v>4107.9855514646442</v>
      </c>
      <c r="E181" s="46">
        <v>1837.304087894601</v>
      </c>
      <c r="F181" s="46">
        <v>6670.7650937823491</v>
      </c>
      <c r="G181" s="46">
        <v>3939.2130275268878</v>
      </c>
      <c r="H181" s="46">
        <v>2252.6957267547791</v>
      </c>
      <c r="I181" s="46">
        <v>2048.5861543614178</v>
      </c>
      <c r="J181" s="46">
        <v>587.48884541339305</v>
      </c>
      <c r="K181" s="46">
        <v>30.766299069343596</v>
      </c>
      <c r="L181" s="46">
        <v>23.042909231165453</v>
      </c>
      <c r="M181" s="46">
        <v>35.085758660729539</v>
      </c>
      <c r="N181" s="46">
        <v>8.3915836258720198</v>
      </c>
      <c r="O181" s="46">
        <v>7.9060557607321424</v>
      </c>
      <c r="P181" s="46">
        <v>0.77677702782905378</v>
      </c>
      <c r="Q181" s="46">
        <v>384.62071249098233</v>
      </c>
      <c r="R181" s="46">
        <f>SUM(B181:Q181)</f>
        <v>24888.000000000007</v>
      </c>
    </row>
    <row r="182" spans="1:18" x14ac:dyDescent="0.3">
      <c r="A182" s="47" t="s">
        <v>259</v>
      </c>
      <c r="B182" s="46">
        <f t="shared" ref="B182:N182" si="66">SUBTOTAL(9,B176:B181)</f>
        <v>1375235.2706686349</v>
      </c>
      <c r="C182" s="46">
        <f t="shared" si="66"/>
        <v>437523.17227872362</v>
      </c>
      <c r="D182" s="46">
        <f t="shared" si="66"/>
        <v>2521452.4151015319</v>
      </c>
      <c r="E182" s="46">
        <f t="shared" si="66"/>
        <v>1127724.2267918985</v>
      </c>
      <c r="F182" s="46">
        <f t="shared" si="66"/>
        <v>4094468.3338274057</v>
      </c>
      <c r="G182" s="46">
        <f t="shared" si="66"/>
        <v>2417861.0361265223</v>
      </c>
      <c r="H182" s="46">
        <f t="shared" si="66"/>
        <v>1382688.6705308859</v>
      </c>
      <c r="I182" s="46">
        <f t="shared" si="66"/>
        <v>1257407.6616741023</v>
      </c>
      <c r="J182" s="46">
        <f t="shared" si="66"/>
        <v>360596.48933883535</v>
      </c>
      <c r="K182" s="46">
        <f t="shared" si="66"/>
        <v>18884.136304830448</v>
      </c>
      <c r="L182" s="46">
        <f t="shared" si="66"/>
        <v>14143.574363637235</v>
      </c>
      <c r="M182" s="46">
        <f t="shared" si="66"/>
        <v>21535.389986759885</v>
      </c>
      <c r="N182" s="46">
        <f t="shared" si="66"/>
        <v>5150.6945520871022</v>
      </c>
      <c r="O182" s="46">
        <f>SUBTOTAL(9,O176:P181)</f>
        <v>5329.461223843552</v>
      </c>
      <c r="P182" s="46">
        <f>SUBTOTAL(9,P176:P181)</f>
        <v>476.78023407765977</v>
      </c>
      <c r="Q182" s="46">
        <f>SUBTOTAL(9,P176:Q181)</f>
        <v>236554.24746438221</v>
      </c>
      <c r="R182" s="46">
        <f>SUBTOTAL(9,R176:R181)</f>
        <v>15276078.000000006</v>
      </c>
    </row>
    <row r="183" spans="1:18" x14ac:dyDescent="0.3">
      <c r="A183" s="46" t="s">
        <v>260</v>
      </c>
      <c r="B183" s="46">
        <f t="shared" ref="B183:R183" si="67">SUBTOTAL(9,B184:B185)</f>
        <v>2319473.1439550193</v>
      </c>
      <c r="C183" s="46">
        <f t="shared" si="67"/>
        <v>737927.00754766189</v>
      </c>
      <c r="D183" s="46">
        <f t="shared" si="67"/>
        <v>4252684.0936424164</v>
      </c>
      <c r="E183" s="46">
        <f t="shared" si="67"/>
        <v>1902020.7768227844</v>
      </c>
      <c r="F183" s="46">
        <f t="shared" si="67"/>
        <v>6905734.2708128104</v>
      </c>
      <c r="G183" s="46">
        <f t="shared" si="67"/>
        <v>4077966.7731936905</v>
      </c>
      <c r="H183" s="46">
        <f t="shared" si="67"/>
        <v>2332044.0554058608</v>
      </c>
      <c r="I183" s="46">
        <f t="shared" si="67"/>
        <v>2120744.9841206842</v>
      </c>
      <c r="J183" s="46">
        <f t="shared" si="67"/>
        <v>608182.38934436231</v>
      </c>
      <c r="K183" s="46">
        <f t="shared" si="67"/>
        <v>31850.002643216219</v>
      </c>
      <c r="L183" s="46">
        <f t="shared" si="67"/>
        <v>23854.566266350394</v>
      </c>
      <c r="M183" s="46">
        <f t="shared" si="67"/>
        <v>36321.609679630667</v>
      </c>
      <c r="N183" s="46">
        <f t="shared" si="67"/>
        <v>8687.1664369638493</v>
      </c>
      <c r="O183" s="46">
        <f t="shared" si="67"/>
        <v>8184.5364731451245</v>
      </c>
      <c r="P183" s="46">
        <f t="shared" si="67"/>
        <v>804.1380061275222</v>
      </c>
      <c r="Q183" s="46">
        <f t="shared" si="67"/>
        <v>398168.48564928328</v>
      </c>
      <c r="R183" s="46">
        <f t="shared" si="67"/>
        <v>25764648.000000011</v>
      </c>
    </row>
    <row r="184" spans="1:18" x14ac:dyDescent="0.3">
      <c r="A184" s="46" t="s">
        <v>261</v>
      </c>
      <c r="B184" s="46">
        <f t="array" ref="B184:Q184">MMULT(B96:E96,$B$120:$Q$123)</f>
        <v>722532.46234222013</v>
      </c>
      <c r="C184" s="46">
        <v>229869.53704628794</v>
      </c>
      <c r="D184" s="46">
        <v>1324741.4904333274</v>
      </c>
      <c r="E184" s="46">
        <v>592493.06631785666</v>
      </c>
      <c r="F184" s="46">
        <v>2151185.5828015562</v>
      </c>
      <c r="G184" s="46">
        <v>1270315.7963541979</v>
      </c>
      <c r="H184" s="46">
        <v>726448.39110739436</v>
      </c>
      <c r="I184" s="46">
        <v>660627.22018149227</v>
      </c>
      <c r="J184" s="46">
        <v>189453.16115058181</v>
      </c>
      <c r="K184" s="46">
        <v>9921.5034652953564</v>
      </c>
      <c r="L184" s="46">
        <v>7430.8678880164071</v>
      </c>
      <c r="M184" s="46">
        <v>11314.441017112935</v>
      </c>
      <c r="N184" s="46">
        <v>2706.1144350106365</v>
      </c>
      <c r="O184" s="46">
        <v>2549.5416088274992</v>
      </c>
      <c r="P184" s="46">
        <v>250.49473633463612</v>
      </c>
      <c r="Q184" s="46">
        <v>124032.32911448993</v>
      </c>
      <c r="R184" s="46">
        <f>SUM(B184:Q184)</f>
        <v>8025872.0000000028</v>
      </c>
    </row>
    <row r="185" spans="1:18" x14ac:dyDescent="0.3">
      <c r="A185" s="46" t="s">
        <v>606</v>
      </c>
      <c r="B185" s="46">
        <f t="array" ref="B185:Q185">MMULT(B97:E97,$B$120:$Q$123)</f>
        <v>1596940.6816127989</v>
      </c>
      <c r="C185" s="46">
        <v>508057.47050137399</v>
      </c>
      <c r="D185" s="46">
        <v>2927942.603209089</v>
      </c>
      <c r="E185" s="46">
        <v>1309527.7105049277</v>
      </c>
      <c r="F185" s="46">
        <v>4754548.6880112542</v>
      </c>
      <c r="G185" s="46">
        <v>2807650.9768394926</v>
      </c>
      <c r="H185" s="46">
        <v>1605595.6642984664</v>
      </c>
      <c r="I185" s="46">
        <v>1460117.7639391921</v>
      </c>
      <c r="J185" s="46">
        <v>418729.22819378047</v>
      </c>
      <c r="K185" s="46">
        <v>21928.499177920865</v>
      </c>
      <c r="L185" s="46">
        <v>16423.698378333986</v>
      </c>
      <c r="M185" s="46">
        <v>25007.168662517732</v>
      </c>
      <c r="N185" s="46">
        <v>5981.0520019532132</v>
      </c>
      <c r="O185" s="46">
        <v>5634.9948643176258</v>
      </c>
      <c r="P185" s="46">
        <v>553.64326979288614</v>
      </c>
      <c r="Q185" s="46">
        <v>274136.15653479338</v>
      </c>
      <c r="R185" s="46">
        <f>SUM(B185:Q185)</f>
        <v>17738776.000000007</v>
      </c>
    </row>
    <row r="186" spans="1:18" x14ac:dyDescent="0.3">
      <c r="A186" s="46" t="s">
        <v>629</v>
      </c>
      <c r="B186" s="46">
        <f t="shared" ref="B186:R186" si="68">SUBTOTAL(9,B160:B185)</f>
        <v>6764590.258509432</v>
      </c>
      <c r="C186" s="46">
        <f t="shared" si="68"/>
        <v>1288958.3386785556</v>
      </c>
      <c r="D186" s="46">
        <f t="shared" si="68"/>
        <v>11761896.032116562</v>
      </c>
      <c r="E186" s="46">
        <f t="shared" si="68"/>
        <v>4624950.6536973147</v>
      </c>
      <c r="F186" s="46">
        <f t="shared" si="68"/>
        <v>18265629.210880164</v>
      </c>
      <c r="G186" s="46">
        <f t="shared" si="68"/>
        <v>11888226.224710925</v>
      </c>
      <c r="H186" s="46">
        <f t="shared" si="68"/>
        <v>6216439.4987391541</v>
      </c>
      <c r="I186" s="46">
        <f t="shared" si="68"/>
        <v>6516297.7554889899</v>
      </c>
      <c r="J186" s="46">
        <f t="shared" si="68"/>
        <v>2272766.2592863836</v>
      </c>
      <c r="K186" s="46">
        <f t="shared" si="68"/>
        <v>190584.32186089471</v>
      </c>
      <c r="L186" s="46">
        <f t="shared" si="68"/>
        <v>92290.127677789889</v>
      </c>
      <c r="M186" s="46">
        <f t="shared" si="68"/>
        <v>95196.437556520832</v>
      </c>
      <c r="N186" s="46">
        <f t="shared" si="68"/>
        <v>24935.659154402514</v>
      </c>
      <c r="O186" s="46">
        <f t="shared" si="68"/>
        <v>24135.015628262583</v>
      </c>
      <c r="P186" s="46">
        <f t="shared" si="68"/>
        <v>5473.0217411413005</v>
      </c>
      <c r="Q186" s="46">
        <f t="shared" si="68"/>
        <v>1177632.1842735189</v>
      </c>
      <c r="R186" s="46">
        <f t="shared" si="68"/>
        <v>71210001.000000015</v>
      </c>
    </row>
    <row r="187" spans="1:18" x14ac:dyDescent="0.3">
      <c r="A187" s="46" t="s">
        <v>632</v>
      </c>
      <c r="B187" s="46">
        <f t="array" ref="B187:Q187">MMULT(B99:E99,$B$120:$Q$123)</f>
        <v>0</v>
      </c>
      <c r="C187" s="46">
        <v>0</v>
      </c>
      <c r="D187" s="46">
        <v>0</v>
      </c>
      <c r="E187" s="46">
        <v>0</v>
      </c>
      <c r="F187" s="46">
        <v>0</v>
      </c>
      <c r="G187" s="46">
        <v>0</v>
      </c>
      <c r="H187" s="46">
        <v>0</v>
      </c>
      <c r="I187" s="46">
        <v>0</v>
      </c>
      <c r="J187" s="46">
        <v>0</v>
      </c>
      <c r="K187" s="46">
        <v>0</v>
      </c>
      <c r="L187" s="46">
        <v>0</v>
      </c>
      <c r="M187" s="46">
        <v>0</v>
      </c>
      <c r="N187" s="46">
        <v>0</v>
      </c>
      <c r="O187" s="46">
        <v>0</v>
      </c>
      <c r="P187" s="46">
        <v>0</v>
      </c>
      <c r="Q187" s="46">
        <v>0</v>
      </c>
      <c r="R187" s="46">
        <f>SUM(B187:Q187)</f>
        <v>0</v>
      </c>
    </row>
    <row r="188" spans="1:18" x14ac:dyDescent="0.3">
      <c r="A188" s="46" t="s">
        <v>631</v>
      </c>
      <c r="B188" s="46">
        <f t="array" ref="B188:Q188">MMULT(B100:E100,$B$120:$Q$123)</f>
        <v>-131242.6518764543</v>
      </c>
      <c r="C188" s="46">
        <v>-41754.092999185683</v>
      </c>
      <c r="D188" s="46">
        <v>-240629.44617274258</v>
      </c>
      <c r="E188" s="46">
        <v>-107621.96204983386</v>
      </c>
      <c r="F188" s="46">
        <v>-390746.87336546369</v>
      </c>
      <c r="G188" s="46">
        <v>-230743.42333854863</v>
      </c>
      <c r="H188" s="46">
        <v>-131953.95123321228</v>
      </c>
      <c r="I188" s="46">
        <v>-119998.02472172328</v>
      </c>
      <c r="J188" s="46">
        <v>-34412.758694851371</v>
      </c>
      <c r="K188" s="46">
        <v>-1802.1673672151987</v>
      </c>
      <c r="L188" s="46">
        <v>-1349.761925167239</v>
      </c>
      <c r="M188" s="46">
        <v>-2055.18412110085</v>
      </c>
      <c r="N188" s="46">
        <v>-491.54557510210805</v>
      </c>
      <c r="O188" s="46">
        <v>-463.10528488531611</v>
      </c>
      <c r="P188" s="46">
        <v>-45.500507162098515</v>
      </c>
      <c r="Q188" s="46">
        <v>-22529.550767351884</v>
      </c>
      <c r="R188" s="46">
        <f>SUM(B188:Q188)</f>
        <v>-1457840.0000000005</v>
      </c>
    </row>
    <row r="189" spans="1:18" x14ac:dyDescent="0.3">
      <c r="A189" s="46" t="s">
        <v>630</v>
      </c>
      <c r="B189" s="46">
        <f t="shared" ref="B189:P189" si="69">SUBTOTAL(9,B160:B188)</f>
        <v>6633347.6066329777</v>
      </c>
      <c r="C189" s="46">
        <f t="shared" si="69"/>
        <v>1247204.2456793699</v>
      </c>
      <c r="D189" s="46">
        <f t="shared" si="69"/>
        <v>11521266.58594382</v>
      </c>
      <c r="E189" s="46">
        <f t="shared" si="69"/>
        <v>4517328.6916474812</v>
      </c>
      <c r="F189" s="46">
        <f t="shared" si="69"/>
        <v>17874882.337514699</v>
      </c>
      <c r="G189" s="46">
        <f t="shared" si="69"/>
        <v>11657482.801372375</v>
      </c>
      <c r="H189" s="46">
        <f t="shared" si="69"/>
        <v>6084485.5475059422</v>
      </c>
      <c r="I189" s="46">
        <f t="shared" si="69"/>
        <v>6396299.7307672668</v>
      </c>
      <c r="J189" s="46">
        <f t="shared" si="69"/>
        <v>2238353.5005915323</v>
      </c>
      <c r="K189" s="46">
        <f t="shared" si="69"/>
        <v>188782.1544936795</v>
      </c>
      <c r="L189" s="46">
        <f t="shared" si="69"/>
        <v>90940.365752622645</v>
      </c>
      <c r="M189" s="46">
        <f t="shared" si="69"/>
        <v>93141.253435419989</v>
      </c>
      <c r="N189" s="46">
        <f t="shared" si="69"/>
        <v>24444.113579300407</v>
      </c>
      <c r="O189" s="46">
        <f t="shared" si="69"/>
        <v>23671.910343377265</v>
      </c>
      <c r="P189" s="46">
        <f t="shared" si="69"/>
        <v>5427.5212339792024</v>
      </c>
      <c r="Q189" s="46">
        <f>SUBTOTAL(9,P160:Q188)</f>
        <v>1160530.1547401461</v>
      </c>
      <c r="R189" s="46">
        <f>SUBTOTAL(9,R160:R188)</f>
        <v>69752161.000000015</v>
      </c>
    </row>
    <row r="191" spans="1:18" x14ac:dyDescent="0.3">
      <c r="A191" s="46" t="s">
        <v>214</v>
      </c>
    </row>
    <row r="192" spans="1:18" s="55" customFormat="1" ht="54" x14ac:dyDescent="0.25">
      <c r="B192" s="50" t="str">
        <f t="array" ref="B192:Q192">TRANSPOSE(List_Functions)</f>
        <v>Generation</v>
      </c>
      <c r="C192" s="50" t="str">
        <v>Purchased Power</v>
      </c>
      <c r="D192" s="50" t="str">
        <v>Transmission</v>
      </c>
      <c r="E192" s="50" t="str">
        <v>Substations</v>
      </c>
      <c r="F192" s="50" t="str">
        <v>Primary Lines</v>
      </c>
      <c r="G192" s="50" t="str">
        <v>Transformers</v>
      </c>
      <c r="H192" s="50" t="str">
        <v>Secondary Lines</v>
      </c>
      <c r="I192" s="50" t="str">
        <v>Service Lines</v>
      </c>
      <c r="J192" s="50" t="str">
        <v>Meter Assets</v>
      </c>
      <c r="K192" s="50" t="str">
        <v>Meter Reading</v>
      </c>
      <c r="L192" s="50" t="str">
        <v>Billing</v>
      </c>
      <c r="M192" s="50" t="str">
        <v>Remittance &amp; Collection</v>
      </c>
      <c r="N192" s="50" t="str">
        <v>Uncollectibles &amp; Damage Claims</v>
      </c>
      <c r="O192" s="50" t="str">
        <v>Service Connections</v>
      </c>
      <c r="P192" s="50" t="str">
        <v>Late Payments</v>
      </c>
      <c r="Q192" s="50" t="str">
        <v>Lighting</v>
      </c>
      <c r="R192" s="50" t="s">
        <v>214</v>
      </c>
    </row>
    <row r="193" spans="1:19" x14ac:dyDescent="0.3">
      <c r="A193" s="46" t="s">
        <v>262</v>
      </c>
    </row>
    <row r="194" spans="1:19" x14ac:dyDescent="0.3">
      <c r="A194" s="47" t="s">
        <v>247</v>
      </c>
      <c r="B194" s="46">
        <f>SUM(B7,B128,B161)</f>
        <v>2246906.6704122322</v>
      </c>
      <c r="C194" s="46">
        <f>SUM(C7,C128,C161)</f>
        <v>148366053.66666666</v>
      </c>
      <c r="D194" s="46">
        <f>SUM(D7,D128,D161)</f>
        <v>8553064.6629211009</v>
      </c>
      <c r="E194" s="46">
        <f>SUM(E7,E128,E161)</f>
        <v>275459.50000000006</v>
      </c>
      <c r="F194" s="46">
        <f>SUM(F7,F128,F161)</f>
        <v>91819.833333333358</v>
      </c>
      <c r="G194" s="46">
        <f>SUM(G7,G128,G161)</f>
        <v>91819.833333333358</v>
      </c>
      <c r="H194" s="46">
        <f>SUM(H7,H128,H161)</f>
        <v>91819.833333333358</v>
      </c>
      <c r="I194" s="46">
        <f>SUM(I7,I128,I161)</f>
        <v>0</v>
      </c>
      <c r="J194" s="46">
        <f>SUM(J7,J128,J161)</f>
        <v>0</v>
      </c>
      <c r="K194" s="46">
        <f>SUM(K7,K128,K161)</f>
        <v>0</v>
      </c>
      <c r="L194" s="46">
        <f>SUM(L7,L128,L161)</f>
        <v>0</v>
      </c>
      <c r="M194" s="46">
        <f>SUM(M7,M128,M161)</f>
        <v>0</v>
      </c>
      <c r="N194" s="46">
        <f>SUM(N7,N128,N161)</f>
        <v>0</v>
      </c>
      <c r="O194" s="46">
        <f>SUM(O7,O128,O161)</f>
        <v>0</v>
      </c>
      <c r="P194" s="46">
        <f>SUM(P7,P128,P161)</f>
        <v>0</v>
      </c>
      <c r="Q194" s="46">
        <f>SUM(Q7,Q128,Q161)</f>
        <v>0</v>
      </c>
      <c r="R194" s="46">
        <f>SUM(B194:Q194)</f>
        <v>159716944.00000003</v>
      </c>
      <c r="S194" s="46">
        <f>'4.1'!B5-R194</f>
        <v>0</v>
      </c>
    </row>
    <row r="195" spans="1:19" x14ac:dyDescent="0.3">
      <c r="A195" s="47" t="s">
        <v>248</v>
      </c>
      <c r="B195" s="46">
        <f>SUM(B8,B129,B162)</f>
        <v>0</v>
      </c>
      <c r="C195" s="46">
        <f>SUM(C8,C129,C162)</f>
        <v>-8641284</v>
      </c>
      <c r="D195" s="46">
        <f>SUM(D8,D129,D162)</f>
        <v>0</v>
      </c>
      <c r="E195" s="46">
        <f>SUM(E8,E129,E162)</f>
        <v>0</v>
      </c>
      <c r="F195" s="46">
        <f>SUM(F8,F129,F162)</f>
        <v>0</v>
      </c>
      <c r="G195" s="46">
        <f>SUM(G8,G129,G162)</f>
        <v>0</v>
      </c>
      <c r="H195" s="46">
        <f>SUM(H8,H129,H162)</f>
        <v>0</v>
      </c>
      <c r="I195" s="46">
        <f>SUM(I8,I129,I162)</f>
        <v>0</v>
      </c>
      <c r="J195" s="46">
        <f>SUM(J8,J129,J162)</f>
        <v>0</v>
      </c>
      <c r="K195" s="46">
        <f>SUM(K8,K129,K162)</f>
        <v>0</v>
      </c>
      <c r="L195" s="46">
        <f>SUM(L8,L129,L162)</f>
        <v>0</v>
      </c>
      <c r="M195" s="46">
        <f>SUM(M8,M129,M162)</f>
        <v>0</v>
      </c>
      <c r="N195" s="46">
        <f>SUM(N8,N129,N162)</f>
        <v>0</v>
      </c>
      <c r="O195" s="46">
        <f>SUM(O8,O129,O162)</f>
        <v>0</v>
      </c>
      <c r="P195" s="46">
        <f>SUM(P8,P129,P162)</f>
        <v>0</v>
      </c>
      <c r="Q195" s="46">
        <f>SUM(Q8,Q129,Q162)</f>
        <v>0</v>
      </c>
      <c r="R195" s="46">
        <f>SUM(B195:Q195)</f>
        <v>-8641284</v>
      </c>
      <c r="S195" s="46">
        <f>'4.1'!B6-R195</f>
        <v>0</v>
      </c>
    </row>
    <row r="196" spans="1:19" x14ac:dyDescent="0.3">
      <c r="A196" s="47" t="s">
        <v>249</v>
      </c>
      <c r="B196" s="46">
        <f>SUBTOTAL(9,B194:B195)</f>
        <v>2246906.6704122322</v>
      </c>
      <c r="C196" s="46">
        <f t="shared" ref="C196:R196" si="70">SUBTOTAL(9,C194:C195)</f>
        <v>139724769.66666666</v>
      </c>
      <c r="D196" s="46">
        <f t="shared" si="70"/>
        <v>8553064.6629211009</v>
      </c>
      <c r="E196" s="46">
        <f t="shared" si="70"/>
        <v>275459.50000000006</v>
      </c>
      <c r="F196" s="46">
        <f t="shared" si="70"/>
        <v>91819.833333333358</v>
      </c>
      <c r="G196" s="46">
        <f t="shared" si="70"/>
        <v>91819.833333333358</v>
      </c>
      <c r="H196" s="46">
        <f t="shared" si="70"/>
        <v>91819.833333333358</v>
      </c>
      <c r="I196" s="46">
        <f t="shared" si="70"/>
        <v>0</v>
      </c>
      <c r="J196" s="46">
        <f t="shared" si="70"/>
        <v>0</v>
      </c>
      <c r="K196" s="46">
        <f t="shared" si="70"/>
        <v>0</v>
      </c>
      <c r="L196" s="46">
        <f t="shared" si="70"/>
        <v>0</v>
      </c>
      <c r="M196" s="46">
        <f t="shared" si="70"/>
        <v>0</v>
      </c>
      <c r="N196" s="46">
        <f t="shared" si="70"/>
        <v>0</v>
      </c>
      <c r="O196" s="46">
        <f t="shared" si="70"/>
        <v>0</v>
      </c>
      <c r="P196" s="46">
        <f t="shared" si="70"/>
        <v>0</v>
      </c>
      <c r="Q196" s="46">
        <f t="shared" si="70"/>
        <v>0</v>
      </c>
      <c r="R196" s="46">
        <f t="shared" si="70"/>
        <v>151075660.00000003</v>
      </c>
      <c r="S196" s="46">
        <f>'4.1'!B7-R196</f>
        <v>0</v>
      </c>
    </row>
    <row r="197" spans="1:19" x14ac:dyDescent="0.3">
      <c r="A197" s="47" t="s">
        <v>124</v>
      </c>
      <c r="B197" s="46">
        <f>SUM(B10,B131,B164)</f>
        <v>84987.500000000015</v>
      </c>
      <c r="C197" s="46">
        <f>SUM(C10,C131,C164)</f>
        <v>0</v>
      </c>
      <c r="D197" s="46">
        <f>SUM(D10,D131,D164)</f>
        <v>84987.500000000015</v>
      </c>
      <c r="E197" s="46">
        <f>SUM(E10,E131,E164)</f>
        <v>983180.74251953792</v>
      </c>
      <c r="F197" s="46">
        <f>SUM(F10,F131,F164)</f>
        <v>3504361.3764815149</v>
      </c>
      <c r="G197" s="46">
        <f>SUM(G10,G131,G164)</f>
        <v>2250013.0059368056</v>
      </c>
      <c r="H197" s="46">
        <f>SUM(H10,H131,H164)</f>
        <v>1187006.5699382825</v>
      </c>
      <c r="I197" s="46">
        <f>SUM(I10,I131,I164)</f>
        <v>625944.71463481209</v>
      </c>
      <c r="J197" s="46">
        <f>SUM(J10,J131,J164)</f>
        <v>230530</v>
      </c>
      <c r="K197" s="46">
        <f>SUM(K10,K131,K164)</f>
        <v>0</v>
      </c>
      <c r="L197" s="46">
        <f>SUM(L10,L131,L164)</f>
        <v>0</v>
      </c>
      <c r="M197" s="46">
        <f>SUM(M10,M131,M164)</f>
        <v>0</v>
      </c>
      <c r="N197" s="46">
        <f>SUM(N10,N131,N164)</f>
        <v>0</v>
      </c>
      <c r="O197" s="46">
        <f>SUM(O10,O131,O164)</f>
        <v>0</v>
      </c>
      <c r="P197" s="46">
        <f>SUM(P10,P131,P164)</f>
        <v>0</v>
      </c>
      <c r="Q197" s="46">
        <f>SUM(Q10,Q131,Q164)</f>
        <v>74220.590489047216</v>
      </c>
      <c r="R197" s="46">
        <f>SUM(B197:Q197)</f>
        <v>9025232</v>
      </c>
      <c r="S197" s="46">
        <f>'4.1'!B8-R197</f>
        <v>0</v>
      </c>
    </row>
    <row r="198" spans="1:19" x14ac:dyDescent="0.3">
      <c r="A198" s="47" t="s">
        <v>12</v>
      </c>
      <c r="B198" s="46">
        <f>SUM(B11,B132,B165)</f>
        <v>0</v>
      </c>
      <c r="C198" s="46">
        <f>SUM(C11,C132,C165)</f>
        <v>0</v>
      </c>
      <c r="D198" s="46">
        <f>SUM(D11,D132,D165)</f>
        <v>1795035</v>
      </c>
      <c r="E198" s="46">
        <f>SUM(E11,E132,E165)</f>
        <v>0</v>
      </c>
      <c r="F198" s="46">
        <f>SUM(F11,F132,F165)</f>
        <v>0</v>
      </c>
      <c r="G198" s="46">
        <f>SUM(G11,G132,G165)</f>
        <v>0</v>
      </c>
      <c r="H198" s="46">
        <f>SUM(H11,H132,H165)</f>
        <v>0</v>
      </c>
      <c r="I198" s="46">
        <f>SUM(I11,I132,I165)</f>
        <v>0</v>
      </c>
      <c r="J198" s="46">
        <f>SUM(J11,J132,J165)</f>
        <v>0</v>
      </c>
      <c r="K198" s="46">
        <f>SUM(K11,K132,K165)</f>
        <v>0</v>
      </c>
      <c r="L198" s="46">
        <f>SUM(L11,L132,L165)</f>
        <v>0</v>
      </c>
      <c r="M198" s="46">
        <f>SUM(M11,M132,M165)</f>
        <v>0</v>
      </c>
      <c r="N198" s="46">
        <f>SUM(N11,N132,N165)</f>
        <v>0</v>
      </c>
      <c r="O198" s="46">
        <f>SUM(O11,O132,O165)</f>
        <v>0</v>
      </c>
      <c r="P198" s="46">
        <f>SUM(P11,P132,P165)</f>
        <v>0</v>
      </c>
      <c r="Q198" s="46">
        <f>SUM(Q11,Q132,Q165)</f>
        <v>0</v>
      </c>
      <c r="R198" s="46">
        <f>SUM(B198:Q198)</f>
        <v>1795035</v>
      </c>
      <c r="S198" s="46">
        <f>'4.1'!B9-R198</f>
        <v>0</v>
      </c>
    </row>
    <row r="199" spans="1:19" x14ac:dyDescent="0.3">
      <c r="A199" s="47" t="s">
        <v>250</v>
      </c>
      <c r="B199" s="46">
        <f>SUM(B12,B133,B166)</f>
        <v>0</v>
      </c>
      <c r="C199" s="46">
        <f>SUM(C12,C133,C166)</f>
        <v>0</v>
      </c>
      <c r="D199" s="46">
        <f>SUM(D12,D133,D166)</f>
        <v>0</v>
      </c>
      <c r="E199" s="46">
        <f>SUM(E12,E133,E166)</f>
        <v>615390.40546372079</v>
      </c>
      <c r="F199" s="46">
        <f>SUM(F12,F133,F166)</f>
        <v>1129177.2776550555</v>
      </c>
      <c r="G199" s="46">
        <f>SUM(G12,G133,G166)</f>
        <v>701436.89099620527</v>
      </c>
      <c r="H199" s="46">
        <f>SUM(H12,H133,H166)</f>
        <v>376392.42588501849</v>
      </c>
      <c r="I199" s="46">
        <f>SUM(I12,I133,I166)</f>
        <v>0</v>
      </c>
      <c r="J199" s="46">
        <f>SUM(J12,J133,J166)</f>
        <v>0</v>
      </c>
      <c r="K199" s="46">
        <f>SUM(K12,K133,K166)</f>
        <v>0</v>
      </c>
      <c r="L199" s="46">
        <f>SUM(L12,L133,L166)</f>
        <v>0</v>
      </c>
      <c r="M199" s="46">
        <f>SUM(M12,M133,M166)</f>
        <v>0</v>
      </c>
      <c r="N199" s="46">
        <f>SUM(N12,N133,N166)</f>
        <v>0</v>
      </c>
      <c r="O199" s="46">
        <f>SUM(O12,O133,O166)</f>
        <v>0</v>
      </c>
      <c r="P199" s="46">
        <f>SUM(P12,P133,P166)</f>
        <v>0</v>
      </c>
      <c r="Q199" s="46">
        <f>SUM(Q12,Q133,Q166)</f>
        <v>0</v>
      </c>
      <c r="R199" s="46">
        <f>SUM(B199:Q199)</f>
        <v>2822397</v>
      </c>
      <c r="S199" s="46">
        <f>'4.1'!B10-R199</f>
        <v>0</v>
      </c>
    </row>
    <row r="200" spans="1:19" x14ac:dyDescent="0.3">
      <c r="A200" s="47" t="s">
        <v>251</v>
      </c>
      <c r="B200" s="46">
        <f>SUM(B13,B134,B167)</f>
        <v>0</v>
      </c>
      <c r="C200" s="46">
        <f>SUM(C13,C134,C167)</f>
        <v>0</v>
      </c>
      <c r="D200" s="46">
        <f>SUM(D13,D134,D167)</f>
        <v>292618</v>
      </c>
      <c r="E200" s="46">
        <f>SUM(E13,E134,E167)</f>
        <v>0</v>
      </c>
      <c r="F200" s="46">
        <f>SUM(F13,F134,F167)</f>
        <v>0</v>
      </c>
      <c r="G200" s="46">
        <f>SUM(G13,G134,G167)</f>
        <v>0</v>
      </c>
      <c r="H200" s="46">
        <f>SUM(H13,H134,H167)</f>
        <v>0</v>
      </c>
      <c r="I200" s="46">
        <f>SUM(I13,I134,I167)</f>
        <v>0</v>
      </c>
      <c r="J200" s="46">
        <f>SUM(J13,J134,J167)</f>
        <v>0</v>
      </c>
      <c r="K200" s="46">
        <f>SUM(K13,K134,K167)</f>
        <v>0</v>
      </c>
      <c r="L200" s="46">
        <f>SUM(L13,L134,L167)</f>
        <v>0</v>
      </c>
      <c r="M200" s="46">
        <f>SUM(M13,M134,M167)</f>
        <v>0</v>
      </c>
      <c r="N200" s="46">
        <f>SUM(N13,N134,N167)</f>
        <v>0</v>
      </c>
      <c r="O200" s="46">
        <f>SUM(O13,O134,O167)</f>
        <v>0</v>
      </c>
      <c r="P200" s="46">
        <f>SUM(P13,P134,P167)</f>
        <v>0</v>
      </c>
      <c r="Q200" s="46">
        <f>SUM(Q13,Q134,Q167)</f>
        <v>0</v>
      </c>
      <c r="R200" s="46">
        <f>SUM(B200:Q200)</f>
        <v>292618</v>
      </c>
      <c r="S200" s="46">
        <f>'4.1'!B11-R200</f>
        <v>0</v>
      </c>
    </row>
    <row r="201" spans="1:19" x14ac:dyDescent="0.3">
      <c r="A201" s="47" t="s">
        <v>252</v>
      </c>
      <c r="B201" s="46">
        <f>SUM(B14,B135,B168)</f>
        <v>1062047.8627661334</v>
      </c>
      <c r="C201" s="46">
        <f>SUM(C14,C135,C168)</f>
        <v>281792.52753428038</v>
      </c>
      <c r="D201" s="46">
        <f>SUM(D14,D135,D168)</f>
        <v>2310163.503435344</v>
      </c>
      <c r="E201" s="46">
        <f>SUM(E14,E135,E168)</f>
        <v>948394.82534987468</v>
      </c>
      <c r="F201" s="46">
        <f>SUM(F14,F135,F168)</f>
        <v>1933817.4950999729</v>
      </c>
      <c r="G201" s="46">
        <f>SUM(G14,G135,G168)</f>
        <v>1954197.023443985</v>
      </c>
      <c r="H201" s="46">
        <f>SUM(H14,H135,H168)</f>
        <v>781917.71490421449</v>
      </c>
      <c r="I201" s="46">
        <f>SUM(I14,I135,I168)</f>
        <v>394259.60956789763</v>
      </c>
      <c r="J201" s="46">
        <f>SUM(J14,J135,J168)</f>
        <v>222852.12450984423</v>
      </c>
      <c r="K201" s="46">
        <f>SUM(K14,K135,K168)</f>
        <v>1217630.7168211518</v>
      </c>
      <c r="L201" s="46">
        <f>SUM(L14,L135,L168)</f>
        <v>991644.03487332922</v>
      </c>
      <c r="M201" s="46">
        <f>SUM(M14,M135,M168)</f>
        <v>750622.50899036753</v>
      </c>
      <c r="N201" s="46">
        <f>SUM(N14,N135,N168)</f>
        <v>403179.35128760542</v>
      </c>
      <c r="O201" s="46">
        <f>SUM(O14,O135,O168)</f>
        <v>159966.15128760543</v>
      </c>
      <c r="P201" s="46">
        <f>SUM(P14,P135,P168)</f>
        <v>16189.13505003645</v>
      </c>
      <c r="Q201" s="46">
        <f>SUM(Q14,Q135,Q168)</f>
        <v>73007.415078356978</v>
      </c>
      <c r="R201" s="46">
        <f>SUM(B201:Q201)</f>
        <v>13501682.000000002</v>
      </c>
      <c r="S201" s="46">
        <f>'4.1'!B12-R201</f>
        <v>0</v>
      </c>
    </row>
    <row r="202" spans="1:19" x14ac:dyDescent="0.3">
      <c r="A202" s="47" t="s">
        <v>253</v>
      </c>
      <c r="B202" s="46">
        <f t="shared" ref="B202:R202" si="71">SUBTOTAL(9,B193:B201)</f>
        <v>3393942.0331783658</v>
      </c>
      <c r="C202" s="46">
        <f t="shared" si="71"/>
        <v>140006562.19420093</v>
      </c>
      <c r="D202" s="46">
        <f t="shared" si="71"/>
        <v>13035868.666356444</v>
      </c>
      <c r="E202" s="46">
        <f t="shared" si="71"/>
        <v>2822425.4733331334</v>
      </c>
      <c r="F202" s="46">
        <f t="shared" si="71"/>
        <v>6659175.9825698771</v>
      </c>
      <c r="G202" s="46">
        <f t="shared" si="71"/>
        <v>4997466.7537103295</v>
      </c>
      <c r="H202" s="46">
        <f t="shared" si="71"/>
        <v>2437136.5440608487</v>
      </c>
      <c r="I202" s="46">
        <f t="shared" si="71"/>
        <v>1020204.3242027097</v>
      </c>
      <c r="J202" s="46">
        <f t="shared" si="71"/>
        <v>453382.12450984423</v>
      </c>
      <c r="K202" s="46">
        <f t="shared" si="71"/>
        <v>1217630.7168211518</v>
      </c>
      <c r="L202" s="46">
        <f t="shared" si="71"/>
        <v>991644.03487332922</v>
      </c>
      <c r="M202" s="46">
        <f t="shared" si="71"/>
        <v>750622.50899036753</v>
      </c>
      <c r="N202" s="46">
        <f t="shared" si="71"/>
        <v>403179.35128760542</v>
      </c>
      <c r="O202" s="46">
        <f t="shared" si="71"/>
        <v>159966.15128760543</v>
      </c>
      <c r="P202" s="46">
        <f t="shared" si="71"/>
        <v>16189.13505003645</v>
      </c>
      <c r="Q202" s="46">
        <f t="shared" si="71"/>
        <v>147228.00556740421</v>
      </c>
      <c r="R202" s="46">
        <f t="shared" si="71"/>
        <v>178512624.00000003</v>
      </c>
      <c r="S202" s="46">
        <f>'4.1'!B13-R202</f>
        <v>0</v>
      </c>
    </row>
    <row r="203" spans="1:19" x14ac:dyDescent="0.3">
      <c r="A203" s="48" t="s">
        <v>138</v>
      </c>
      <c r="S203" s="46">
        <f>'4.1'!B14-R203</f>
        <v>0</v>
      </c>
    </row>
    <row r="204" spans="1:19" x14ac:dyDescent="0.3">
      <c r="A204" s="47" t="s">
        <v>479</v>
      </c>
      <c r="B204" s="46">
        <f t="shared" ref="B204:Q204" si="72">SUM(B17,B138,B171)</f>
        <v>34030.977628723726</v>
      </c>
      <c r="C204" s="46">
        <f t="shared" si="72"/>
        <v>103056.70016013505</v>
      </c>
      <c r="D204" s="46">
        <f t="shared" si="72"/>
        <v>121773.27395260964</v>
      </c>
      <c r="E204" s="46">
        <f t="shared" si="72"/>
        <v>27155.366411247553</v>
      </c>
      <c r="F204" s="46">
        <f t="shared" si="72"/>
        <v>40097.504839195361</v>
      </c>
      <c r="G204" s="46">
        <f t="shared" si="72"/>
        <v>54441.810024769475</v>
      </c>
      <c r="H204" s="46">
        <f t="shared" si="72"/>
        <v>17376.531757658457</v>
      </c>
      <c r="I204" s="46">
        <f t="shared" si="72"/>
        <v>1749.9024326575041</v>
      </c>
      <c r="J204" s="46">
        <f t="shared" si="72"/>
        <v>5411.9563263683012</v>
      </c>
      <c r="K204" s="46">
        <f t="shared" si="72"/>
        <v>21486.704391510812</v>
      </c>
      <c r="L204" s="46">
        <f t="shared" si="72"/>
        <v>6379.9265878459082</v>
      </c>
      <c r="M204" s="46">
        <f t="shared" si="72"/>
        <v>664.52976344541798</v>
      </c>
      <c r="N204" s="46">
        <f t="shared" si="72"/>
        <v>664.52976344541798</v>
      </c>
      <c r="O204" s="46">
        <f t="shared" si="72"/>
        <v>664.52976344541798</v>
      </c>
      <c r="P204" s="46">
        <f t="shared" si="72"/>
        <v>664.52976344541798</v>
      </c>
      <c r="Q204" s="46">
        <f t="shared" si="72"/>
        <v>793.22643349653072</v>
      </c>
      <c r="R204" s="46">
        <f>SUM(B204:Q204)</f>
        <v>436411.99999999994</v>
      </c>
      <c r="S204" s="46">
        <f>'4.1'!B15-R204</f>
        <v>0</v>
      </c>
    </row>
    <row r="205" spans="1:19" x14ac:dyDescent="0.3">
      <c r="A205" s="47" t="s">
        <v>725</v>
      </c>
      <c r="B205" s="46">
        <f t="shared" ref="B205:Q205" si="73">SUM(B18,B139,B172)</f>
        <v>2134453</v>
      </c>
      <c r="C205" s="46">
        <f t="shared" si="73"/>
        <v>0</v>
      </c>
      <c r="D205" s="46">
        <f t="shared" si="73"/>
        <v>0</v>
      </c>
      <c r="E205" s="46">
        <f t="shared" si="73"/>
        <v>0</v>
      </c>
      <c r="F205" s="46">
        <f t="shared" si="73"/>
        <v>0</v>
      </c>
      <c r="G205" s="46">
        <f t="shared" si="73"/>
        <v>0</v>
      </c>
      <c r="H205" s="46">
        <f t="shared" si="73"/>
        <v>0</v>
      </c>
      <c r="I205" s="46">
        <f t="shared" si="73"/>
        <v>0</v>
      </c>
      <c r="J205" s="46">
        <f t="shared" si="73"/>
        <v>0</v>
      </c>
      <c r="K205" s="46">
        <f t="shared" si="73"/>
        <v>0</v>
      </c>
      <c r="L205" s="46">
        <f t="shared" si="73"/>
        <v>0</v>
      </c>
      <c r="M205" s="46">
        <f t="shared" si="73"/>
        <v>0</v>
      </c>
      <c r="N205" s="46">
        <f t="shared" si="73"/>
        <v>0</v>
      </c>
      <c r="O205" s="46">
        <f t="shared" si="73"/>
        <v>0</v>
      </c>
      <c r="P205" s="46">
        <f t="shared" si="73"/>
        <v>0</v>
      </c>
      <c r="Q205" s="46">
        <f t="shared" si="73"/>
        <v>0</v>
      </c>
      <c r="R205" s="46">
        <f>SUM(B205:Q205)</f>
        <v>2134453</v>
      </c>
    </row>
    <row r="206" spans="1:19" x14ac:dyDescent="0.3">
      <c r="A206" s="47" t="s">
        <v>480</v>
      </c>
      <c r="B206" s="46">
        <f t="shared" ref="B206:Q206" si="74">SUM(B19,B140,B173)</f>
        <v>2498060.72415881</v>
      </c>
      <c r="C206" s="46">
        <f t="shared" si="74"/>
        <v>76664.17960555754</v>
      </c>
      <c r="D206" s="46">
        <f t="shared" si="74"/>
        <v>3940499.1992600765</v>
      </c>
      <c r="E206" s="46">
        <f t="shared" si="74"/>
        <v>1439465.0131167122</v>
      </c>
      <c r="F206" s="46">
        <f t="shared" si="74"/>
        <v>6699364.4783851188</v>
      </c>
      <c r="G206" s="46">
        <f t="shared" si="74"/>
        <v>5058308.8051804509</v>
      </c>
      <c r="H206" s="46">
        <f t="shared" si="74"/>
        <v>2310581.4000981734</v>
      </c>
      <c r="I206" s="46">
        <f t="shared" si="74"/>
        <v>2964133.9704350154</v>
      </c>
      <c r="J206" s="46">
        <f t="shared" si="74"/>
        <v>1254112.1604134457</v>
      </c>
      <c r="K206" s="46">
        <f t="shared" si="74"/>
        <v>137440.90872669316</v>
      </c>
      <c r="L206" s="46">
        <f t="shared" si="74"/>
        <v>52501.047642307843</v>
      </c>
      <c r="M206" s="46">
        <f t="shared" si="74"/>
        <v>34483.625219699694</v>
      </c>
      <c r="N206" s="46">
        <f t="shared" si="74"/>
        <v>10452.725659745467</v>
      </c>
      <c r="O206" s="46">
        <f t="shared" si="74"/>
        <v>10452.725659745467</v>
      </c>
      <c r="P206" s="46">
        <f t="shared" si="74"/>
        <v>4128.804722915409</v>
      </c>
      <c r="Q206" s="46">
        <f t="shared" si="74"/>
        <v>510708.23171553563</v>
      </c>
      <c r="R206" s="46">
        <f>SUM(B206:Q206)</f>
        <v>27001358.000000004</v>
      </c>
      <c r="S206" s="46">
        <f>'4.1'!B17-R206</f>
        <v>0</v>
      </c>
    </row>
    <row r="207" spans="1:19" x14ac:dyDescent="0.3">
      <c r="A207" s="47" t="s">
        <v>254</v>
      </c>
      <c r="B207" s="46">
        <f t="shared" ref="B207:R207" si="75">SUBTOTAL(9,B203:B206)</f>
        <v>4666544.7017875332</v>
      </c>
      <c r="C207" s="46">
        <f t="shared" si="75"/>
        <v>179720.87976569257</v>
      </c>
      <c r="D207" s="46">
        <f t="shared" si="75"/>
        <v>4062272.4732126864</v>
      </c>
      <c r="E207" s="46">
        <f t="shared" si="75"/>
        <v>1466620.3795279597</v>
      </c>
      <c r="F207" s="46">
        <f t="shared" si="75"/>
        <v>6739461.9832243137</v>
      </c>
      <c r="G207" s="46">
        <f t="shared" si="75"/>
        <v>5112750.6152052199</v>
      </c>
      <c r="H207" s="46">
        <f t="shared" si="75"/>
        <v>2327957.9318558318</v>
      </c>
      <c r="I207" s="46">
        <f t="shared" si="75"/>
        <v>2965883.8728676727</v>
      </c>
      <c r="J207" s="46">
        <f t="shared" si="75"/>
        <v>1259524.1167398139</v>
      </c>
      <c r="K207" s="46">
        <f t="shared" si="75"/>
        <v>158927.61311820397</v>
      </c>
      <c r="L207" s="46">
        <f t="shared" si="75"/>
        <v>58880.974230153748</v>
      </c>
      <c r="M207" s="46">
        <f t="shared" si="75"/>
        <v>35148.154983145112</v>
      </c>
      <c r="N207" s="46">
        <f t="shared" si="75"/>
        <v>11117.255423190885</v>
      </c>
      <c r="O207" s="46">
        <f t="shared" si="75"/>
        <v>11117.255423190885</v>
      </c>
      <c r="P207" s="46">
        <f t="shared" si="75"/>
        <v>4793.3344863608272</v>
      </c>
      <c r="Q207" s="46">
        <f t="shared" si="75"/>
        <v>511501.45814903214</v>
      </c>
      <c r="R207" s="46">
        <f t="shared" si="75"/>
        <v>29572223.000000004</v>
      </c>
      <c r="S207" s="46">
        <f>'4.1'!B18-R207</f>
        <v>0</v>
      </c>
    </row>
    <row r="208" spans="1:19" x14ac:dyDescent="0.3">
      <c r="A208" s="46" t="s">
        <v>263</v>
      </c>
      <c r="B208" s="46">
        <f t="shared" ref="B208:R208" si="76">SUBTOTAL(9,B193:B207)</f>
        <v>8060486.7349659</v>
      </c>
      <c r="C208" s="46">
        <f t="shared" si="76"/>
        <v>140186283.07396662</v>
      </c>
      <c r="D208" s="46">
        <f t="shared" si="76"/>
        <v>17098141.13956913</v>
      </c>
      <c r="E208" s="46">
        <f t="shared" si="76"/>
        <v>4289045.8528610934</v>
      </c>
      <c r="F208" s="46">
        <f t="shared" si="76"/>
        <v>13398637.965794191</v>
      </c>
      <c r="G208" s="46">
        <f t="shared" si="76"/>
        <v>10110217.36891555</v>
      </c>
      <c r="H208" s="46">
        <f t="shared" si="76"/>
        <v>4765094.4759166799</v>
      </c>
      <c r="I208" s="46">
        <f t="shared" si="76"/>
        <v>3986088.1970703825</v>
      </c>
      <c r="J208" s="46">
        <f t="shared" si="76"/>
        <v>1712906.2412496582</v>
      </c>
      <c r="K208" s="46">
        <f t="shared" si="76"/>
        <v>1376558.3299393558</v>
      </c>
      <c r="L208" s="46">
        <f t="shared" si="76"/>
        <v>1050525.0091034831</v>
      </c>
      <c r="M208" s="46">
        <f t="shared" si="76"/>
        <v>785770.66397351259</v>
      </c>
      <c r="N208" s="46">
        <f t="shared" si="76"/>
        <v>414296.6067107963</v>
      </c>
      <c r="O208" s="46">
        <f t="shared" si="76"/>
        <v>171083.40671079629</v>
      </c>
      <c r="P208" s="46">
        <f t="shared" si="76"/>
        <v>20982.469536397279</v>
      </c>
      <c r="Q208" s="46">
        <f t="shared" si="76"/>
        <v>658729.46371643641</v>
      </c>
      <c r="R208" s="46">
        <f t="shared" si="76"/>
        <v>208084847.00000003</v>
      </c>
      <c r="S208" s="46">
        <f>'4.1'!B19-R208</f>
        <v>0</v>
      </c>
    </row>
    <row r="209" spans="1:24" x14ac:dyDescent="0.3">
      <c r="A209" s="46" t="s">
        <v>246</v>
      </c>
    </row>
    <row r="210" spans="1:24" x14ac:dyDescent="0.3">
      <c r="A210" s="47" t="s">
        <v>255</v>
      </c>
      <c r="B210" s="46">
        <f t="shared" ref="B210:Q210" si="77">SUM(B23,B144,B177)</f>
        <v>1327177.0030595642</v>
      </c>
      <c r="C210" s="46">
        <f t="shared" si="77"/>
        <v>422233.7115246249</v>
      </c>
      <c r="D210" s="46">
        <f t="shared" si="77"/>
        <v>2433339.0300590065</v>
      </c>
      <c r="E210" s="46">
        <f t="shared" si="77"/>
        <v>1088315.3533894247</v>
      </c>
      <c r="F210" s="46">
        <f t="shared" si="77"/>
        <v>3951385.1399181392</v>
      </c>
      <c r="G210" s="46">
        <f t="shared" si="77"/>
        <v>2333367.7023719144</v>
      </c>
      <c r="H210" s="46">
        <f t="shared" si="77"/>
        <v>1334369.9402265826</v>
      </c>
      <c r="I210" s="46">
        <f t="shared" si="77"/>
        <v>1213466.9373578553</v>
      </c>
      <c r="J210" s="46">
        <f t="shared" si="77"/>
        <v>347995.2690580964</v>
      </c>
      <c r="K210" s="46">
        <f t="shared" si="77"/>
        <v>18224.220946738689</v>
      </c>
      <c r="L210" s="46">
        <f t="shared" si="77"/>
        <v>13649.320255839379</v>
      </c>
      <c r="M210" s="46">
        <f t="shared" si="77"/>
        <v>20782.825275016985</v>
      </c>
      <c r="N210" s="46">
        <f t="shared" si="77"/>
        <v>4970.7010175725063</v>
      </c>
      <c r="O210" s="46">
        <f t="shared" si="77"/>
        <v>4683.1016846087232</v>
      </c>
      <c r="P210" s="46">
        <f t="shared" si="77"/>
        <v>460.11891614267171</v>
      </c>
      <c r="Q210" s="46">
        <f t="shared" si="77"/>
        <v>227827.62493887654</v>
      </c>
      <c r="R210" s="46">
        <f>SUM(B210:Q210)</f>
        <v>14742248.000000006</v>
      </c>
      <c r="S210" s="46">
        <f>'4.1'!B21-R210</f>
        <v>0</v>
      </c>
    </row>
    <row r="211" spans="1:24" x14ac:dyDescent="0.3">
      <c r="A211" s="47" t="s">
        <v>256</v>
      </c>
      <c r="B211" s="46">
        <f t="shared" ref="B211:Q211" si="78">SUM(B24,B145,B178)</f>
        <v>120338.1433612268</v>
      </c>
      <c r="C211" s="46">
        <f t="shared" si="78"/>
        <v>38284.886486322568</v>
      </c>
      <c r="D211" s="46">
        <f t="shared" si="78"/>
        <v>220636.35850429765</v>
      </c>
      <c r="E211" s="46">
        <f t="shared" si="78"/>
        <v>98680.016845140461</v>
      </c>
      <c r="F211" s="46">
        <f t="shared" si="78"/>
        <v>358281.03587291407</v>
      </c>
      <c r="G211" s="46">
        <f t="shared" si="78"/>
        <v>211571.73190551868</v>
      </c>
      <c r="H211" s="46">
        <f t="shared" si="78"/>
        <v>120990.34325769692</v>
      </c>
      <c r="I211" s="46">
        <f t="shared" si="78"/>
        <v>110027.79428459151</v>
      </c>
      <c r="J211" s="46">
        <f t="shared" si="78"/>
        <v>31553.518845189366</v>
      </c>
      <c r="K211" s="46">
        <f t="shared" si="78"/>
        <v>1652.4313696512168</v>
      </c>
      <c r="L211" s="46">
        <f t="shared" si="78"/>
        <v>1237.6147672419988</v>
      </c>
      <c r="M211" s="46">
        <f t="shared" si="78"/>
        <v>1884.4258163235199</v>
      </c>
      <c r="N211" s="46">
        <f t="shared" si="78"/>
        <v>450.70471405055713</v>
      </c>
      <c r="O211" s="46">
        <f t="shared" si="78"/>
        <v>424.62743145674801</v>
      </c>
      <c r="P211" s="46">
        <f t="shared" si="78"/>
        <v>41.720023754438202</v>
      </c>
      <c r="Q211" s="46">
        <f t="shared" si="78"/>
        <v>20657.646514623852</v>
      </c>
      <c r="R211" s="46">
        <f>SUM(B211:Q211)</f>
        <v>1336713.0000000002</v>
      </c>
      <c r="S211" s="46">
        <f>'4.1'!B22-R211</f>
        <v>0</v>
      </c>
    </row>
    <row r="212" spans="1:24" x14ac:dyDescent="0.3">
      <c r="A212" s="47" t="s">
        <v>257</v>
      </c>
      <c r="B212" s="46">
        <f t="shared" ref="B212:Q212" si="79">SUM(B25,B146,B179)</f>
        <v>-70126.107709372067</v>
      </c>
      <c r="C212" s="46">
        <f t="shared" si="79"/>
        <v>-22310.216847221014</v>
      </c>
      <c r="D212" s="46">
        <f t="shared" si="79"/>
        <v>-128574.10467628368</v>
      </c>
      <c r="E212" s="46">
        <f t="shared" si="79"/>
        <v>-57505.004620792773</v>
      </c>
      <c r="F212" s="46">
        <f t="shared" si="79"/>
        <v>-208785.45912438142</v>
      </c>
      <c r="G212" s="46">
        <f t="shared" si="79"/>
        <v>-123291.76473438271</v>
      </c>
      <c r="H212" s="46">
        <f t="shared" si="79"/>
        <v>-70506.172075585666</v>
      </c>
      <c r="I212" s="46">
        <f t="shared" si="79"/>
        <v>-64117.832779460601</v>
      </c>
      <c r="J212" s="46">
        <f t="shared" si="79"/>
        <v>-18387.565233621473</v>
      </c>
      <c r="K212" s="46">
        <f t="shared" si="79"/>
        <v>-962.94139974111283</v>
      </c>
      <c r="L212" s="46">
        <f t="shared" si="79"/>
        <v>-721.21028334134564</v>
      </c>
      <c r="M212" s="46">
        <f t="shared" si="79"/>
        <v>-1098.134341072132</v>
      </c>
      <c r="N212" s="46">
        <f t="shared" si="79"/>
        <v>-262.64463153429938</v>
      </c>
      <c r="O212" s="46">
        <f t="shared" si="79"/>
        <v>-247.4482999567723</v>
      </c>
      <c r="P212" s="46">
        <f t="shared" si="79"/>
        <v>-24.312016104977978</v>
      </c>
      <c r="Q212" s="46">
        <f t="shared" si="79"/>
        <v>-12038.081227148148</v>
      </c>
      <c r="R212" s="46">
        <f>SUM(B212:Q212)</f>
        <v>-778959.00000000023</v>
      </c>
      <c r="S212" s="46">
        <f>'4.1'!B23-R212</f>
        <v>0</v>
      </c>
    </row>
    <row r="213" spans="1:24" x14ac:dyDescent="0.3">
      <c r="A213" s="47" t="s">
        <v>728</v>
      </c>
      <c r="B213" s="46">
        <f>SUM(B26,B147,B180)</f>
        <v>-4394.3205862052682</v>
      </c>
      <c r="C213" s="46">
        <f t="shared" ref="C213:Q213" si="80">SUM(C26,C147,C180)</f>
        <v>-1398.0277585168822</v>
      </c>
      <c r="D213" s="46">
        <f t="shared" si="80"/>
        <v>-8056.8543369532399</v>
      </c>
      <c r="E213" s="46">
        <f t="shared" si="80"/>
        <v>-3603.4429097682118</v>
      </c>
      <c r="F213" s="46">
        <f t="shared" si="80"/>
        <v>-13083.147933048218</v>
      </c>
      <c r="G213" s="46">
        <f t="shared" si="80"/>
        <v>-7725.8464440550642</v>
      </c>
      <c r="H213" s="46">
        <f t="shared" si="80"/>
        <v>-4418.1366045626119</v>
      </c>
      <c r="I213" s="46">
        <f t="shared" si="80"/>
        <v>-4017.8233432453198</v>
      </c>
      <c r="J213" s="46">
        <f t="shared" si="80"/>
        <v>-1152.2221762423073</v>
      </c>
      <c r="K213" s="46">
        <f t="shared" si="80"/>
        <v>-60.340910887688828</v>
      </c>
      <c r="L213" s="46">
        <f t="shared" si="80"/>
        <v>-45.193285333962073</v>
      </c>
      <c r="M213" s="46">
        <f t="shared" si="80"/>
        <v>-68.812522169219321</v>
      </c>
      <c r="N213" s="46">
        <f t="shared" si="80"/>
        <v>-16.458131627533952</v>
      </c>
      <c r="O213" s="46">
        <f t="shared" si="80"/>
        <v>-15.505882103538145</v>
      </c>
      <c r="P213" s="46">
        <f t="shared" si="80"/>
        <v>-1.5234667423011803</v>
      </c>
      <c r="Q213" s="46">
        <f t="shared" si="80"/>
        <v>-754.3437085386463</v>
      </c>
      <c r="R213" s="46">
        <f>SUM(B213:Q213)</f>
        <v>-48812.000000000007</v>
      </c>
    </row>
    <row r="214" spans="1:24" x14ac:dyDescent="0.3">
      <c r="A214" s="47" t="s">
        <v>258</v>
      </c>
      <c r="B214" s="46">
        <f>SUM(B27,B148,B181)</f>
        <v>2240.5525434212223</v>
      </c>
      <c r="C214" s="46">
        <f t="shared" ref="C214:Q214" si="81">SUM(C27,C148,C181)</f>
        <v>712.81887351405726</v>
      </c>
      <c r="D214" s="46">
        <f t="shared" si="81"/>
        <v>4107.9855514646442</v>
      </c>
      <c r="E214" s="46">
        <f t="shared" si="81"/>
        <v>1837.304087894601</v>
      </c>
      <c r="F214" s="46">
        <f t="shared" si="81"/>
        <v>6670.7650937823491</v>
      </c>
      <c r="G214" s="46">
        <f t="shared" si="81"/>
        <v>3939.2130275268878</v>
      </c>
      <c r="H214" s="46">
        <f t="shared" si="81"/>
        <v>2252.6957267547791</v>
      </c>
      <c r="I214" s="46">
        <f t="shared" si="81"/>
        <v>2048.5861543614178</v>
      </c>
      <c r="J214" s="46">
        <f t="shared" si="81"/>
        <v>587.48884541339305</v>
      </c>
      <c r="K214" s="46">
        <f t="shared" si="81"/>
        <v>30.766299069343596</v>
      </c>
      <c r="L214" s="46">
        <f t="shared" si="81"/>
        <v>23.042909231165453</v>
      </c>
      <c r="M214" s="46">
        <f t="shared" si="81"/>
        <v>35.085758660729539</v>
      </c>
      <c r="N214" s="46">
        <f t="shared" si="81"/>
        <v>8.3915836258720198</v>
      </c>
      <c r="O214" s="46">
        <f t="shared" si="81"/>
        <v>7.9060557607321424</v>
      </c>
      <c r="P214" s="46">
        <f t="shared" si="81"/>
        <v>0.77677702782905378</v>
      </c>
      <c r="Q214" s="46">
        <f t="shared" si="81"/>
        <v>384.62071249098233</v>
      </c>
      <c r="R214" s="46">
        <f>SUM(B214:Q214)</f>
        <v>24888.000000000007</v>
      </c>
      <c r="S214" s="46">
        <f>'4.1'!B25-R214</f>
        <v>0</v>
      </c>
    </row>
    <row r="215" spans="1:24" x14ac:dyDescent="0.3">
      <c r="A215" s="47" t="s">
        <v>259</v>
      </c>
      <c r="B215" s="46">
        <f t="shared" ref="B215:R215" si="82">SUBTOTAL(9,B209:B214)</f>
        <v>1375235.2706686349</v>
      </c>
      <c r="C215" s="46">
        <f t="shared" si="82"/>
        <v>437523.17227872362</v>
      </c>
      <c r="D215" s="46">
        <f t="shared" si="82"/>
        <v>2521452.4151015319</v>
      </c>
      <c r="E215" s="46">
        <f t="shared" si="82"/>
        <v>1127724.2267918985</v>
      </c>
      <c r="F215" s="46">
        <f t="shared" si="82"/>
        <v>4094468.3338274057</v>
      </c>
      <c r="G215" s="46">
        <f t="shared" si="82"/>
        <v>2417861.0361265223</v>
      </c>
      <c r="H215" s="46">
        <f t="shared" si="82"/>
        <v>1382688.6705308859</v>
      </c>
      <c r="I215" s="46">
        <f t="shared" si="82"/>
        <v>1257407.6616741023</v>
      </c>
      <c r="J215" s="46">
        <f t="shared" si="82"/>
        <v>360596.48933883535</v>
      </c>
      <c r="K215" s="46">
        <f t="shared" si="82"/>
        <v>18884.136304830448</v>
      </c>
      <c r="L215" s="46">
        <f t="shared" si="82"/>
        <v>14143.574363637235</v>
      </c>
      <c r="M215" s="46">
        <f t="shared" si="82"/>
        <v>21535.389986759885</v>
      </c>
      <c r="N215" s="46">
        <f t="shared" si="82"/>
        <v>5150.6945520871022</v>
      </c>
      <c r="O215" s="46">
        <f t="shared" si="82"/>
        <v>4852.6809897658923</v>
      </c>
      <c r="P215" s="46">
        <f t="shared" si="82"/>
        <v>476.78023407765977</v>
      </c>
      <c r="Q215" s="46">
        <f t="shared" si="82"/>
        <v>236077.46723030458</v>
      </c>
      <c r="R215" s="46">
        <f t="shared" si="82"/>
        <v>15276078.000000006</v>
      </c>
      <c r="S215" s="46">
        <f>'4.1'!B26-R215</f>
        <v>0</v>
      </c>
    </row>
    <row r="216" spans="1:24" x14ac:dyDescent="0.3">
      <c r="A216" s="46" t="s">
        <v>260</v>
      </c>
      <c r="B216" s="46">
        <f t="shared" ref="B216:R216" si="83">SUBTOTAL(9,B217:B218)</f>
        <v>2319473.1439550193</v>
      </c>
      <c r="C216" s="46">
        <f t="shared" si="83"/>
        <v>737927.00754766189</v>
      </c>
      <c r="D216" s="46">
        <f t="shared" si="83"/>
        <v>4252684.0936424164</v>
      </c>
      <c r="E216" s="46">
        <f t="shared" si="83"/>
        <v>1902020.7768227844</v>
      </c>
      <c r="F216" s="46">
        <f t="shared" si="83"/>
        <v>6905734.2708128104</v>
      </c>
      <c r="G216" s="46">
        <f t="shared" si="83"/>
        <v>4077966.7731936905</v>
      </c>
      <c r="H216" s="46">
        <f t="shared" si="83"/>
        <v>2332044.0554058608</v>
      </c>
      <c r="I216" s="46">
        <f t="shared" si="83"/>
        <v>2120744.9841206842</v>
      </c>
      <c r="J216" s="46">
        <f t="shared" si="83"/>
        <v>608182.38934436231</v>
      </c>
      <c r="K216" s="46">
        <f t="shared" si="83"/>
        <v>31850.002643216219</v>
      </c>
      <c r="L216" s="46">
        <f t="shared" si="83"/>
        <v>23854.566266350394</v>
      </c>
      <c r="M216" s="46">
        <f t="shared" si="83"/>
        <v>36321.609679630667</v>
      </c>
      <c r="N216" s="46">
        <f t="shared" si="83"/>
        <v>8687.1664369638493</v>
      </c>
      <c r="O216" s="46">
        <f t="shared" si="83"/>
        <v>8184.5364731451245</v>
      </c>
      <c r="P216" s="46">
        <f t="shared" si="83"/>
        <v>804.1380061275222</v>
      </c>
      <c r="Q216" s="46">
        <f t="shared" si="83"/>
        <v>398168.48564928328</v>
      </c>
      <c r="R216" s="46">
        <f t="shared" si="83"/>
        <v>25764648.000000011</v>
      </c>
      <c r="S216" s="46">
        <f>'4.1'!B27-R216</f>
        <v>0</v>
      </c>
      <c r="X216" s="46" t="e">
        <f>+AB20X194:AL216</f>
        <v>#NAME?</v>
      </c>
    </row>
    <row r="217" spans="1:24" x14ac:dyDescent="0.3">
      <c r="A217" s="46" t="s">
        <v>261</v>
      </c>
      <c r="B217" s="46">
        <f t="shared" ref="B217:Q217" si="84">SUM(B30,B151,B184)</f>
        <v>722532.46234222013</v>
      </c>
      <c r="C217" s="46">
        <f t="shared" si="84"/>
        <v>229869.53704628794</v>
      </c>
      <c r="D217" s="46">
        <f t="shared" si="84"/>
        <v>1324741.4904333274</v>
      </c>
      <c r="E217" s="46">
        <f t="shared" si="84"/>
        <v>592493.06631785666</v>
      </c>
      <c r="F217" s="46">
        <f t="shared" si="84"/>
        <v>2151185.5828015562</v>
      </c>
      <c r="G217" s="46">
        <f t="shared" si="84"/>
        <v>1270315.7963541979</v>
      </c>
      <c r="H217" s="46">
        <f t="shared" si="84"/>
        <v>726448.39110739436</v>
      </c>
      <c r="I217" s="46">
        <f t="shared" si="84"/>
        <v>660627.22018149227</v>
      </c>
      <c r="J217" s="46">
        <f t="shared" si="84"/>
        <v>189453.16115058181</v>
      </c>
      <c r="K217" s="46">
        <f t="shared" si="84"/>
        <v>9921.5034652953564</v>
      </c>
      <c r="L217" s="46">
        <f t="shared" si="84"/>
        <v>7430.8678880164071</v>
      </c>
      <c r="M217" s="46">
        <f t="shared" si="84"/>
        <v>11314.441017112935</v>
      </c>
      <c r="N217" s="46">
        <f t="shared" si="84"/>
        <v>2706.1144350106365</v>
      </c>
      <c r="O217" s="46">
        <f t="shared" si="84"/>
        <v>2549.5416088274992</v>
      </c>
      <c r="P217" s="46">
        <f t="shared" si="84"/>
        <v>250.49473633463612</v>
      </c>
      <c r="Q217" s="46">
        <f t="shared" si="84"/>
        <v>124032.32911448993</v>
      </c>
      <c r="R217" s="46">
        <f>SUM(B217:Q217)</f>
        <v>8025872.0000000028</v>
      </c>
      <c r="S217" s="46">
        <f>'4.1'!B28-R217</f>
        <v>0</v>
      </c>
    </row>
    <row r="218" spans="1:24" x14ac:dyDescent="0.3">
      <c r="A218" s="46" t="s">
        <v>606</v>
      </c>
      <c r="B218" s="46">
        <f t="shared" ref="B218:Q218" si="85">SUM(B31,B152,B185)</f>
        <v>1596940.6816127989</v>
      </c>
      <c r="C218" s="46">
        <f t="shared" si="85"/>
        <v>508057.47050137399</v>
      </c>
      <c r="D218" s="46">
        <f t="shared" si="85"/>
        <v>2927942.603209089</v>
      </c>
      <c r="E218" s="46">
        <f t="shared" si="85"/>
        <v>1309527.7105049277</v>
      </c>
      <c r="F218" s="46">
        <f t="shared" si="85"/>
        <v>4754548.6880112542</v>
      </c>
      <c r="G218" s="46">
        <f t="shared" si="85"/>
        <v>2807650.9768394926</v>
      </c>
      <c r="H218" s="46">
        <f t="shared" si="85"/>
        <v>1605595.6642984664</v>
      </c>
      <c r="I218" s="46">
        <f t="shared" si="85"/>
        <v>1460117.7639391921</v>
      </c>
      <c r="J218" s="46">
        <f t="shared" si="85"/>
        <v>418729.22819378047</v>
      </c>
      <c r="K218" s="46">
        <f t="shared" si="85"/>
        <v>21928.499177920865</v>
      </c>
      <c r="L218" s="46">
        <f t="shared" si="85"/>
        <v>16423.698378333986</v>
      </c>
      <c r="M218" s="46">
        <f t="shared" si="85"/>
        <v>25007.168662517732</v>
      </c>
      <c r="N218" s="46">
        <f t="shared" si="85"/>
        <v>5981.0520019532132</v>
      </c>
      <c r="O218" s="46">
        <f t="shared" si="85"/>
        <v>5634.9948643176258</v>
      </c>
      <c r="P218" s="46">
        <f t="shared" si="85"/>
        <v>553.64326979288614</v>
      </c>
      <c r="Q218" s="46">
        <f t="shared" si="85"/>
        <v>274136.15653479338</v>
      </c>
      <c r="R218" s="46">
        <f>SUM(B218:Q218)</f>
        <v>17738776.000000007</v>
      </c>
      <c r="S218" s="46">
        <f>'4.1'!B29-R218</f>
        <v>0</v>
      </c>
    </row>
    <row r="219" spans="1:24" x14ac:dyDescent="0.3">
      <c r="A219" s="46" t="s">
        <v>629</v>
      </c>
      <c r="B219" s="46">
        <f>SUBTOTAL(9,B193:B218)</f>
        <v>11755195.149589553</v>
      </c>
      <c r="C219" s="46">
        <f t="shared" ref="C219:R219" si="86">SUBTOTAL(9,C193:C218)</f>
        <v>141361733.25379303</v>
      </c>
      <c r="D219" s="46">
        <f t="shared" si="86"/>
        <v>23872277.648313079</v>
      </c>
      <c r="E219" s="46">
        <f t="shared" si="86"/>
        <v>7318790.8564757779</v>
      </c>
      <c r="F219" s="46">
        <f t="shared" si="86"/>
        <v>24398840.57043441</v>
      </c>
      <c r="G219" s="46">
        <f t="shared" si="86"/>
        <v>16606045.178235764</v>
      </c>
      <c r="H219" s="46">
        <f t="shared" si="86"/>
        <v>8479827.201853428</v>
      </c>
      <c r="I219" s="46">
        <f t="shared" si="86"/>
        <v>7364240.842865169</v>
      </c>
      <c r="J219" s="46">
        <f t="shared" si="86"/>
        <v>2681685.1199328555</v>
      </c>
      <c r="K219" s="46">
        <f t="shared" si="86"/>
        <v>1427292.4688874024</v>
      </c>
      <c r="L219" s="46">
        <f t="shared" si="86"/>
        <v>1088523.1497334708</v>
      </c>
      <c r="M219" s="46">
        <f t="shared" si="86"/>
        <v>843627.66363990295</v>
      </c>
      <c r="N219" s="46">
        <f t="shared" si="86"/>
        <v>428134.4676998473</v>
      </c>
      <c r="O219" s="46">
        <f t="shared" si="86"/>
        <v>184120.62417370733</v>
      </c>
      <c r="P219" s="46">
        <f t="shared" si="86"/>
        <v>22263.38777660246</v>
      </c>
      <c r="Q219" s="46">
        <f t="shared" si="86"/>
        <v>1292975.4165960243</v>
      </c>
      <c r="R219" s="46">
        <f t="shared" si="86"/>
        <v>249125573.00000003</v>
      </c>
      <c r="S219" s="46">
        <f>'4.1'!B30-R219</f>
        <v>0</v>
      </c>
    </row>
    <row r="220" spans="1:24" x14ac:dyDescent="0.3">
      <c r="A220" s="46" t="s">
        <v>632</v>
      </c>
      <c r="B220" s="46">
        <f t="shared" ref="B220:Q220" si="87">SUM(B33,B154,B187)</f>
        <v>0</v>
      </c>
      <c r="C220" s="46">
        <f t="shared" si="87"/>
        <v>0</v>
      </c>
      <c r="D220" s="46">
        <f t="shared" si="87"/>
        <v>-2725459.0299999993</v>
      </c>
      <c r="E220" s="46">
        <f t="shared" si="87"/>
        <v>0</v>
      </c>
      <c r="F220" s="46">
        <f t="shared" si="87"/>
        <v>0</v>
      </c>
      <c r="G220" s="46">
        <f t="shared" si="87"/>
        <v>0</v>
      </c>
      <c r="H220" s="46">
        <f t="shared" si="87"/>
        <v>0</v>
      </c>
      <c r="I220" s="46">
        <f t="shared" si="87"/>
        <v>0</v>
      </c>
      <c r="J220" s="46">
        <f t="shared" si="87"/>
        <v>0</v>
      </c>
      <c r="K220" s="46">
        <f t="shared" si="87"/>
        <v>0</v>
      </c>
      <c r="L220" s="46">
        <f t="shared" si="87"/>
        <v>0</v>
      </c>
      <c r="M220" s="46">
        <f t="shared" si="87"/>
        <v>0</v>
      </c>
      <c r="N220" s="46">
        <f t="shared" si="87"/>
        <v>0</v>
      </c>
      <c r="O220" s="46">
        <f t="shared" si="87"/>
        <v>0</v>
      </c>
      <c r="P220" s="46">
        <f t="shared" si="87"/>
        <v>0</v>
      </c>
      <c r="Q220" s="46">
        <f t="shared" si="87"/>
        <v>0</v>
      </c>
      <c r="R220" s="46">
        <f>SUM(B220:Q220)</f>
        <v>-2725459.0299999993</v>
      </c>
      <c r="S220" s="46">
        <f>'4.1'!B31-R220</f>
        <v>0</v>
      </c>
    </row>
    <row r="221" spans="1:24" x14ac:dyDescent="0.3">
      <c r="A221" s="46" t="s">
        <v>631</v>
      </c>
      <c r="B221" s="46">
        <f t="shared" ref="B221:Q221" si="88">SUM(B34,B155,B188)</f>
        <v>-131242.6518764543</v>
      </c>
      <c r="C221" s="46">
        <f t="shared" si="88"/>
        <v>-41754.092999185683</v>
      </c>
      <c r="D221" s="46">
        <f t="shared" si="88"/>
        <v>-240629.44617274258</v>
      </c>
      <c r="E221" s="46">
        <f t="shared" si="88"/>
        <v>-107621.96204983386</v>
      </c>
      <c r="F221" s="46">
        <f t="shared" si="88"/>
        <v>-767620.37336546369</v>
      </c>
      <c r="G221" s="46">
        <f t="shared" si="88"/>
        <v>-230743.42333854863</v>
      </c>
      <c r="H221" s="46">
        <f t="shared" si="88"/>
        <v>-257578.45123321228</v>
      </c>
      <c r="I221" s="46">
        <f t="shared" si="88"/>
        <v>-119998.02472172328</v>
      </c>
      <c r="J221" s="46">
        <f t="shared" si="88"/>
        <v>-34412.758694851371</v>
      </c>
      <c r="K221" s="46">
        <f t="shared" si="88"/>
        <v>-1802.1673672151987</v>
      </c>
      <c r="L221" s="46">
        <f t="shared" si="88"/>
        <v>-1349.761925167239</v>
      </c>
      <c r="M221" s="46">
        <f t="shared" si="88"/>
        <v>-2055.18412110085</v>
      </c>
      <c r="N221" s="46">
        <f t="shared" si="88"/>
        <v>-491.54557510210805</v>
      </c>
      <c r="O221" s="46">
        <f t="shared" si="88"/>
        <v>-468377.10528488533</v>
      </c>
      <c r="P221" s="46">
        <f t="shared" si="88"/>
        <v>-623216.50050716207</v>
      </c>
      <c r="Q221" s="46">
        <f t="shared" si="88"/>
        <v>-22529.550767351884</v>
      </c>
      <c r="R221" s="46">
        <f>SUM(B221:Q221)</f>
        <v>-3051423.0000000005</v>
      </c>
      <c r="S221" s="46">
        <f>'4.1'!B32-R221</f>
        <v>0</v>
      </c>
    </row>
    <row r="222" spans="1:24" x14ac:dyDescent="0.3">
      <c r="A222" s="46" t="s">
        <v>630</v>
      </c>
      <c r="B222" s="46">
        <f t="shared" ref="B222:Q222" si="89">SUBTOTAL(9,B193:B221)</f>
        <v>11623952.497713098</v>
      </c>
      <c r="C222" s="46">
        <f t="shared" si="89"/>
        <v>141319979.16079384</v>
      </c>
      <c r="D222" s="46">
        <f t="shared" si="89"/>
        <v>20906189.172140338</v>
      </c>
      <c r="E222" s="46">
        <f t="shared" si="89"/>
        <v>7211168.8944259444</v>
      </c>
      <c r="F222" s="46">
        <f t="shared" si="89"/>
        <v>23631220.197068945</v>
      </c>
      <c r="G222" s="46">
        <f t="shared" si="89"/>
        <v>16375301.754897214</v>
      </c>
      <c r="H222" s="46">
        <f t="shared" si="89"/>
        <v>8222248.7506202161</v>
      </c>
      <c r="I222" s="46">
        <f t="shared" si="89"/>
        <v>7244242.818143446</v>
      </c>
      <c r="J222" s="46">
        <f t="shared" si="89"/>
        <v>2647272.3612380042</v>
      </c>
      <c r="K222" s="46">
        <f t="shared" si="89"/>
        <v>1425490.3015201872</v>
      </c>
      <c r="L222" s="46">
        <f t="shared" si="89"/>
        <v>1087173.3878083036</v>
      </c>
      <c r="M222" s="46">
        <f t="shared" si="89"/>
        <v>841572.47951880214</v>
      </c>
      <c r="N222" s="46">
        <f t="shared" si="89"/>
        <v>427642.92212474521</v>
      </c>
      <c r="O222" s="46">
        <f t="shared" si="89"/>
        <v>-284256.481111178</v>
      </c>
      <c r="P222" s="46">
        <f t="shared" si="89"/>
        <v>-600953.11273055966</v>
      </c>
      <c r="Q222" s="46">
        <f t="shared" si="89"/>
        <v>1270445.8658286724</v>
      </c>
      <c r="R222" s="46">
        <f>SUBTOTAL(9,R193:R221)</f>
        <v>243348690.97000003</v>
      </c>
      <c r="S222" s="46">
        <f>'4.1'!B33-R222</f>
        <v>0</v>
      </c>
    </row>
    <row r="224" spans="1:24" x14ac:dyDescent="0.3">
      <c r="A224" s="46" t="s">
        <v>230</v>
      </c>
    </row>
    <row r="225" spans="1:3" x14ac:dyDescent="0.3">
      <c r="A225" s="46" t="s">
        <v>231</v>
      </c>
      <c r="B225" s="46">
        <f>R35</f>
        <v>152232990.97</v>
      </c>
    </row>
    <row r="226" spans="1:3" x14ac:dyDescent="0.3">
      <c r="A226" s="46" t="s">
        <v>225</v>
      </c>
      <c r="B226" s="46">
        <f>SUM(R68,R101)</f>
        <v>91115700</v>
      </c>
      <c r="C226" s="46" t="b">
        <f>ROUND(SUM(B225:B226),0)=ROUND(B228,0)</f>
        <v>1</v>
      </c>
    </row>
    <row r="227" spans="1:3" x14ac:dyDescent="0.3">
      <c r="A227" s="46" t="s">
        <v>232</v>
      </c>
      <c r="B227" s="46">
        <f>R156+R189</f>
        <v>91115700.000000015</v>
      </c>
      <c r="C227" s="46" t="b">
        <f>ROUND(B226,0)=ROUND(B227,0)</f>
        <v>1</v>
      </c>
    </row>
    <row r="228" spans="1:3" x14ac:dyDescent="0.3">
      <c r="A228" s="46" t="s">
        <v>233</v>
      </c>
      <c r="B228" s="46">
        <f>'4.1'!B33</f>
        <v>243348690.97</v>
      </c>
    </row>
    <row r="229" spans="1:3" x14ac:dyDescent="0.3">
      <c r="A229" s="46" t="s">
        <v>234</v>
      </c>
      <c r="B229" s="46">
        <f>SUM(B222:Q222)</f>
        <v>243348690.97</v>
      </c>
      <c r="C229" s="46" t="b">
        <f>ROUND(B228,0)=ROUND(B229,0)</f>
        <v>1</v>
      </c>
    </row>
  </sheetData>
  <printOptions horizontalCentered="1" gridLines="1"/>
  <pageMargins left="0.19685039370078741" right="0.19685039370078741" top="0.98425196850393704" bottom="0.59055118110236227" header="0.19685039370078741" footer="0.19685039370078741"/>
  <pageSetup scale="60" pageOrder="overThenDown" orientation="landscape" r:id="rId1"/>
  <headerFooter scaleWithDoc="0">
    <oddHeader xml:space="preserve">&amp;C2023 "Status Quo Methods" Cost Allocation Model for MECL </oddHeader>
    <oddFooter>&amp;LPage &amp;P of &amp;N&amp;RJune 27, 2025</oddFooter>
  </headerFooter>
  <rowBreaks count="6" manualBreakCount="6">
    <brk id="36" max="17" man="1"/>
    <brk id="69" max="17" man="1"/>
    <brk id="102" max="17" man="1"/>
    <brk id="124" max="17" man="1"/>
    <brk id="157" max="17" man="1"/>
    <brk id="190"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S182"/>
  <sheetViews>
    <sheetView view="pageBreakPreview" topLeftCell="A128" zoomScale="40" zoomScaleNormal="100" zoomScaleSheetLayoutView="40" workbookViewId="0">
      <selection activeCell="E21" sqref="E21"/>
    </sheetView>
  </sheetViews>
  <sheetFormatPr defaultColWidth="8.7109375" defaultRowHeight="13.5" x14ac:dyDescent="0.3"/>
  <cols>
    <col min="1" max="1" width="25.7109375" style="1" customWidth="1"/>
    <col min="2" max="18" width="7.7109375" style="1" customWidth="1"/>
    <col min="19" max="16384" width="8.7109375" style="1"/>
  </cols>
  <sheetData>
    <row r="1" spans="1:18" x14ac:dyDescent="0.3">
      <c r="A1" s="1" t="s">
        <v>562</v>
      </c>
    </row>
    <row r="2" spans="1:18" x14ac:dyDescent="0.3">
      <c r="A2" s="1" t="s">
        <v>485</v>
      </c>
    </row>
    <row r="4" spans="1:18" s="5" customFormat="1" x14ac:dyDescent="0.3">
      <c r="A4" s="5" t="s">
        <v>224</v>
      </c>
    </row>
    <row r="5" spans="1:18" s="9" customFormat="1" ht="54" x14ac:dyDescent="0.25">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x14ac:dyDescent="0.3">
      <c r="A6" s="1" t="s">
        <v>262</v>
      </c>
    </row>
    <row r="7" spans="1:18" x14ac:dyDescent="0.3">
      <c r="A7" s="3" t="s">
        <v>247</v>
      </c>
      <c r="B7" s="1">
        <f t="shared" ref="B7:K8" si="0">SUMIFS(RR_Labour,RR_Reporting,$A7,RR_Function,B$5)</f>
        <v>507157</v>
      </c>
      <c r="C7" s="1">
        <f t="shared" si="0"/>
        <v>0</v>
      </c>
      <c r="D7" s="1">
        <f t="shared" si="0"/>
        <v>32702</v>
      </c>
      <c r="E7" s="1">
        <f t="shared" si="0"/>
        <v>0</v>
      </c>
      <c r="F7" s="1">
        <f t="shared" si="0"/>
        <v>0</v>
      </c>
      <c r="G7" s="1">
        <f t="shared" si="0"/>
        <v>0</v>
      </c>
      <c r="H7" s="1">
        <f t="shared" si="0"/>
        <v>0</v>
      </c>
      <c r="I7" s="1">
        <f t="shared" si="0"/>
        <v>0</v>
      </c>
      <c r="J7" s="1">
        <f t="shared" si="0"/>
        <v>0</v>
      </c>
      <c r="K7" s="1">
        <f t="shared" si="0"/>
        <v>0</v>
      </c>
      <c r="L7" s="1">
        <f t="shared" ref="L7:Q8" si="1">SUMIFS(RR_Labour,RR_Reporting,$A7,RR_Function,L$5)</f>
        <v>0</v>
      </c>
      <c r="M7" s="1">
        <f t="shared" si="1"/>
        <v>0</v>
      </c>
      <c r="N7" s="1">
        <f t="shared" si="1"/>
        <v>0</v>
      </c>
      <c r="O7" s="1">
        <f t="shared" si="1"/>
        <v>0</v>
      </c>
      <c r="P7" s="1">
        <f t="shared" si="1"/>
        <v>0</v>
      </c>
      <c r="Q7" s="1">
        <f t="shared" si="1"/>
        <v>0</v>
      </c>
      <c r="R7" s="1">
        <f>SUM(B7:Q7)</f>
        <v>539859</v>
      </c>
    </row>
    <row r="8" spans="1:18" x14ac:dyDescent="0.3">
      <c r="A8" s="3" t="s">
        <v>248</v>
      </c>
      <c r="B8" s="1">
        <f t="shared" si="0"/>
        <v>0</v>
      </c>
      <c r="C8" s="1">
        <f t="shared" si="0"/>
        <v>0</v>
      </c>
      <c r="D8" s="1">
        <f t="shared" si="0"/>
        <v>0</v>
      </c>
      <c r="E8" s="1">
        <f t="shared" si="0"/>
        <v>0</v>
      </c>
      <c r="F8" s="1">
        <f t="shared" si="0"/>
        <v>0</v>
      </c>
      <c r="G8" s="1">
        <f t="shared" si="0"/>
        <v>0</v>
      </c>
      <c r="H8" s="1">
        <f t="shared" si="0"/>
        <v>0</v>
      </c>
      <c r="I8" s="1">
        <f t="shared" si="0"/>
        <v>0</v>
      </c>
      <c r="J8" s="1">
        <f t="shared" si="0"/>
        <v>0</v>
      </c>
      <c r="K8" s="1">
        <f t="shared" si="0"/>
        <v>0</v>
      </c>
      <c r="L8" s="1">
        <f t="shared" si="1"/>
        <v>0</v>
      </c>
      <c r="M8" s="1">
        <f t="shared" si="1"/>
        <v>0</v>
      </c>
      <c r="N8" s="1">
        <f t="shared" si="1"/>
        <v>0</v>
      </c>
      <c r="O8" s="1">
        <f t="shared" si="1"/>
        <v>0</v>
      </c>
      <c r="P8" s="1">
        <f t="shared" si="1"/>
        <v>0</v>
      </c>
      <c r="Q8" s="1">
        <f t="shared" si="1"/>
        <v>0</v>
      </c>
      <c r="R8" s="1">
        <f>SUM(B8:Q8)</f>
        <v>0</v>
      </c>
    </row>
    <row r="9" spans="1:18" x14ac:dyDescent="0.3">
      <c r="A9" s="3" t="s">
        <v>249</v>
      </c>
      <c r="B9" s="1">
        <f>SUBTOTAL(9,B7:B8)</f>
        <v>507157</v>
      </c>
      <c r="C9" s="1">
        <f t="shared" ref="C9:R9" si="2">SUBTOTAL(9,C7:C8)</f>
        <v>0</v>
      </c>
      <c r="D9" s="1">
        <f t="shared" si="2"/>
        <v>32702</v>
      </c>
      <c r="E9" s="1">
        <f t="shared" si="2"/>
        <v>0</v>
      </c>
      <c r="F9" s="1">
        <f t="shared" si="2"/>
        <v>0</v>
      </c>
      <c r="G9" s="1">
        <f t="shared" si="2"/>
        <v>0</v>
      </c>
      <c r="H9" s="1">
        <f t="shared" si="2"/>
        <v>0</v>
      </c>
      <c r="I9" s="1">
        <f t="shared" si="2"/>
        <v>0</v>
      </c>
      <c r="J9" s="1">
        <f t="shared" si="2"/>
        <v>0</v>
      </c>
      <c r="K9" s="1">
        <f t="shared" si="2"/>
        <v>0</v>
      </c>
      <c r="L9" s="1">
        <f t="shared" si="2"/>
        <v>0</v>
      </c>
      <c r="M9" s="1">
        <f t="shared" si="2"/>
        <v>0</v>
      </c>
      <c r="N9" s="1">
        <f t="shared" si="2"/>
        <v>0</v>
      </c>
      <c r="O9" s="1">
        <f t="shared" si="2"/>
        <v>0</v>
      </c>
      <c r="P9" s="1">
        <f t="shared" si="2"/>
        <v>0</v>
      </c>
      <c r="Q9" s="1">
        <f t="shared" si="2"/>
        <v>0</v>
      </c>
      <c r="R9" s="1">
        <f t="shared" si="2"/>
        <v>539859</v>
      </c>
    </row>
    <row r="10" spans="1:18" x14ac:dyDescent="0.3">
      <c r="A10" s="3" t="s">
        <v>124</v>
      </c>
      <c r="B10" s="1">
        <f t="shared" ref="B10:K14" si="3">SUMIFS(RR_Labour,RR_Reporting,$A10,RR_Function,B$5)</f>
        <v>0</v>
      </c>
      <c r="C10" s="1">
        <f t="shared" si="3"/>
        <v>0</v>
      </c>
      <c r="D10" s="1">
        <f t="shared" si="3"/>
        <v>0</v>
      </c>
      <c r="E10" s="1">
        <f t="shared" si="3"/>
        <v>43215</v>
      </c>
      <c r="F10" s="1">
        <f t="shared" si="3"/>
        <v>0</v>
      </c>
      <c r="G10" s="1">
        <f t="shared" si="3"/>
        <v>551129</v>
      </c>
      <c r="H10" s="1">
        <f t="shared" si="3"/>
        <v>0</v>
      </c>
      <c r="I10" s="1">
        <f t="shared" si="3"/>
        <v>0</v>
      </c>
      <c r="J10" s="1">
        <f t="shared" si="3"/>
        <v>91533</v>
      </c>
      <c r="K10" s="1">
        <f t="shared" si="3"/>
        <v>0</v>
      </c>
      <c r="L10" s="1">
        <f t="shared" ref="L10:Q14" si="4">SUMIFS(RR_Labour,RR_Reporting,$A10,RR_Function,L$5)</f>
        <v>0</v>
      </c>
      <c r="M10" s="1">
        <f t="shared" si="4"/>
        <v>0</v>
      </c>
      <c r="N10" s="1">
        <f t="shared" si="4"/>
        <v>0</v>
      </c>
      <c r="O10" s="1">
        <f t="shared" si="4"/>
        <v>0</v>
      </c>
      <c r="P10" s="1">
        <f t="shared" si="4"/>
        <v>0</v>
      </c>
      <c r="Q10" s="1">
        <f t="shared" si="4"/>
        <v>0</v>
      </c>
      <c r="R10" s="1">
        <f>SUM(B10:Q10)</f>
        <v>685877</v>
      </c>
    </row>
    <row r="11" spans="1:18" x14ac:dyDescent="0.3">
      <c r="A11" s="3" t="s">
        <v>12</v>
      </c>
      <c r="B11" s="1">
        <f t="shared" si="3"/>
        <v>0</v>
      </c>
      <c r="C11" s="1">
        <f t="shared" si="3"/>
        <v>0</v>
      </c>
      <c r="D11" s="1">
        <f t="shared" si="3"/>
        <v>583159</v>
      </c>
      <c r="E11" s="1">
        <f t="shared" si="3"/>
        <v>0</v>
      </c>
      <c r="F11" s="1">
        <f t="shared" si="3"/>
        <v>0</v>
      </c>
      <c r="G11" s="1">
        <f t="shared" si="3"/>
        <v>0</v>
      </c>
      <c r="H11" s="1">
        <f t="shared" si="3"/>
        <v>0</v>
      </c>
      <c r="I11" s="1">
        <f t="shared" si="3"/>
        <v>0</v>
      </c>
      <c r="J11" s="1">
        <f t="shared" si="3"/>
        <v>0</v>
      </c>
      <c r="K11" s="1">
        <f t="shared" si="3"/>
        <v>0</v>
      </c>
      <c r="L11" s="1">
        <f t="shared" si="4"/>
        <v>0</v>
      </c>
      <c r="M11" s="1">
        <f t="shared" si="4"/>
        <v>0</v>
      </c>
      <c r="N11" s="1">
        <f t="shared" si="4"/>
        <v>0</v>
      </c>
      <c r="O11" s="1">
        <f t="shared" si="4"/>
        <v>0</v>
      </c>
      <c r="P11" s="1">
        <f t="shared" si="4"/>
        <v>0</v>
      </c>
      <c r="Q11" s="1">
        <f t="shared" si="4"/>
        <v>0</v>
      </c>
      <c r="R11" s="1">
        <f>SUM(B11:Q11)</f>
        <v>583159</v>
      </c>
    </row>
    <row r="12" spans="1:18" x14ac:dyDescent="0.3">
      <c r="A12" s="3" t="s">
        <v>250</v>
      </c>
      <c r="B12" s="1">
        <f t="shared" si="3"/>
        <v>0</v>
      </c>
      <c r="C12" s="1">
        <f t="shared" si="3"/>
        <v>0</v>
      </c>
      <c r="D12" s="1">
        <f t="shared" si="3"/>
        <v>0</v>
      </c>
      <c r="E12" s="1">
        <f t="shared" si="3"/>
        <v>0</v>
      </c>
      <c r="F12" s="1">
        <f t="shared" si="3"/>
        <v>0</v>
      </c>
      <c r="G12" s="1">
        <f t="shared" si="3"/>
        <v>0</v>
      </c>
      <c r="H12" s="1">
        <f t="shared" si="3"/>
        <v>0</v>
      </c>
      <c r="I12" s="1">
        <f t="shared" si="3"/>
        <v>0</v>
      </c>
      <c r="J12" s="1">
        <f t="shared" si="3"/>
        <v>0</v>
      </c>
      <c r="K12" s="1">
        <f t="shared" si="3"/>
        <v>0</v>
      </c>
      <c r="L12" s="1">
        <f t="shared" si="4"/>
        <v>0</v>
      </c>
      <c r="M12" s="1">
        <f t="shared" si="4"/>
        <v>0</v>
      </c>
      <c r="N12" s="1">
        <f t="shared" si="4"/>
        <v>0</v>
      </c>
      <c r="O12" s="1">
        <f t="shared" si="4"/>
        <v>0</v>
      </c>
      <c r="P12" s="1">
        <f t="shared" si="4"/>
        <v>0</v>
      </c>
      <c r="Q12" s="1">
        <f t="shared" si="4"/>
        <v>0</v>
      </c>
      <c r="R12" s="1">
        <f>SUM(B12:Q12)</f>
        <v>0</v>
      </c>
    </row>
    <row r="13" spans="1:18" x14ac:dyDescent="0.3">
      <c r="A13" s="3" t="s">
        <v>251</v>
      </c>
      <c r="B13" s="1">
        <f t="shared" si="3"/>
        <v>0</v>
      </c>
      <c r="C13" s="1">
        <f t="shared" si="3"/>
        <v>0</v>
      </c>
      <c r="D13" s="1">
        <f t="shared" si="3"/>
        <v>288438</v>
      </c>
      <c r="E13" s="1">
        <f t="shared" si="3"/>
        <v>0</v>
      </c>
      <c r="F13" s="1">
        <f t="shared" si="3"/>
        <v>0</v>
      </c>
      <c r="G13" s="1">
        <f t="shared" si="3"/>
        <v>0</v>
      </c>
      <c r="H13" s="1">
        <f t="shared" si="3"/>
        <v>0</v>
      </c>
      <c r="I13" s="1">
        <f t="shared" si="3"/>
        <v>0</v>
      </c>
      <c r="J13" s="1">
        <f t="shared" si="3"/>
        <v>0</v>
      </c>
      <c r="K13" s="1">
        <f t="shared" si="3"/>
        <v>0</v>
      </c>
      <c r="L13" s="1">
        <f t="shared" si="4"/>
        <v>0</v>
      </c>
      <c r="M13" s="1">
        <f t="shared" si="4"/>
        <v>0</v>
      </c>
      <c r="N13" s="1">
        <f t="shared" si="4"/>
        <v>0</v>
      </c>
      <c r="O13" s="1">
        <f t="shared" si="4"/>
        <v>0</v>
      </c>
      <c r="P13" s="1">
        <f t="shared" si="4"/>
        <v>0</v>
      </c>
      <c r="Q13" s="1">
        <f t="shared" si="4"/>
        <v>0</v>
      </c>
      <c r="R13" s="1">
        <f>SUM(B13:Q13)</f>
        <v>288438</v>
      </c>
    </row>
    <row r="14" spans="1:18" x14ac:dyDescent="0.3">
      <c r="A14" s="3" t="s">
        <v>252</v>
      </c>
      <c r="B14" s="1">
        <f t="shared" si="3"/>
        <v>0</v>
      </c>
      <c r="C14" s="1">
        <f t="shared" si="3"/>
        <v>0</v>
      </c>
      <c r="D14" s="1">
        <f t="shared" si="3"/>
        <v>0</v>
      </c>
      <c r="E14" s="1">
        <f t="shared" si="3"/>
        <v>0</v>
      </c>
      <c r="F14" s="1">
        <f t="shared" si="3"/>
        <v>0</v>
      </c>
      <c r="G14" s="1">
        <f t="shared" si="3"/>
        <v>0</v>
      </c>
      <c r="H14" s="1">
        <f t="shared" si="3"/>
        <v>0</v>
      </c>
      <c r="I14" s="1">
        <f t="shared" si="3"/>
        <v>0</v>
      </c>
      <c r="J14" s="1">
        <f t="shared" si="3"/>
        <v>0</v>
      </c>
      <c r="K14" s="1">
        <f t="shared" si="3"/>
        <v>401463</v>
      </c>
      <c r="L14" s="1">
        <f t="shared" si="4"/>
        <v>110196</v>
      </c>
      <c r="M14" s="1">
        <f t="shared" si="4"/>
        <v>0</v>
      </c>
      <c r="N14" s="1">
        <f t="shared" si="4"/>
        <v>0</v>
      </c>
      <c r="O14" s="1">
        <f t="shared" si="4"/>
        <v>0</v>
      </c>
      <c r="P14" s="1">
        <f t="shared" si="4"/>
        <v>0</v>
      </c>
      <c r="Q14" s="1">
        <f t="shared" si="4"/>
        <v>0</v>
      </c>
      <c r="R14" s="1">
        <f>SUM(B14:Q14)</f>
        <v>511659</v>
      </c>
    </row>
    <row r="15" spans="1:18" x14ac:dyDescent="0.3">
      <c r="A15" s="3" t="s">
        <v>253</v>
      </c>
      <c r="B15" s="1">
        <f t="shared" ref="B15:R15" si="5">SUBTOTAL(9,B6:B14)</f>
        <v>507157</v>
      </c>
      <c r="C15" s="1">
        <f t="shared" si="5"/>
        <v>0</v>
      </c>
      <c r="D15" s="1">
        <f t="shared" si="5"/>
        <v>904299</v>
      </c>
      <c r="E15" s="1">
        <f t="shared" si="5"/>
        <v>43215</v>
      </c>
      <c r="F15" s="1">
        <f t="shared" si="5"/>
        <v>0</v>
      </c>
      <c r="G15" s="1">
        <f t="shared" si="5"/>
        <v>551129</v>
      </c>
      <c r="H15" s="1">
        <f t="shared" si="5"/>
        <v>0</v>
      </c>
      <c r="I15" s="1">
        <f t="shared" si="5"/>
        <v>0</v>
      </c>
      <c r="J15" s="1">
        <f t="shared" si="5"/>
        <v>91533</v>
      </c>
      <c r="K15" s="1">
        <f t="shared" si="5"/>
        <v>401463</v>
      </c>
      <c r="L15" s="1">
        <f t="shared" si="5"/>
        <v>110196</v>
      </c>
      <c r="M15" s="1">
        <f t="shared" si="5"/>
        <v>0</v>
      </c>
      <c r="N15" s="1">
        <f t="shared" si="5"/>
        <v>0</v>
      </c>
      <c r="O15" s="1">
        <f t="shared" si="5"/>
        <v>0</v>
      </c>
      <c r="P15" s="1">
        <f t="shared" si="5"/>
        <v>0</v>
      </c>
      <c r="Q15" s="1">
        <f t="shared" si="5"/>
        <v>0</v>
      </c>
      <c r="R15" s="1">
        <f t="shared" si="5"/>
        <v>2608992</v>
      </c>
    </row>
    <row r="16" spans="1:18" x14ac:dyDescent="0.3">
      <c r="A16" s="2" t="s">
        <v>138</v>
      </c>
    </row>
    <row r="17" spans="1:18" x14ac:dyDescent="0.3">
      <c r="A17" s="3" t="s">
        <v>479</v>
      </c>
      <c r="B17" s="1">
        <f t="shared" ref="B17:K19" si="6">SUMIFS(RR_Labour,RR_Reporting,$A17,RR_Function,B$5)</f>
        <v>0</v>
      </c>
      <c r="C17" s="1">
        <f t="shared" si="6"/>
        <v>0</v>
      </c>
      <c r="D17" s="1">
        <f t="shared" si="6"/>
        <v>0</v>
      </c>
      <c r="E17" s="1">
        <f t="shared" si="6"/>
        <v>0</v>
      </c>
      <c r="F17" s="1">
        <f t="shared" si="6"/>
        <v>0</v>
      </c>
      <c r="G17" s="1">
        <f t="shared" si="6"/>
        <v>0</v>
      </c>
      <c r="H17" s="1">
        <f t="shared" si="6"/>
        <v>0</v>
      </c>
      <c r="I17" s="1">
        <f t="shared" si="6"/>
        <v>0</v>
      </c>
      <c r="J17" s="1">
        <f t="shared" si="6"/>
        <v>0</v>
      </c>
      <c r="K17" s="1">
        <f t="shared" si="6"/>
        <v>0</v>
      </c>
      <c r="L17" s="1">
        <f t="shared" ref="L17:Q19" si="7">SUMIFS(RR_Labour,RR_Reporting,$A17,RR_Function,L$5)</f>
        <v>0</v>
      </c>
      <c r="M17" s="1">
        <f t="shared" si="7"/>
        <v>0</v>
      </c>
      <c r="N17" s="1">
        <f t="shared" si="7"/>
        <v>0</v>
      </c>
      <c r="O17" s="1">
        <f t="shared" si="7"/>
        <v>0</v>
      </c>
      <c r="P17" s="1">
        <f t="shared" si="7"/>
        <v>0</v>
      </c>
      <c r="Q17" s="1">
        <f t="shared" si="7"/>
        <v>0</v>
      </c>
      <c r="R17" s="1">
        <f>SUM(B17:Q17)</f>
        <v>0</v>
      </c>
    </row>
    <row r="18" spans="1:18" x14ac:dyDescent="0.3">
      <c r="A18" s="47" t="s">
        <v>725</v>
      </c>
      <c r="B18" s="1">
        <f t="shared" si="6"/>
        <v>0</v>
      </c>
      <c r="C18" s="1">
        <f t="shared" si="6"/>
        <v>0</v>
      </c>
      <c r="D18" s="1">
        <f t="shared" si="6"/>
        <v>0</v>
      </c>
      <c r="E18" s="1">
        <f t="shared" si="6"/>
        <v>0</v>
      </c>
      <c r="F18" s="1">
        <f t="shared" si="6"/>
        <v>0</v>
      </c>
      <c r="G18" s="1">
        <f t="shared" si="6"/>
        <v>0</v>
      </c>
      <c r="H18" s="1">
        <f t="shared" si="6"/>
        <v>0</v>
      </c>
      <c r="I18" s="1">
        <f t="shared" si="6"/>
        <v>0</v>
      </c>
      <c r="J18" s="1">
        <f t="shared" si="6"/>
        <v>0</v>
      </c>
      <c r="K18" s="1">
        <f t="shared" si="6"/>
        <v>0</v>
      </c>
      <c r="L18" s="1">
        <f t="shared" si="7"/>
        <v>0</v>
      </c>
      <c r="M18" s="1">
        <f t="shared" si="7"/>
        <v>0</v>
      </c>
      <c r="N18" s="1">
        <f t="shared" si="7"/>
        <v>0</v>
      </c>
      <c r="O18" s="1">
        <f t="shared" si="7"/>
        <v>0</v>
      </c>
      <c r="P18" s="1">
        <f t="shared" si="7"/>
        <v>0</v>
      </c>
      <c r="Q18" s="1">
        <f t="shared" si="7"/>
        <v>0</v>
      </c>
      <c r="R18" s="1">
        <f>SUM(B18:Q18)</f>
        <v>0</v>
      </c>
    </row>
    <row r="19" spans="1:18" x14ac:dyDescent="0.3">
      <c r="A19" s="3" t="s">
        <v>480</v>
      </c>
      <c r="B19" s="1">
        <f t="shared" si="6"/>
        <v>0</v>
      </c>
      <c r="C19" s="1">
        <f t="shared" si="6"/>
        <v>0</v>
      </c>
      <c r="D19" s="1">
        <f t="shared" si="6"/>
        <v>0</v>
      </c>
      <c r="E19" s="1">
        <f t="shared" si="6"/>
        <v>0</v>
      </c>
      <c r="F19" s="1">
        <f t="shared" si="6"/>
        <v>0</v>
      </c>
      <c r="G19" s="1">
        <f t="shared" si="6"/>
        <v>0</v>
      </c>
      <c r="H19" s="1">
        <f t="shared" si="6"/>
        <v>0</v>
      </c>
      <c r="I19" s="1">
        <f t="shared" si="6"/>
        <v>0</v>
      </c>
      <c r="J19" s="1">
        <f t="shared" si="6"/>
        <v>0</v>
      </c>
      <c r="K19" s="1">
        <f t="shared" si="6"/>
        <v>0</v>
      </c>
      <c r="L19" s="1">
        <f t="shared" si="7"/>
        <v>0</v>
      </c>
      <c r="M19" s="1">
        <f t="shared" si="7"/>
        <v>0</v>
      </c>
      <c r="N19" s="1">
        <f t="shared" si="7"/>
        <v>0</v>
      </c>
      <c r="O19" s="1">
        <f t="shared" si="7"/>
        <v>0</v>
      </c>
      <c r="P19" s="1">
        <f t="shared" si="7"/>
        <v>0</v>
      </c>
      <c r="Q19" s="1">
        <f t="shared" si="7"/>
        <v>0</v>
      </c>
      <c r="R19" s="1">
        <f>SUM(B19:Q19)</f>
        <v>0</v>
      </c>
    </row>
    <row r="20" spans="1:18" x14ac:dyDescent="0.3">
      <c r="A20" s="3" t="s">
        <v>254</v>
      </c>
      <c r="B20" s="1">
        <f>SUBTOTAL(9,B16:B19)</f>
        <v>0</v>
      </c>
      <c r="C20" s="1">
        <f>SUBTOTAL(9,C16:C19)</f>
        <v>0</v>
      </c>
      <c r="D20" s="1">
        <f>SUBTOTAL(9,D16:D19)</f>
        <v>0</v>
      </c>
      <c r="E20" s="1">
        <f>SUBTOTAL(9,E16:E19)</f>
        <v>0</v>
      </c>
      <c r="F20" s="1">
        <f>SUBTOTAL(9,F16:F19)</f>
        <v>0</v>
      </c>
      <c r="G20" s="1">
        <f>SUBTOTAL(9,G16:G19)</f>
        <v>0</v>
      </c>
      <c r="H20" s="1">
        <f>SUBTOTAL(9,H16:H19)</f>
        <v>0</v>
      </c>
      <c r="I20" s="1">
        <f>SUBTOTAL(9,I16:I19)</f>
        <v>0</v>
      </c>
      <c r="J20" s="1">
        <f>SUBTOTAL(9,J16:J19)</f>
        <v>0</v>
      </c>
      <c r="K20" s="1">
        <f>SUBTOTAL(9,K16:K19)</f>
        <v>0</v>
      </c>
      <c r="L20" s="1">
        <f>SUBTOTAL(9,L16:L19)</f>
        <v>0</v>
      </c>
      <c r="M20" s="1">
        <f>SUBTOTAL(9,M16:M19)</f>
        <v>0</v>
      </c>
      <c r="N20" s="1">
        <f>SUBTOTAL(9,N16:N19)</f>
        <v>0</v>
      </c>
      <c r="O20" s="1">
        <f>SUBTOTAL(9,O16:O19)</f>
        <v>0</v>
      </c>
      <c r="P20" s="1">
        <f>SUBTOTAL(9,P16:P19)</f>
        <v>0</v>
      </c>
      <c r="Q20" s="1">
        <f>SUBTOTAL(9,Q16:Q19)</f>
        <v>0</v>
      </c>
      <c r="R20" s="1">
        <f>SUBTOTAL(9,R16:R19)</f>
        <v>0</v>
      </c>
    </row>
    <row r="21" spans="1:18" x14ac:dyDescent="0.3">
      <c r="A21" s="1" t="s">
        <v>263</v>
      </c>
      <c r="B21" s="1">
        <f>SUBTOTAL(9,B6:B20)</f>
        <v>507157</v>
      </c>
      <c r="C21" s="1">
        <f>SUBTOTAL(9,C6:C20)</f>
        <v>0</v>
      </c>
      <c r="D21" s="1">
        <f>SUBTOTAL(9,D6:D20)</f>
        <v>904299</v>
      </c>
      <c r="E21" s="1">
        <f>SUBTOTAL(9,E6:E20)</f>
        <v>43215</v>
      </c>
      <c r="F21" s="1">
        <f>SUBTOTAL(9,F6:F20)</f>
        <v>0</v>
      </c>
      <c r="G21" s="1">
        <f>SUBTOTAL(9,G6:G20)</f>
        <v>551129</v>
      </c>
      <c r="H21" s="1">
        <f>SUBTOTAL(9,H6:H20)</f>
        <v>0</v>
      </c>
      <c r="I21" s="1">
        <f>SUBTOTAL(9,I6:I20)</f>
        <v>0</v>
      </c>
      <c r="J21" s="1">
        <f>SUBTOTAL(9,J6:J20)</f>
        <v>91533</v>
      </c>
      <c r="K21" s="1">
        <f>SUBTOTAL(9,K6:K20)</f>
        <v>401463</v>
      </c>
      <c r="L21" s="1">
        <f>SUBTOTAL(9,L6:L20)</f>
        <v>110196</v>
      </c>
      <c r="M21" s="1">
        <f>SUBTOTAL(9,M6:M20)</f>
        <v>0</v>
      </c>
      <c r="N21" s="1">
        <f>SUBTOTAL(9,N6:N20)</f>
        <v>0</v>
      </c>
      <c r="O21" s="1">
        <f>SUBTOTAL(9,O6:O20)</f>
        <v>0</v>
      </c>
      <c r="P21" s="1">
        <f>SUBTOTAL(9,P6:P20)</f>
        <v>0</v>
      </c>
      <c r="Q21" s="1">
        <f>SUBTOTAL(9,Q6:Q20)</f>
        <v>0</v>
      </c>
      <c r="R21" s="1">
        <f>SUBTOTAL(9,R6:R20)</f>
        <v>2608992</v>
      </c>
    </row>
    <row r="22" spans="1:18" x14ac:dyDescent="0.3">
      <c r="A22" s="1" t="s">
        <v>246</v>
      </c>
      <c r="C22" s="1">
        <f>SUMIFS('6.1'!$L$6:$L$74,Assets_PresHeader,$A22,Assets_BasisFunc,C$5)</f>
        <v>0</v>
      </c>
      <c r="D22" s="1">
        <f>SUMIFS('6.1'!$L$6:$L$74,Assets_PresHeader,$A22,Assets_BasisFunc,D$5)</f>
        <v>0</v>
      </c>
      <c r="E22" s="1">
        <f>SUMIFS('6.1'!$L$6:$L$74,Assets_PresHeader,$A22,Assets_BasisFunc,E$5)</f>
        <v>0</v>
      </c>
      <c r="F22" s="1">
        <f>SUMIFS('6.1'!$L$6:$L$74,Assets_PresHeader,$A22,Assets_BasisFunc,F$5)</f>
        <v>0</v>
      </c>
      <c r="G22" s="1">
        <f>SUMIFS('6.1'!$L$6:$L$74,Assets_PresHeader,$A22,Assets_BasisFunc,G$5)</f>
        <v>0</v>
      </c>
      <c r="H22" s="1">
        <f>SUMIFS('6.1'!$L$6:$L$74,Assets_PresHeader,$A22,Assets_BasisFunc,H$5)</f>
        <v>0</v>
      </c>
      <c r="I22" s="1">
        <f>SUMIFS('6.1'!$L$6:$L$74,Assets_PresHeader,$A22,Assets_BasisFunc,I$5)</f>
        <v>0</v>
      </c>
      <c r="J22" s="1">
        <f>SUMIFS('6.1'!$L$6:$L$74,Assets_PresHeader,$A22,Assets_BasisFunc,J$5)</f>
        <v>0</v>
      </c>
      <c r="K22" s="1">
        <f>SUMIFS('6.1'!$L$6:$L$74,Assets_PresHeader,$A22,Assets_BasisFunc,K$5)</f>
        <v>0</v>
      </c>
      <c r="L22" s="1">
        <f>SUMIFS('6.1'!$L$6:$L$74,Assets_PresHeader,$A22,Assets_BasisFunc,L$5)</f>
        <v>0</v>
      </c>
      <c r="M22" s="1">
        <f>SUMIFS('6.1'!$L$6:$L$74,Assets_PresHeader,$A22,Assets_BasisFunc,M$5)</f>
        <v>0</v>
      </c>
      <c r="N22" s="1">
        <f>SUMIFS('6.1'!$L$6:$L$74,Assets_PresHeader,$A22,Assets_BasisFunc,N$5)</f>
        <v>0</v>
      </c>
      <c r="O22" s="1">
        <f>SUMIFS('6.1'!$L$6:$L$74,Assets_PresHeader,$A22,Assets_BasisFunc,O$5)</f>
        <v>0</v>
      </c>
      <c r="P22" s="1">
        <f>SUMIFS('6.1'!$L$6:$L$74,Assets_PresHeader,$A22,Assets_BasisFunc,P$5)</f>
        <v>0</v>
      </c>
      <c r="Q22" s="1">
        <f>SUMIFS('6.1'!$L$6:$L$74,Assets_PresHeader,$A22,Assets_BasisFunc,Q$5)</f>
        <v>0</v>
      </c>
      <c r="R22" s="1">
        <f>SUM(B22:Q22)</f>
        <v>0</v>
      </c>
    </row>
    <row r="23" spans="1:18" x14ac:dyDescent="0.3">
      <c r="A23" s="3" t="s">
        <v>255</v>
      </c>
      <c r="B23" s="1">
        <f t="shared" ref="B23:K27" si="8">SUMIFS(RR_Labour,RR_Reporting,$A23,RR_Function,B$5)</f>
        <v>0</v>
      </c>
      <c r="C23" s="1">
        <f t="shared" si="8"/>
        <v>0</v>
      </c>
      <c r="D23" s="1">
        <f t="shared" si="8"/>
        <v>0</v>
      </c>
      <c r="E23" s="1">
        <f t="shared" si="8"/>
        <v>0</v>
      </c>
      <c r="F23" s="1">
        <f t="shared" si="8"/>
        <v>0</v>
      </c>
      <c r="G23" s="1">
        <f t="shared" si="8"/>
        <v>0</v>
      </c>
      <c r="H23" s="1">
        <f t="shared" si="8"/>
        <v>0</v>
      </c>
      <c r="I23" s="1">
        <f t="shared" si="8"/>
        <v>0</v>
      </c>
      <c r="J23" s="1">
        <f t="shared" si="8"/>
        <v>0</v>
      </c>
      <c r="K23" s="1">
        <f t="shared" si="8"/>
        <v>0</v>
      </c>
      <c r="L23" s="1">
        <f t="shared" ref="L23:Q27" si="9">SUMIFS(RR_Labour,RR_Reporting,$A23,RR_Function,L$5)</f>
        <v>0</v>
      </c>
      <c r="M23" s="1">
        <f t="shared" si="9"/>
        <v>0</v>
      </c>
      <c r="N23" s="1">
        <f t="shared" si="9"/>
        <v>0</v>
      </c>
      <c r="O23" s="1">
        <f t="shared" si="9"/>
        <v>0</v>
      </c>
      <c r="P23" s="1">
        <f t="shared" si="9"/>
        <v>0</v>
      </c>
      <c r="Q23" s="1">
        <f t="shared" si="9"/>
        <v>0</v>
      </c>
      <c r="R23" s="1">
        <f>SUM(B23:Q23)</f>
        <v>0</v>
      </c>
    </row>
    <row r="24" spans="1:18" x14ac:dyDescent="0.3">
      <c r="A24" s="3" t="s">
        <v>256</v>
      </c>
      <c r="B24" s="1">
        <f t="shared" si="8"/>
        <v>0</v>
      </c>
      <c r="C24" s="1">
        <f t="shared" si="8"/>
        <v>0</v>
      </c>
      <c r="D24" s="1">
        <f t="shared" si="8"/>
        <v>0</v>
      </c>
      <c r="E24" s="1">
        <f t="shared" si="8"/>
        <v>0</v>
      </c>
      <c r="F24" s="1">
        <f t="shared" si="8"/>
        <v>0</v>
      </c>
      <c r="G24" s="1">
        <f t="shared" si="8"/>
        <v>0</v>
      </c>
      <c r="H24" s="1">
        <f t="shared" si="8"/>
        <v>0</v>
      </c>
      <c r="I24" s="1">
        <f t="shared" si="8"/>
        <v>0</v>
      </c>
      <c r="J24" s="1">
        <f t="shared" si="8"/>
        <v>0</v>
      </c>
      <c r="K24" s="1">
        <f t="shared" si="8"/>
        <v>0</v>
      </c>
      <c r="L24" s="1">
        <f t="shared" si="9"/>
        <v>0</v>
      </c>
      <c r="M24" s="1">
        <f t="shared" si="9"/>
        <v>0</v>
      </c>
      <c r="N24" s="1">
        <f t="shared" si="9"/>
        <v>0</v>
      </c>
      <c r="O24" s="1">
        <f t="shared" si="9"/>
        <v>0</v>
      </c>
      <c r="P24" s="1">
        <f t="shared" si="9"/>
        <v>0</v>
      </c>
      <c r="Q24" s="1">
        <f t="shared" si="9"/>
        <v>0</v>
      </c>
      <c r="R24" s="1">
        <f>SUM(B24:Q24)</f>
        <v>0</v>
      </c>
    </row>
    <row r="25" spans="1:18" x14ac:dyDescent="0.3">
      <c r="A25" s="3" t="s">
        <v>257</v>
      </c>
      <c r="B25" s="1">
        <f t="shared" si="8"/>
        <v>0</v>
      </c>
      <c r="C25" s="1">
        <f t="shared" si="8"/>
        <v>0</v>
      </c>
      <c r="D25" s="1">
        <f t="shared" si="8"/>
        <v>0</v>
      </c>
      <c r="E25" s="1">
        <f t="shared" si="8"/>
        <v>0</v>
      </c>
      <c r="F25" s="1">
        <f t="shared" si="8"/>
        <v>0</v>
      </c>
      <c r="G25" s="1">
        <f t="shared" si="8"/>
        <v>0</v>
      </c>
      <c r="H25" s="1">
        <f t="shared" si="8"/>
        <v>0</v>
      </c>
      <c r="I25" s="1">
        <f t="shared" si="8"/>
        <v>0</v>
      </c>
      <c r="J25" s="1">
        <f t="shared" si="8"/>
        <v>0</v>
      </c>
      <c r="K25" s="1">
        <f t="shared" si="8"/>
        <v>0</v>
      </c>
      <c r="L25" s="1">
        <f t="shared" si="9"/>
        <v>0</v>
      </c>
      <c r="M25" s="1">
        <f t="shared" si="9"/>
        <v>0</v>
      </c>
      <c r="N25" s="1">
        <f t="shared" si="9"/>
        <v>0</v>
      </c>
      <c r="O25" s="1">
        <f t="shared" si="9"/>
        <v>0</v>
      </c>
      <c r="P25" s="1">
        <f t="shared" si="9"/>
        <v>0</v>
      </c>
      <c r="Q25" s="1">
        <f t="shared" si="9"/>
        <v>0</v>
      </c>
      <c r="R25" s="1">
        <f>SUM(B25:Q25)</f>
        <v>0</v>
      </c>
    </row>
    <row r="26" spans="1:18" x14ac:dyDescent="0.3">
      <c r="A26" s="47" t="s">
        <v>728</v>
      </c>
      <c r="B26" s="1">
        <f t="shared" si="8"/>
        <v>0</v>
      </c>
      <c r="C26" s="1">
        <f t="shared" si="8"/>
        <v>0</v>
      </c>
      <c r="D26" s="1">
        <f t="shared" si="8"/>
        <v>0</v>
      </c>
      <c r="E26" s="1">
        <f t="shared" si="8"/>
        <v>0</v>
      </c>
      <c r="F26" s="1">
        <f t="shared" si="8"/>
        <v>0</v>
      </c>
      <c r="G26" s="1">
        <f t="shared" si="8"/>
        <v>0</v>
      </c>
      <c r="H26" s="1">
        <f t="shared" si="8"/>
        <v>0</v>
      </c>
      <c r="I26" s="1">
        <f t="shared" si="8"/>
        <v>0</v>
      </c>
      <c r="J26" s="1">
        <f t="shared" si="8"/>
        <v>0</v>
      </c>
      <c r="K26" s="1">
        <f t="shared" si="8"/>
        <v>0</v>
      </c>
      <c r="L26" s="1">
        <f t="shared" si="9"/>
        <v>0</v>
      </c>
      <c r="M26" s="1">
        <f t="shared" si="9"/>
        <v>0</v>
      </c>
      <c r="N26" s="1">
        <f t="shared" si="9"/>
        <v>0</v>
      </c>
      <c r="O26" s="1">
        <f t="shared" si="9"/>
        <v>0</v>
      </c>
      <c r="P26" s="1">
        <f t="shared" si="9"/>
        <v>0</v>
      </c>
      <c r="Q26" s="1">
        <f t="shared" si="9"/>
        <v>0</v>
      </c>
      <c r="R26" s="1">
        <f>SUM(B26:Q26)</f>
        <v>0</v>
      </c>
    </row>
    <row r="27" spans="1:18" x14ac:dyDescent="0.3">
      <c r="A27" s="3" t="s">
        <v>258</v>
      </c>
      <c r="B27" s="1">
        <f t="shared" si="8"/>
        <v>0</v>
      </c>
      <c r="C27" s="1">
        <f t="shared" si="8"/>
        <v>0</v>
      </c>
      <c r="D27" s="1">
        <f t="shared" si="8"/>
        <v>0</v>
      </c>
      <c r="E27" s="1">
        <f t="shared" si="8"/>
        <v>0</v>
      </c>
      <c r="F27" s="1">
        <f t="shared" si="8"/>
        <v>0</v>
      </c>
      <c r="G27" s="1">
        <f t="shared" si="8"/>
        <v>0</v>
      </c>
      <c r="H27" s="1">
        <f t="shared" si="8"/>
        <v>0</v>
      </c>
      <c r="I27" s="1">
        <f t="shared" si="8"/>
        <v>0</v>
      </c>
      <c r="J27" s="1">
        <f t="shared" si="8"/>
        <v>0</v>
      </c>
      <c r="K27" s="1">
        <f t="shared" si="8"/>
        <v>0</v>
      </c>
      <c r="L27" s="1">
        <f t="shared" si="9"/>
        <v>0</v>
      </c>
      <c r="M27" s="1">
        <f t="shared" si="9"/>
        <v>0</v>
      </c>
      <c r="N27" s="1">
        <f t="shared" si="9"/>
        <v>0</v>
      </c>
      <c r="O27" s="1">
        <f t="shared" si="9"/>
        <v>0</v>
      </c>
      <c r="P27" s="1">
        <f t="shared" si="9"/>
        <v>0</v>
      </c>
      <c r="Q27" s="1">
        <f t="shared" si="9"/>
        <v>0</v>
      </c>
      <c r="R27" s="1">
        <f>SUM(B27:Q27)</f>
        <v>0</v>
      </c>
    </row>
    <row r="28" spans="1:18" x14ac:dyDescent="0.3">
      <c r="A28" s="3" t="s">
        <v>259</v>
      </c>
      <c r="B28" s="1">
        <f>SUBTOTAL(9,B22:B27)</f>
        <v>0</v>
      </c>
      <c r="C28" s="1">
        <f t="shared" ref="C28:R28" si="10">SUBTOTAL(9,C22:C27)</f>
        <v>0</v>
      </c>
      <c r="D28" s="1">
        <f t="shared" si="10"/>
        <v>0</v>
      </c>
      <c r="E28" s="1">
        <f t="shared" si="10"/>
        <v>0</v>
      </c>
      <c r="F28" s="1">
        <f t="shared" si="10"/>
        <v>0</v>
      </c>
      <c r="G28" s="1">
        <f t="shared" si="10"/>
        <v>0</v>
      </c>
      <c r="H28" s="1">
        <f t="shared" si="10"/>
        <v>0</v>
      </c>
      <c r="I28" s="1">
        <f t="shared" si="10"/>
        <v>0</v>
      </c>
      <c r="J28" s="1">
        <f t="shared" si="10"/>
        <v>0</v>
      </c>
      <c r="K28" s="1">
        <f t="shared" si="10"/>
        <v>0</v>
      </c>
      <c r="L28" s="1">
        <f t="shared" si="10"/>
        <v>0</v>
      </c>
      <c r="M28" s="1">
        <f t="shared" si="10"/>
        <v>0</v>
      </c>
      <c r="N28" s="1">
        <f t="shared" si="10"/>
        <v>0</v>
      </c>
      <c r="O28" s="1">
        <f t="shared" si="10"/>
        <v>0</v>
      </c>
      <c r="P28" s="1">
        <f t="shared" si="10"/>
        <v>0</v>
      </c>
      <c r="Q28" s="1">
        <f t="shared" si="10"/>
        <v>0</v>
      </c>
      <c r="R28" s="1">
        <f t="shared" si="10"/>
        <v>0</v>
      </c>
    </row>
    <row r="29" spans="1:18" x14ac:dyDescent="0.3">
      <c r="A29" s="1" t="s">
        <v>260</v>
      </c>
      <c r="B29" s="1">
        <f>SUBTOTAL(9,B30:B31)</f>
        <v>0</v>
      </c>
      <c r="C29" s="1">
        <f t="shared" ref="C29:R29" si="11">SUBTOTAL(9,C30:C31)</f>
        <v>0</v>
      </c>
      <c r="D29" s="1">
        <f t="shared" si="11"/>
        <v>0</v>
      </c>
      <c r="E29" s="1">
        <f t="shared" si="11"/>
        <v>0</v>
      </c>
      <c r="F29" s="1">
        <f t="shared" si="11"/>
        <v>0</v>
      </c>
      <c r="G29" s="1">
        <f t="shared" si="11"/>
        <v>0</v>
      </c>
      <c r="H29" s="1">
        <f t="shared" si="11"/>
        <v>0</v>
      </c>
      <c r="I29" s="1">
        <f t="shared" si="11"/>
        <v>0</v>
      </c>
      <c r="J29" s="1">
        <f t="shared" si="11"/>
        <v>0</v>
      </c>
      <c r="K29" s="1">
        <f t="shared" si="11"/>
        <v>0</v>
      </c>
      <c r="L29" s="1">
        <f t="shared" si="11"/>
        <v>0</v>
      </c>
      <c r="M29" s="1">
        <f t="shared" si="11"/>
        <v>0</v>
      </c>
      <c r="N29" s="1">
        <f t="shared" si="11"/>
        <v>0</v>
      </c>
      <c r="O29" s="1">
        <f t="shared" si="11"/>
        <v>0</v>
      </c>
      <c r="P29" s="1">
        <f t="shared" si="11"/>
        <v>0</v>
      </c>
      <c r="Q29" s="1">
        <f t="shared" si="11"/>
        <v>0</v>
      </c>
      <c r="R29" s="1">
        <f t="shared" si="11"/>
        <v>0</v>
      </c>
    </row>
    <row r="30" spans="1:18" x14ac:dyDescent="0.3">
      <c r="A30" s="1" t="s">
        <v>261</v>
      </c>
      <c r="B30" s="1">
        <f t="shared" ref="B30:K34" si="12">SUMIFS(RR_Labour,RR_Reporting,$A30,RR_Function,B$5)</f>
        <v>0</v>
      </c>
      <c r="C30" s="1">
        <f t="shared" si="12"/>
        <v>0</v>
      </c>
      <c r="D30" s="1">
        <f t="shared" si="12"/>
        <v>0</v>
      </c>
      <c r="E30" s="1">
        <f t="shared" si="12"/>
        <v>0</v>
      </c>
      <c r="F30" s="1">
        <f t="shared" si="12"/>
        <v>0</v>
      </c>
      <c r="G30" s="1">
        <f t="shared" si="12"/>
        <v>0</v>
      </c>
      <c r="H30" s="1">
        <f t="shared" si="12"/>
        <v>0</v>
      </c>
      <c r="I30" s="1">
        <f t="shared" si="12"/>
        <v>0</v>
      </c>
      <c r="J30" s="1">
        <f t="shared" si="12"/>
        <v>0</v>
      </c>
      <c r="K30" s="1">
        <f t="shared" si="12"/>
        <v>0</v>
      </c>
      <c r="L30" s="1">
        <f t="shared" ref="L30:Q34" si="13">SUMIFS(RR_Labour,RR_Reporting,$A30,RR_Function,L$5)</f>
        <v>0</v>
      </c>
      <c r="M30" s="1">
        <f t="shared" si="13"/>
        <v>0</v>
      </c>
      <c r="N30" s="1">
        <f t="shared" si="13"/>
        <v>0</v>
      </c>
      <c r="O30" s="1">
        <f t="shared" si="13"/>
        <v>0</v>
      </c>
      <c r="P30" s="1">
        <f t="shared" si="13"/>
        <v>0</v>
      </c>
      <c r="Q30" s="1">
        <f t="shared" si="13"/>
        <v>0</v>
      </c>
      <c r="R30" s="1">
        <f>SUM(B30:Q30)</f>
        <v>0</v>
      </c>
    </row>
    <row r="31" spans="1:18" x14ac:dyDescent="0.3">
      <c r="A31" s="1" t="s">
        <v>606</v>
      </c>
      <c r="B31" s="1">
        <f t="shared" si="12"/>
        <v>0</v>
      </c>
      <c r="C31" s="1">
        <f t="shared" si="12"/>
        <v>0</v>
      </c>
      <c r="D31" s="1">
        <f t="shared" si="12"/>
        <v>0</v>
      </c>
      <c r="E31" s="1">
        <f t="shared" si="12"/>
        <v>0</v>
      </c>
      <c r="F31" s="1">
        <f t="shared" si="12"/>
        <v>0</v>
      </c>
      <c r="G31" s="1">
        <f t="shared" si="12"/>
        <v>0</v>
      </c>
      <c r="H31" s="1">
        <f t="shared" si="12"/>
        <v>0</v>
      </c>
      <c r="I31" s="1">
        <f t="shared" si="12"/>
        <v>0</v>
      </c>
      <c r="J31" s="1">
        <f t="shared" si="12"/>
        <v>0</v>
      </c>
      <c r="K31" s="1">
        <f t="shared" si="12"/>
        <v>0</v>
      </c>
      <c r="L31" s="1">
        <f t="shared" si="13"/>
        <v>0</v>
      </c>
      <c r="M31" s="1">
        <f t="shared" si="13"/>
        <v>0</v>
      </c>
      <c r="N31" s="1">
        <f t="shared" si="13"/>
        <v>0</v>
      </c>
      <c r="O31" s="1">
        <f t="shared" si="13"/>
        <v>0</v>
      </c>
      <c r="P31" s="1">
        <f t="shared" si="13"/>
        <v>0</v>
      </c>
      <c r="Q31" s="1">
        <f t="shared" si="13"/>
        <v>0</v>
      </c>
      <c r="R31" s="1">
        <f>SUM(B31:Q31)</f>
        <v>0</v>
      </c>
    </row>
    <row r="32" spans="1:18" x14ac:dyDescent="0.3">
      <c r="A32" s="1" t="s">
        <v>629</v>
      </c>
      <c r="B32" s="1">
        <f>SUBTOTAL(9,B6:B31)</f>
        <v>507157</v>
      </c>
      <c r="C32" s="1">
        <f>SUBTOTAL(9,C6:C31)</f>
        <v>0</v>
      </c>
      <c r="D32" s="1">
        <f>SUBTOTAL(9,D6:D31)</f>
        <v>904299</v>
      </c>
      <c r="E32" s="1">
        <f>SUBTOTAL(9,E6:E31)</f>
        <v>43215</v>
      </c>
      <c r="F32" s="1">
        <f>SUBTOTAL(9,F6:F31)</f>
        <v>0</v>
      </c>
      <c r="G32" s="1">
        <f>SUBTOTAL(9,G6:G31)</f>
        <v>551129</v>
      </c>
      <c r="H32" s="1">
        <f>SUBTOTAL(9,H6:H31)</f>
        <v>0</v>
      </c>
      <c r="I32" s="1">
        <f>SUBTOTAL(9,I6:I31)</f>
        <v>0</v>
      </c>
      <c r="J32" s="1">
        <f>SUBTOTAL(9,J6:J31)</f>
        <v>91533</v>
      </c>
      <c r="K32" s="1">
        <f>SUBTOTAL(9,K6:K31)</f>
        <v>401463</v>
      </c>
      <c r="L32" s="1">
        <f>SUBTOTAL(9,L6:L31)</f>
        <v>110196</v>
      </c>
      <c r="M32" s="1">
        <f>SUBTOTAL(9,M6:M31)</f>
        <v>0</v>
      </c>
      <c r="N32" s="1">
        <f>SUBTOTAL(9,N6:N31)</f>
        <v>0</v>
      </c>
      <c r="O32" s="1">
        <f>SUBTOTAL(9,O6:O31)</f>
        <v>0</v>
      </c>
      <c r="P32" s="1">
        <f>SUBTOTAL(9,P6:P31)</f>
        <v>0</v>
      </c>
      <c r="Q32" s="1">
        <f>SUBTOTAL(9,Q6:Q31)</f>
        <v>0</v>
      </c>
      <c r="R32" s="1">
        <f>SUBTOTAL(9,R6:R31)</f>
        <v>2608992</v>
      </c>
    </row>
    <row r="33" spans="1:18" x14ac:dyDescent="0.3">
      <c r="A33" s="1" t="s">
        <v>632</v>
      </c>
      <c r="B33" s="1">
        <f t="shared" si="12"/>
        <v>0</v>
      </c>
      <c r="C33" s="1">
        <f t="shared" si="12"/>
        <v>0</v>
      </c>
      <c r="D33" s="1">
        <f t="shared" si="12"/>
        <v>0</v>
      </c>
      <c r="E33" s="1">
        <f t="shared" si="12"/>
        <v>0</v>
      </c>
      <c r="F33" s="1">
        <f t="shared" si="12"/>
        <v>0</v>
      </c>
      <c r="G33" s="1">
        <f t="shared" si="12"/>
        <v>0</v>
      </c>
      <c r="H33" s="1">
        <f t="shared" si="12"/>
        <v>0</v>
      </c>
      <c r="I33" s="1">
        <f t="shared" si="12"/>
        <v>0</v>
      </c>
      <c r="J33" s="1">
        <f t="shared" si="12"/>
        <v>0</v>
      </c>
      <c r="K33" s="1">
        <f t="shared" si="12"/>
        <v>0</v>
      </c>
      <c r="L33" s="1">
        <f t="shared" si="13"/>
        <v>0</v>
      </c>
      <c r="M33" s="1">
        <f t="shared" si="13"/>
        <v>0</v>
      </c>
      <c r="N33" s="1">
        <f t="shared" si="13"/>
        <v>0</v>
      </c>
      <c r="O33" s="1">
        <f t="shared" si="13"/>
        <v>0</v>
      </c>
      <c r="P33" s="1">
        <f t="shared" si="13"/>
        <v>0</v>
      </c>
      <c r="Q33" s="1">
        <f t="shared" si="13"/>
        <v>0</v>
      </c>
      <c r="R33" s="1">
        <f>SUM(B33:Q33)</f>
        <v>0</v>
      </c>
    </row>
    <row r="34" spans="1:18" x14ac:dyDescent="0.3">
      <c r="A34" s="1" t="s">
        <v>631</v>
      </c>
      <c r="B34" s="1">
        <f t="shared" si="12"/>
        <v>0</v>
      </c>
      <c r="C34" s="1">
        <f t="shared" si="12"/>
        <v>0</v>
      </c>
      <c r="D34" s="1">
        <f t="shared" si="12"/>
        <v>0</v>
      </c>
      <c r="E34" s="1">
        <f t="shared" si="12"/>
        <v>0</v>
      </c>
      <c r="F34" s="1">
        <f t="shared" si="12"/>
        <v>0</v>
      </c>
      <c r="G34" s="1">
        <f t="shared" si="12"/>
        <v>0</v>
      </c>
      <c r="H34" s="1">
        <f t="shared" si="12"/>
        <v>0</v>
      </c>
      <c r="I34" s="1">
        <f t="shared" si="12"/>
        <v>0</v>
      </c>
      <c r="J34" s="1">
        <f t="shared" si="12"/>
        <v>0</v>
      </c>
      <c r="K34" s="1">
        <f t="shared" si="12"/>
        <v>0</v>
      </c>
      <c r="L34" s="1">
        <f t="shared" si="13"/>
        <v>0</v>
      </c>
      <c r="M34" s="1">
        <f t="shared" si="13"/>
        <v>0</v>
      </c>
      <c r="N34" s="1">
        <f t="shared" si="13"/>
        <v>0</v>
      </c>
      <c r="O34" s="1">
        <f t="shared" si="13"/>
        <v>0</v>
      </c>
      <c r="P34" s="1">
        <f t="shared" si="13"/>
        <v>0</v>
      </c>
      <c r="Q34" s="1">
        <f t="shared" si="13"/>
        <v>0</v>
      </c>
      <c r="R34" s="1">
        <f>SUM(B34:Q34)</f>
        <v>0</v>
      </c>
    </row>
    <row r="35" spans="1:18" x14ac:dyDescent="0.3">
      <c r="A35" s="1" t="s">
        <v>630</v>
      </c>
      <c r="B35" s="1">
        <f>SUBTOTAL(9,B6:B34)</f>
        <v>507157</v>
      </c>
      <c r="C35" s="1">
        <f>SUBTOTAL(9,C6:C34)</f>
        <v>0</v>
      </c>
      <c r="D35" s="1">
        <f>SUBTOTAL(9,D6:D34)</f>
        <v>904299</v>
      </c>
      <c r="E35" s="1">
        <f>SUBTOTAL(9,E6:E34)</f>
        <v>43215</v>
      </c>
      <c r="F35" s="1">
        <f>SUBTOTAL(9,F6:F34)</f>
        <v>0</v>
      </c>
      <c r="G35" s="1">
        <f>SUBTOTAL(9,G6:G34)</f>
        <v>551129</v>
      </c>
      <c r="H35" s="1">
        <f>SUBTOTAL(9,H6:H34)</f>
        <v>0</v>
      </c>
      <c r="I35" s="1">
        <f>SUBTOTAL(9,I6:I34)</f>
        <v>0</v>
      </c>
      <c r="J35" s="1">
        <f>SUBTOTAL(9,J6:J34)</f>
        <v>91533</v>
      </c>
      <c r="K35" s="1">
        <f>SUBTOTAL(9,K6:K34)</f>
        <v>401463</v>
      </c>
      <c r="L35" s="1">
        <f>SUBTOTAL(9,L6:L34)</f>
        <v>110196</v>
      </c>
      <c r="M35" s="1">
        <f>SUBTOTAL(9,M6:M34)</f>
        <v>0</v>
      </c>
      <c r="N35" s="1">
        <f>SUBTOTAL(9,N6:N34)</f>
        <v>0</v>
      </c>
      <c r="O35" s="1">
        <f>SUBTOTAL(9,O6:O34)</f>
        <v>0</v>
      </c>
      <c r="P35" s="1">
        <f>SUBTOTAL(9,P6:P34)</f>
        <v>0</v>
      </c>
      <c r="Q35" s="1">
        <f>SUBTOTAL(9,Q6:Q34)</f>
        <v>0</v>
      </c>
      <c r="R35" s="1">
        <f>SUBTOTAL(9,R6:R34)</f>
        <v>2608992</v>
      </c>
    </row>
    <row r="37" spans="1:18" s="5" customFormat="1" x14ac:dyDescent="0.3">
      <c r="A37" s="5" t="s">
        <v>225</v>
      </c>
    </row>
    <row r="38" spans="1:18" s="9" customFormat="1" ht="40.5" x14ac:dyDescent="0.25">
      <c r="B38" s="17" t="str">
        <f t="array" ref="B38:F38">TRANSPOSE(A72:A76)</f>
        <v>ECC</v>
      </c>
      <c r="C38" s="17" t="str">
        <v>SCADA</v>
      </c>
      <c r="D38" s="17" t="str">
        <v>T&amp;D Plant</v>
      </c>
      <c r="E38" s="17" t="str">
        <v>Distribution Lines</v>
      </c>
      <c r="F38" s="17" t="str">
        <v>Distribution Network</v>
      </c>
      <c r="G38" s="17" t="s">
        <v>577</v>
      </c>
      <c r="H38" s="17"/>
      <c r="I38" s="17"/>
      <c r="J38" s="17"/>
      <c r="K38" s="17"/>
      <c r="L38" s="17"/>
      <c r="M38" s="17"/>
      <c r="N38" s="17"/>
      <c r="O38" s="17"/>
      <c r="P38" s="17"/>
      <c r="Q38" s="17"/>
      <c r="R38" s="17" t="s">
        <v>214</v>
      </c>
    </row>
    <row r="39" spans="1:18" x14ac:dyDescent="0.3">
      <c r="A39" s="1" t="s">
        <v>262</v>
      </c>
    </row>
    <row r="40" spans="1:18" x14ac:dyDescent="0.3">
      <c r="A40" s="3" t="s">
        <v>247</v>
      </c>
      <c r="B40" s="1">
        <f t="shared" ref="B40:K41" si="14">SUMIFS(RR_Labour,RR_Reporting,$A40,RR_Function,B$38)</f>
        <v>1040244</v>
      </c>
      <c r="C40" s="1">
        <f t="shared" si="14"/>
        <v>0</v>
      </c>
      <c r="D40" s="1">
        <f t="shared" si="14"/>
        <v>0</v>
      </c>
      <c r="E40" s="1">
        <f t="shared" si="14"/>
        <v>0</v>
      </c>
      <c r="F40" s="1">
        <f t="shared" si="14"/>
        <v>0</v>
      </c>
      <c r="G40" s="1">
        <f t="shared" si="14"/>
        <v>0</v>
      </c>
      <c r="H40" s="1">
        <f t="shared" si="14"/>
        <v>0</v>
      </c>
      <c r="I40" s="1">
        <f t="shared" si="14"/>
        <v>0</v>
      </c>
      <c r="J40" s="1">
        <f t="shared" si="14"/>
        <v>0</v>
      </c>
      <c r="K40" s="1">
        <f t="shared" si="14"/>
        <v>0</v>
      </c>
      <c r="L40" s="1">
        <f t="shared" ref="L40:Q41" si="15">SUMIFS(RR_Labour,RR_Reporting,$A40,RR_Function,L$38)</f>
        <v>0</v>
      </c>
      <c r="M40" s="1">
        <f t="shared" si="15"/>
        <v>0</v>
      </c>
      <c r="N40" s="1">
        <f t="shared" si="15"/>
        <v>0</v>
      </c>
      <c r="O40" s="1">
        <f t="shared" si="15"/>
        <v>0</v>
      </c>
      <c r="P40" s="1">
        <f t="shared" si="15"/>
        <v>0</v>
      </c>
      <c r="Q40" s="1">
        <f t="shared" si="15"/>
        <v>0</v>
      </c>
      <c r="R40" s="1">
        <f>SUM(B40:Q40)</f>
        <v>1040244</v>
      </c>
    </row>
    <row r="41" spans="1:18" x14ac:dyDescent="0.3">
      <c r="A41" s="3" t="s">
        <v>248</v>
      </c>
      <c r="B41" s="1">
        <f t="shared" si="14"/>
        <v>0</v>
      </c>
      <c r="C41" s="1">
        <f t="shared" si="14"/>
        <v>0</v>
      </c>
      <c r="D41" s="1">
        <f t="shared" si="14"/>
        <v>0</v>
      </c>
      <c r="E41" s="1">
        <f t="shared" si="14"/>
        <v>0</v>
      </c>
      <c r="F41" s="1">
        <f t="shared" si="14"/>
        <v>0</v>
      </c>
      <c r="G41" s="1">
        <f t="shared" si="14"/>
        <v>0</v>
      </c>
      <c r="H41" s="1">
        <f t="shared" si="14"/>
        <v>0</v>
      </c>
      <c r="I41" s="1">
        <f t="shared" si="14"/>
        <v>0</v>
      </c>
      <c r="J41" s="1">
        <f t="shared" si="14"/>
        <v>0</v>
      </c>
      <c r="K41" s="1">
        <f t="shared" si="14"/>
        <v>0</v>
      </c>
      <c r="L41" s="1">
        <f t="shared" si="15"/>
        <v>0</v>
      </c>
      <c r="M41" s="1">
        <f t="shared" si="15"/>
        <v>0</v>
      </c>
      <c r="N41" s="1">
        <f t="shared" si="15"/>
        <v>0</v>
      </c>
      <c r="O41" s="1">
        <f t="shared" si="15"/>
        <v>0</v>
      </c>
      <c r="P41" s="1">
        <f t="shared" si="15"/>
        <v>0</v>
      </c>
      <c r="Q41" s="1">
        <f t="shared" si="15"/>
        <v>0</v>
      </c>
      <c r="R41" s="1">
        <f>SUM(B41:Q41)</f>
        <v>0</v>
      </c>
    </row>
    <row r="42" spans="1:18" x14ac:dyDescent="0.3">
      <c r="A42" s="3" t="s">
        <v>249</v>
      </c>
      <c r="B42" s="1">
        <f>SUBTOTAL(9,B40:B41)</f>
        <v>1040244</v>
      </c>
      <c r="C42" s="1">
        <f t="shared" ref="C42:R42" si="16">SUBTOTAL(9,C40:C41)</f>
        <v>0</v>
      </c>
      <c r="D42" s="1">
        <f t="shared" si="16"/>
        <v>0</v>
      </c>
      <c r="E42" s="1">
        <f t="shared" si="16"/>
        <v>0</v>
      </c>
      <c r="F42" s="1">
        <f t="shared" si="16"/>
        <v>0</v>
      </c>
      <c r="G42" s="1">
        <f t="shared" si="16"/>
        <v>0</v>
      </c>
      <c r="H42" s="1">
        <f t="shared" si="16"/>
        <v>0</v>
      </c>
      <c r="I42" s="1">
        <f t="shared" si="16"/>
        <v>0</v>
      </c>
      <c r="J42" s="1">
        <f t="shared" si="16"/>
        <v>0</v>
      </c>
      <c r="K42" s="1">
        <f t="shared" si="16"/>
        <v>0</v>
      </c>
      <c r="L42" s="1">
        <f t="shared" si="16"/>
        <v>0</v>
      </c>
      <c r="M42" s="1">
        <f t="shared" si="16"/>
        <v>0</v>
      </c>
      <c r="N42" s="1">
        <f t="shared" si="16"/>
        <v>0</v>
      </c>
      <c r="O42" s="1">
        <f t="shared" si="16"/>
        <v>0</v>
      </c>
      <c r="P42" s="1">
        <f t="shared" si="16"/>
        <v>0</v>
      </c>
      <c r="Q42" s="1">
        <f t="shared" si="16"/>
        <v>0</v>
      </c>
      <c r="R42" s="1">
        <f t="shared" si="16"/>
        <v>1040244</v>
      </c>
    </row>
    <row r="43" spans="1:18" x14ac:dyDescent="0.3">
      <c r="A43" s="3" t="s">
        <v>124</v>
      </c>
      <c r="B43" s="1">
        <f t="shared" ref="B43:K47" si="17">SUMIFS(RR_Labour,RR_Reporting,$A43,RR_Function,B$38)</f>
        <v>0</v>
      </c>
      <c r="C43" s="1">
        <f t="shared" si="17"/>
        <v>197918</v>
      </c>
      <c r="D43" s="1">
        <f t="shared" si="17"/>
        <v>0</v>
      </c>
      <c r="E43" s="1">
        <f t="shared" si="17"/>
        <v>78453</v>
      </c>
      <c r="F43" s="1">
        <f t="shared" si="17"/>
        <v>1286071</v>
      </c>
      <c r="G43" s="1">
        <f t="shared" si="17"/>
        <v>0</v>
      </c>
      <c r="H43" s="1">
        <f t="shared" si="17"/>
        <v>0</v>
      </c>
      <c r="I43" s="1">
        <f t="shared" si="17"/>
        <v>0</v>
      </c>
      <c r="J43" s="1">
        <f t="shared" si="17"/>
        <v>0</v>
      </c>
      <c r="K43" s="1">
        <f t="shared" si="17"/>
        <v>0</v>
      </c>
      <c r="L43" s="1">
        <f t="shared" ref="L43:Q47" si="18">SUMIFS(RR_Labour,RR_Reporting,$A43,RR_Function,L$38)</f>
        <v>0</v>
      </c>
      <c r="M43" s="1">
        <f t="shared" si="18"/>
        <v>0</v>
      </c>
      <c r="N43" s="1">
        <f t="shared" si="18"/>
        <v>0</v>
      </c>
      <c r="O43" s="1">
        <f t="shared" si="18"/>
        <v>0</v>
      </c>
      <c r="P43" s="1">
        <f t="shared" si="18"/>
        <v>0</v>
      </c>
      <c r="Q43" s="1">
        <f t="shared" si="18"/>
        <v>0</v>
      </c>
      <c r="R43" s="1">
        <f>SUM(B43:Q43)</f>
        <v>1562442</v>
      </c>
    </row>
    <row r="44" spans="1:18" x14ac:dyDescent="0.3">
      <c r="A44" s="3" t="s">
        <v>12</v>
      </c>
      <c r="B44" s="1">
        <f t="shared" si="17"/>
        <v>0</v>
      </c>
      <c r="C44" s="1">
        <f t="shared" si="17"/>
        <v>0</v>
      </c>
      <c r="D44" s="1">
        <f t="shared" si="17"/>
        <v>0</v>
      </c>
      <c r="E44" s="1">
        <f t="shared" si="17"/>
        <v>0</v>
      </c>
      <c r="F44" s="1">
        <f t="shared" si="17"/>
        <v>0</v>
      </c>
      <c r="G44" s="1">
        <f t="shared" si="17"/>
        <v>0</v>
      </c>
      <c r="H44" s="1">
        <f t="shared" si="17"/>
        <v>0</v>
      </c>
      <c r="I44" s="1">
        <f t="shared" si="17"/>
        <v>0</v>
      </c>
      <c r="J44" s="1">
        <f t="shared" si="17"/>
        <v>0</v>
      </c>
      <c r="K44" s="1">
        <f t="shared" si="17"/>
        <v>0</v>
      </c>
      <c r="L44" s="1">
        <f t="shared" si="18"/>
        <v>0</v>
      </c>
      <c r="M44" s="1">
        <f t="shared" si="18"/>
        <v>0</v>
      </c>
      <c r="N44" s="1">
        <f t="shared" si="18"/>
        <v>0</v>
      </c>
      <c r="O44" s="1">
        <f t="shared" si="18"/>
        <v>0</v>
      </c>
      <c r="P44" s="1">
        <f t="shared" si="18"/>
        <v>0</v>
      </c>
      <c r="Q44" s="1">
        <f t="shared" si="18"/>
        <v>0</v>
      </c>
      <c r="R44" s="1">
        <f>SUM(B44:Q44)</f>
        <v>0</v>
      </c>
    </row>
    <row r="45" spans="1:18" x14ac:dyDescent="0.3">
      <c r="A45" s="3" t="s">
        <v>250</v>
      </c>
      <c r="B45" s="1">
        <f t="shared" si="17"/>
        <v>0</v>
      </c>
      <c r="C45" s="1">
        <f t="shared" si="17"/>
        <v>0</v>
      </c>
      <c r="D45" s="1">
        <f t="shared" si="17"/>
        <v>0</v>
      </c>
      <c r="E45" s="1">
        <f t="shared" si="17"/>
        <v>0</v>
      </c>
      <c r="F45" s="1">
        <f t="shared" si="17"/>
        <v>0</v>
      </c>
      <c r="G45" s="1">
        <f t="shared" si="17"/>
        <v>0</v>
      </c>
      <c r="H45" s="1">
        <f t="shared" si="17"/>
        <v>0</v>
      </c>
      <c r="I45" s="1">
        <f t="shared" si="17"/>
        <v>0</v>
      </c>
      <c r="J45" s="1">
        <f t="shared" si="17"/>
        <v>0</v>
      </c>
      <c r="K45" s="1">
        <f t="shared" si="17"/>
        <v>0</v>
      </c>
      <c r="L45" s="1">
        <f t="shared" si="18"/>
        <v>0</v>
      </c>
      <c r="M45" s="1">
        <f t="shared" si="18"/>
        <v>0</v>
      </c>
      <c r="N45" s="1">
        <f t="shared" si="18"/>
        <v>0</v>
      </c>
      <c r="O45" s="1">
        <f t="shared" si="18"/>
        <v>0</v>
      </c>
      <c r="P45" s="1">
        <f t="shared" si="18"/>
        <v>0</v>
      </c>
      <c r="Q45" s="1">
        <f t="shared" si="18"/>
        <v>0</v>
      </c>
      <c r="R45" s="1">
        <f>SUM(B45:Q45)</f>
        <v>0</v>
      </c>
    </row>
    <row r="46" spans="1:18" x14ac:dyDescent="0.3">
      <c r="A46" s="3" t="s">
        <v>251</v>
      </c>
      <c r="B46" s="1">
        <f t="shared" si="17"/>
        <v>0</v>
      </c>
      <c r="C46" s="1">
        <f t="shared" si="17"/>
        <v>0</v>
      </c>
      <c r="D46" s="1">
        <f t="shared" si="17"/>
        <v>0</v>
      </c>
      <c r="E46" s="1">
        <f t="shared" si="17"/>
        <v>0</v>
      </c>
      <c r="F46" s="1">
        <f t="shared" si="17"/>
        <v>0</v>
      </c>
      <c r="G46" s="1">
        <f t="shared" si="17"/>
        <v>0</v>
      </c>
      <c r="H46" s="1">
        <f t="shared" si="17"/>
        <v>0</v>
      </c>
      <c r="I46" s="1">
        <f t="shared" si="17"/>
        <v>0</v>
      </c>
      <c r="J46" s="1">
        <f t="shared" si="17"/>
        <v>0</v>
      </c>
      <c r="K46" s="1">
        <f t="shared" si="17"/>
        <v>0</v>
      </c>
      <c r="L46" s="1">
        <f t="shared" si="18"/>
        <v>0</v>
      </c>
      <c r="M46" s="1">
        <f t="shared" si="18"/>
        <v>0</v>
      </c>
      <c r="N46" s="1">
        <f t="shared" si="18"/>
        <v>0</v>
      </c>
      <c r="O46" s="1">
        <f t="shared" si="18"/>
        <v>0</v>
      </c>
      <c r="P46" s="1">
        <f t="shared" si="18"/>
        <v>0</v>
      </c>
      <c r="Q46" s="1">
        <f t="shared" si="18"/>
        <v>0</v>
      </c>
      <c r="R46" s="1">
        <f>SUM(B46:Q46)</f>
        <v>0</v>
      </c>
    </row>
    <row r="47" spans="1:18" x14ac:dyDescent="0.3">
      <c r="A47" s="3" t="s">
        <v>252</v>
      </c>
      <c r="B47" s="1">
        <f t="shared" si="17"/>
        <v>0</v>
      </c>
      <c r="C47" s="1">
        <f t="shared" si="17"/>
        <v>0</v>
      </c>
      <c r="D47" s="1">
        <f t="shared" si="17"/>
        <v>0</v>
      </c>
      <c r="E47" s="1">
        <f t="shared" si="17"/>
        <v>0</v>
      </c>
      <c r="F47" s="1">
        <f t="shared" si="17"/>
        <v>0</v>
      </c>
      <c r="G47" s="1">
        <f t="shared" si="17"/>
        <v>204650</v>
      </c>
      <c r="H47" s="1">
        <f t="shared" si="17"/>
        <v>0</v>
      </c>
      <c r="I47" s="1">
        <f t="shared" si="17"/>
        <v>0</v>
      </c>
      <c r="J47" s="1">
        <f t="shared" si="17"/>
        <v>0</v>
      </c>
      <c r="K47" s="1">
        <f t="shared" si="17"/>
        <v>0</v>
      </c>
      <c r="L47" s="1">
        <f t="shared" si="18"/>
        <v>0</v>
      </c>
      <c r="M47" s="1">
        <f t="shared" si="18"/>
        <v>0</v>
      </c>
      <c r="N47" s="1">
        <f t="shared" si="18"/>
        <v>0</v>
      </c>
      <c r="O47" s="1">
        <f t="shared" si="18"/>
        <v>0</v>
      </c>
      <c r="P47" s="1">
        <f t="shared" si="18"/>
        <v>0</v>
      </c>
      <c r="Q47" s="1">
        <f t="shared" si="18"/>
        <v>0</v>
      </c>
      <c r="R47" s="1">
        <f>SUM(B47:Q47)</f>
        <v>204650</v>
      </c>
    </row>
    <row r="48" spans="1:18" x14ac:dyDescent="0.3">
      <c r="A48" s="3" t="s">
        <v>253</v>
      </c>
      <c r="B48" s="1">
        <f t="shared" ref="B48:R48" si="19">SUBTOTAL(9,B39:B47)</f>
        <v>1040244</v>
      </c>
      <c r="C48" s="1">
        <f t="shared" si="19"/>
        <v>197918</v>
      </c>
      <c r="D48" s="1">
        <f t="shared" si="19"/>
        <v>0</v>
      </c>
      <c r="E48" s="1">
        <f t="shared" si="19"/>
        <v>78453</v>
      </c>
      <c r="F48" s="1">
        <f t="shared" si="19"/>
        <v>1286071</v>
      </c>
      <c r="G48" s="1">
        <f t="shared" si="19"/>
        <v>204650</v>
      </c>
      <c r="H48" s="1">
        <f t="shared" si="19"/>
        <v>0</v>
      </c>
      <c r="I48" s="1">
        <f t="shared" si="19"/>
        <v>0</v>
      </c>
      <c r="J48" s="1">
        <f t="shared" si="19"/>
        <v>0</v>
      </c>
      <c r="K48" s="1">
        <f t="shared" si="19"/>
        <v>0</v>
      </c>
      <c r="L48" s="1">
        <f t="shared" si="19"/>
        <v>0</v>
      </c>
      <c r="M48" s="1">
        <f t="shared" si="19"/>
        <v>0</v>
      </c>
      <c r="N48" s="1">
        <f t="shared" si="19"/>
        <v>0</v>
      </c>
      <c r="O48" s="1">
        <f t="shared" si="19"/>
        <v>0</v>
      </c>
      <c r="P48" s="1">
        <f t="shared" si="19"/>
        <v>0</v>
      </c>
      <c r="Q48" s="1">
        <f t="shared" si="19"/>
        <v>0</v>
      </c>
      <c r="R48" s="1">
        <f t="shared" si="19"/>
        <v>2807336</v>
      </c>
    </row>
    <row r="49" spans="1:18" x14ac:dyDescent="0.3">
      <c r="A49" s="2" t="s">
        <v>138</v>
      </c>
    </row>
    <row r="50" spans="1:18" x14ac:dyDescent="0.3">
      <c r="A50" s="3" t="s">
        <v>479</v>
      </c>
      <c r="B50" s="1">
        <f t="shared" ref="B50:K52" si="20">SUMIFS(RR_Labour,RR_Reporting,$A50,RR_Function,B$38)</f>
        <v>0</v>
      </c>
      <c r="C50" s="1">
        <f t="shared" si="20"/>
        <v>0</v>
      </c>
      <c r="D50" s="1">
        <f t="shared" si="20"/>
        <v>0</v>
      </c>
      <c r="E50" s="1">
        <f t="shared" si="20"/>
        <v>0</v>
      </c>
      <c r="F50" s="1">
        <f t="shared" si="20"/>
        <v>0</v>
      </c>
      <c r="G50" s="1">
        <f t="shared" si="20"/>
        <v>0</v>
      </c>
      <c r="H50" s="1">
        <f t="shared" si="20"/>
        <v>0</v>
      </c>
      <c r="I50" s="1">
        <f t="shared" si="20"/>
        <v>0</v>
      </c>
      <c r="J50" s="1">
        <f t="shared" si="20"/>
        <v>0</v>
      </c>
      <c r="K50" s="1">
        <f t="shared" si="20"/>
        <v>0</v>
      </c>
      <c r="L50" s="1">
        <f t="shared" ref="L50:Q52" si="21">SUMIFS(RR_Labour,RR_Reporting,$A50,RR_Function,L$38)</f>
        <v>0</v>
      </c>
      <c r="M50" s="1">
        <f t="shared" si="21"/>
        <v>0</v>
      </c>
      <c r="N50" s="1">
        <f t="shared" si="21"/>
        <v>0</v>
      </c>
      <c r="O50" s="1">
        <f t="shared" si="21"/>
        <v>0</v>
      </c>
      <c r="P50" s="1">
        <f t="shared" si="21"/>
        <v>0</v>
      </c>
      <c r="Q50" s="1">
        <f t="shared" si="21"/>
        <v>0</v>
      </c>
      <c r="R50" s="1">
        <f>SUM(B50:Q50)</f>
        <v>0</v>
      </c>
    </row>
    <row r="51" spans="1:18" x14ac:dyDescent="0.3">
      <c r="A51" s="47" t="s">
        <v>725</v>
      </c>
      <c r="B51" s="1">
        <f t="shared" si="20"/>
        <v>0</v>
      </c>
      <c r="C51" s="1">
        <f t="shared" si="20"/>
        <v>0</v>
      </c>
      <c r="D51" s="1">
        <f t="shared" si="20"/>
        <v>0</v>
      </c>
      <c r="E51" s="1">
        <f t="shared" si="20"/>
        <v>0</v>
      </c>
      <c r="F51" s="1">
        <f t="shared" si="20"/>
        <v>0</v>
      </c>
      <c r="G51" s="1">
        <f t="shared" si="20"/>
        <v>0</v>
      </c>
      <c r="H51" s="1">
        <f t="shared" si="20"/>
        <v>0</v>
      </c>
      <c r="I51" s="1">
        <f t="shared" si="20"/>
        <v>0</v>
      </c>
      <c r="J51" s="1">
        <f t="shared" si="20"/>
        <v>0</v>
      </c>
      <c r="K51" s="1">
        <f t="shared" si="20"/>
        <v>0</v>
      </c>
      <c r="L51" s="1">
        <f t="shared" si="21"/>
        <v>0</v>
      </c>
      <c r="M51" s="1">
        <f t="shared" si="21"/>
        <v>0</v>
      </c>
      <c r="N51" s="1">
        <f t="shared" si="21"/>
        <v>0</v>
      </c>
      <c r="O51" s="1">
        <f t="shared" si="21"/>
        <v>0</v>
      </c>
      <c r="P51" s="1">
        <f t="shared" si="21"/>
        <v>0</v>
      </c>
      <c r="Q51" s="1">
        <f t="shared" si="21"/>
        <v>0</v>
      </c>
    </row>
    <row r="52" spans="1:18" x14ac:dyDescent="0.3">
      <c r="A52" s="3" t="s">
        <v>480</v>
      </c>
      <c r="B52" s="1">
        <f t="shared" si="20"/>
        <v>0</v>
      </c>
      <c r="C52" s="1">
        <f t="shared" si="20"/>
        <v>0</v>
      </c>
      <c r="D52" s="1">
        <f t="shared" si="20"/>
        <v>0</v>
      </c>
      <c r="E52" s="1">
        <f t="shared" si="20"/>
        <v>0</v>
      </c>
      <c r="F52" s="1">
        <f t="shared" si="20"/>
        <v>0</v>
      </c>
      <c r="G52" s="1">
        <f t="shared" si="20"/>
        <v>0</v>
      </c>
      <c r="H52" s="1">
        <f t="shared" si="20"/>
        <v>0</v>
      </c>
      <c r="I52" s="1">
        <f t="shared" si="20"/>
        <v>0</v>
      </c>
      <c r="J52" s="1">
        <f t="shared" si="20"/>
        <v>0</v>
      </c>
      <c r="K52" s="1">
        <f t="shared" si="20"/>
        <v>0</v>
      </c>
      <c r="L52" s="1">
        <f t="shared" si="21"/>
        <v>0</v>
      </c>
      <c r="M52" s="1">
        <f t="shared" si="21"/>
        <v>0</v>
      </c>
      <c r="N52" s="1">
        <f t="shared" si="21"/>
        <v>0</v>
      </c>
      <c r="O52" s="1">
        <f t="shared" si="21"/>
        <v>0</v>
      </c>
      <c r="P52" s="1">
        <f t="shared" si="21"/>
        <v>0</v>
      </c>
      <c r="Q52" s="1">
        <f t="shared" si="21"/>
        <v>0</v>
      </c>
      <c r="R52" s="1">
        <f>SUM(B52:Q52)</f>
        <v>0</v>
      </c>
    </row>
    <row r="53" spans="1:18" x14ac:dyDescent="0.3">
      <c r="A53" s="3" t="s">
        <v>254</v>
      </c>
      <c r="B53" s="1">
        <f>SUBTOTAL(9,B49:B52)</f>
        <v>0</v>
      </c>
      <c r="C53" s="1">
        <f t="shared" ref="C53:R53" si="22">SUBTOTAL(9,C49:C52)</f>
        <v>0</v>
      </c>
      <c r="D53" s="1">
        <f t="shared" si="22"/>
        <v>0</v>
      </c>
      <c r="E53" s="1">
        <f t="shared" si="22"/>
        <v>0</v>
      </c>
      <c r="F53" s="1">
        <f t="shared" si="22"/>
        <v>0</v>
      </c>
      <c r="G53" s="1">
        <f t="shared" si="22"/>
        <v>0</v>
      </c>
      <c r="H53" s="1">
        <f t="shared" si="22"/>
        <v>0</v>
      </c>
      <c r="I53" s="1">
        <f t="shared" si="22"/>
        <v>0</v>
      </c>
      <c r="J53" s="1">
        <f t="shared" si="22"/>
        <v>0</v>
      </c>
      <c r="K53" s="1">
        <f t="shared" si="22"/>
        <v>0</v>
      </c>
      <c r="L53" s="1">
        <f t="shared" si="22"/>
        <v>0</v>
      </c>
      <c r="M53" s="1">
        <f t="shared" si="22"/>
        <v>0</v>
      </c>
      <c r="N53" s="1">
        <f t="shared" si="22"/>
        <v>0</v>
      </c>
      <c r="O53" s="1">
        <f t="shared" si="22"/>
        <v>0</v>
      </c>
      <c r="P53" s="1">
        <f t="shared" si="22"/>
        <v>0</v>
      </c>
      <c r="Q53" s="1">
        <f t="shared" si="22"/>
        <v>0</v>
      </c>
      <c r="R53" s="1">
        <f t="shared" si="22"/>
        <v>0</v>
      </c>
    </row>
    <row r="54" spans="1:18" x14ac:dyDescent="0.3">
      <c r="A54" s="1" t="s">
        <v>263</v>
      </c>
      <c r="B54" s="1">
        <f t="shared" ref="B54:R54" si="23">SUBTOTAL(9,B39:B53)</f>
        <v>1040244</v>
      </c>
      <c r="C54" s="1">
        <f t="shared" si="23"/>
        <v>197918</v>
      </c>
      <c r="D54" s="1">
        <f t="shared" si="23"/>
        <v>0</v>
      </c>
      <c r="E54" s="1">
        <f t="shared" si="23"/>
        <v>78453</v>
      </c>
      <c r="F54" s="1">
        <f t="shared" si="23"/>
        <v>1286071</v>
      </c>
      <c r="G54" s="1">
        <f t="shared" si="23"/>
        <v>204650</v>
      </c>
      <c r="H54" s="1">
        <f t="shared" si="23"/>
        <v>0</v>
      </c>
      <c r="I54" s="1">
        <f t="shared" si="23"/>
        <v>0</v>
      </c>
      <c r="J54" s="1">
        <f t="shared" si="23"/>
        <v>0</v>
      </c>
      <c r="K54" s="1">
        <f t="shared" si="23"/>
        <v>0</v>
      </c>
      <c r="L54" s="1">
        <f t="shared" si="23"/>
        <v>0</v>
      </c>
      <c r="M54" s="1">
        <f t="shared" si="23"/>
        <v>0</v>
      </c>
      <c r="N54" s="1">
        <f t="shared" si="23"/>
        <v>0</v>
      </c>
      <c r="O54" s="1">
        <f t="shared" si="23"/>
        <v>0</v>
      </c>
      <c r="P54" s="1">
        <f t="shared" si="23"/>
        <v>0</v>
      </c>
      <c r="Q54" s="1">
        <f t="shared" si="23"/>
        <v>0</v>
      </c>
      <c r="R54" s="1">
        <f t="shared" si="23"/>
        <v>2807336</v>
      </c>
    </row>
    <row r="55" spans="1:18" x14ac:dyDescent="0.3">
      <c r="A55" s="1" t="s">
        <v>246</v>
      </c>
      <c r="C55" s="1">
        <f>SUMIFS('6.1'!$L$6:$L$74,Assets_PresHeader,$A55,Assets_BasisFunc,C$38)</f>
        <v>0</v>
      </c>
      <c r="D55" s="1">
        <f>SUMIFS('6.1'!$L$6:$L$74,Assets_PresHeader,$A55,Assets_BasisFunc,D$38)</f>
        <v>0</v>
      </c>
      <c r="E55" s="1">
        <f>SUMIFS('6.1'!$L$6:$L$74,Assets_PresHeader,$A55,Assets_BasisFunc,E$38)</f>
        <v>0</v>
      </c>
      <c r="F55" s="1">
        <f>SUMIFS('6.1'!$L$6:$L$74,Assets_PresHeader,$A55,Assets_BasisFunc,F$38)</f>
        <v>0</v>
      </c>
      <c r="G55" s="1">
        <f>SUMIFS('6.1'!$L$6:$L$74,Assets_PresHeader,$A55,Assets_BasisFunc,G$38)</f>
        <v>0</v>
      </c>
      <c r="H55" s="1">
        <f>SUMIFS('6.1'!$L$6:$L$74,Assets_PresHeader,$A55,Assets_BasisFunc,H$38)</f>
        <v>0</v>
      </c>
      <c r="I55" s="1">
        <f>SUMIFS('6.1'!$L$6:$L$74,Assets_PresHeader,$A55,Assets_BasisFunc,I$38)</f>
        <v>0</v>
      </c>
      <c r="J55" s="1">
        <f>SUMIFS('6.1'!$L$6:$L$74,Assets_PresHeader,$A55,Assets_BasisFunc,J$38)</f>
        <v>0</v>
      </c>
      <c r="K55" s="1">
        <f>SUMIFS('6.1'!$L$6:$L$74,Assets_PresHeader,$A55,Assets_BasisFunc,K$38)</f>
        <v>0</v>
      </c>
      <c r="L55" s="1">
        <f>SUMIFS('6.1'!$L$6:$L$74,Assets_PresHeader,$A55,Assets_BasisFunc,L$38)</f>
        <v>0</v>
      </c>
      <c r="M55" s="1">
        <f>SUMIFS('6.1'!$L$6:$L$74,Assets_PresHeader,$A55,Assets_BasisFunc,M$38)</f>
        <v>0</v>
      </c>
      <c r="N55" s="1">
        <f>SUMIFS('6.1'!$L$6:$L$74,Assets_PresHeader,$A55,Assets_BasisFunc,N$38)</f>
        <v>0</v>
      </c>
      <c r="O55" s="1">
        <f>SUMIFS('6.1'!$L$6:$L$74,Assets_PresHeader,$A55,Assets_BasisFunc,O$38)</f>
        <v>0</v>
      </c>
      <c r="P55" s="1">
        <f>SUMIFS('6.1'!$L$6:$L$74,Assets_PresHeader,$A55,Assets_BasisFunc,P$38)</f>
        <v>0</v>
      </c>
      <c r="Q55" s="1">
        <f>SUMIFS('6.1'!$L$6:$L$74,Assets_PresHeader,$A55,Assets_BasisFunc,Q$38)</f>
        <v>0</v>
      </c>
      <c r="R55" s="1">
        <f>SUM(B55:Q55)</f>
        <v>0</v>
      </c>
    </row>
    <row r="56" spans="1:18" x14ac:dyDescent="0.3">
      <c r="A56" s="3" t="s">
        <v>255</v>
      </c>
      <c r="B56" s="1">
        <f t="shared" ref="B56:K60" si="24">SUMIFS(RR_Labour,RR_Reporting,$A56,RR_Function,B$38)</f>
        <v>0</v>
      </c>
      <c r="C56" s="1">
        <f t="shared" si="24"/>
        <v>0</v>
      </c>
      <c r="D56" s="1">
        <f t="shared" si="24"/>
        <v>0</v>
      </c>
      <c r="E56" s="1">
        <f t="shared" si="24"/>
        <v>0</v>
      </c>
      <c r="F56" s="1">
        <f t="shared" si="24"/>
        <v>0</v>
      </c>
      <c r="G56" s="1">
        <f t="shared" si="24"/>
        <v>0</v>
      </c>
      <c r="H56" s="1">
        <f t="shared" si="24"/>
        <v>0</v>
      </c>
      <c r="I56" s="1">
        <f t="shared" si="24"/>
        <v>0</v>
      </c>
      <c r="J56" s="1">
        <f t="shared" si="24"/>
        <v>0</v>
      </c>
      <c r="K56" s="1">
        <f t="shared" si="24"/>
        <v>0</v>
      </c>
      <c r="L56" s="1">
        <f t="shared" ref="L56:Q60" si="25">SUMIFS(RR_Labour,RR_Reporting,$A56,RR_Function,L$38)</f>
        <v>0</v>
      </c>
      <c r="M56" s="1">
        <f t="shared" si="25"/>
        <v>0</v>
      </c>
      <c r="N56" s="1">
        <f t="shared" si="25"/>
        <v>0</v>
      </c>
      <c r="O56" s="1">
        <f t="shared" si="25"/>
        <v>0</v>
      </c>
      <c r="P56" s="1">
        <f t="shared" si="25"/>
        <v>0</v>
      </c>
      <c r="Q56" s="1">
        <f t="shared" si="25"/>
        <v>0</v>
      </c>
      <c r="R56" s="1">
        <f>SUM(B56:Q56)</f>
        <v>0</v>
      </c>
    </row>
    <row r="57" spans="1:18" x14ac:dyDescent="0.3">
      <c r="A57" s="3" t="s">
        <v>256</v>
      </c>
      <c r="B57" s="1">
        <f t="shared" si="24"/>
        <v>0</v>
      </c>
      <c r="C57" s="1">
        <f t="shared" si="24"/>
        <v>0</v>
      </c>
      <c r="D57" s="1">
        <f t="shared" si="24"/>
        <v>0</v>
      </c>
      <c r="E57" s="1">
        <f t="shared" si="24"/>
        <v>0</v>
      </c>
      <c r="F57" s="1">
        <f t="shared" si="24"/>
        <v>0</v>
      </c>
      <c r="G57" s="1">
        <f t="shared" si="24"/>
        <v>0</v>
      </c>
      <c r="H57" s="1">
        <f t="shared" si="24"/>
        <v>0</v>
      </c>
      <c r="I57" s="1">
        <f t="shared" si="24"/>
        <v>0</v>
      </c>
      <c r="J57" s="1">
        <f t="shared" si="24"/>
        <v>0</v>
      </c>
      <c r="K57" s="1">
        <f t="shared" si="24"/>
        <v>0</v>
      </c>
      <c r="L57" s="1">
        <f t="shared" si="25"/>
        <v>0</v>
      </c>
      <c r="M57" s="1">
        <f t="shared" si="25"/>
        <v>0</v>
      </c>
      <c r="N57" s="1">
        <f t="shared" si="25"/>
        <v>0</v>
      </c>
      <c r="O57" s="1">
        <f t="shared" si="25"/>
        <v>0</v>
      </c>
      <c r="P57" s="1">
        <f t="shared" si="25"/>
        <v>0</v>
      </c>
      <c r="Q57" s="1">
        <f t="shared" si="25"/>
        <v>0</v>
      </c>
      <c r="R57" s="1">
        <f>SUM(B57:Q57)</f>
        <v>0</v>
      </c>
    </row>
    <row r="58" spans="1:18" x14ac:dyDescent="0.3">
      <c r="A58" s="3" t="s">
        <v>257</v>
      </c>
      <c r="B58" s="1">
        <f t="shared" si="24"/>
        <v>0</v>
      </c>
      <c r="C58" s="1">
        <f t="shared" si="24"/>
        <v>0</v>
      </c>
      <c r="D58" s="1">
        <f t="shared" si="24"/>
        <v>0</v>
      </c>
      <c r="E58" s="1">
        <f t="shared" si="24"/>
        <v>0</v>
      </c>
      <c r="F58" s="1">
        <f t="shared" si="24"/>
        <v>0</v>
      </c>
      <c r="G58" s="1">
        <f t="shared" si="24"/>
        <v>0</v>
      </c>
      <c r="H58" s="1">
        <f t="shared" si="24"/>
        <v>0</v>
      </c>
      <c r="I58" s="1">
        <f t="shared" si="24"/>
        <v>0</v>
      </c>
      <c r="J58" s="1">
        <f t="shared" si="24"/>
        <v>0</v>
      </c>
      <c r="K58" s="1">
        <f t="shared" si="24"/>
        <v>0</v>
      </c>
      <c r="L58" s="1">
        <f t="shared" si="25"/>
        <v>0</v>
      </c>
      <c r="M58" s="1">
        <f t="shared" si="25"/>
        <v>0</v>
      </c>
      <c r="N58" s="1">
        <f t="shared" si="25"/>
        <v>0</v>
      </c>
      <c r="O58" s="1">
        <f t="shared" si="25"/>
        <v>0</v>
      </c>
      <c r="P58" s="1">
        <f t="shared" si="25"/>
        <v>0</v>
      </c>
      <c r="Q58" s="1">
        <f t="shared" si="25"/>
        <v>0</v>
      </c>
      <c r="R58" s="1">
        <f>SUM(B58:Q58)</f>
        <v>0</v>
      </c>
    </row>
    <row r="59" spans="1:18" x14ac:dyDescent="0.3">
      <c r="A59" s="47" t="s">
        <v>728</v>
      </c>
      <c r="B59" s="1">
        <f t="shared" si="24"/>
        <v>0</v>
      </c>
      <c r="C59" s="1">
        <f t="shared" si="24"/>
        <v>0</v>
      </c>
      <c r="D59" s="1">
        <f t="shared" si="24"/>
        <v>0</v>
      </c>
      <c r="E59" s="1">
        <f t="shared" si="24"/>
        <v>0</v>
      </c>
      <c r="F59" s="1">
        <f t="shared" si="24"/>
        <v>0</v>
      </c>
      <c r="G59" s="1">
        <f t="shared" si="24"/>
        <v>0</v>
      </c>
      <c r="H59" s="1">
        <f t="shared" si="24"/>
        <v>0</v>
      </c>
      <c r="I59" s="1">
        <f t="shared" si="24"/>
        <v>0</v>
      </c>
      <c r="J59" s="1">
        <f t="shared" si="24"/>
        <v>0</v>
      </c>
      <c r="K59" s="1">
        <f t="shared" si="24"/>
        <v>0</v>
      </c>
      <c r="L59" s="1">
        <f t="shared" si="25"/>
        <v>0</v>
      </c>
      <c r="M59" s="1">
        <f t="shared" si="25"/>
        <v>0</v>
      </c>
      <c r="N59" s="1">
        <f t="shared" si="25"/>
        <v>0</v>
      </c>
      <c r="O59" s="1">
        <f t="shared" si="25"/>
        <v>0</v>
      </c>
      <c r="P59" s="1">
        <f t="shared" si="25"/>
        <v>0</v>
      </c>
      <c r="Q59" s="1">
        <f t="shared" si="25"/>
        <v>0</v>
      </c>
      <c r="R59" s="1">
        <f>SUM(B59:Q59)</f>
        <v>0</v>
      </c>
    </row>
    <row r="60" spans="1:18" x14ac:dyDescent="0.3">
      <c r="A60" s="3" t="s">
        <v>258</v>
      </c>
      <c r="B60" s="1">
        <f t="shared" si="24"/>
        <v>0</v>
      </c>
      <c r="C60" s="1">
        <f t="shared" si="24"/>
        <v>0</v>
      </c>
      <c r="D60" s="1">
        <f t="shared" si="24"/>
        <v>0</v>
      </c>
      <c r="E60" s="1">
        <f t="shared" si="24"/>
        <v>0</v>
      </c>
      <c r="F60" s="1">
        <f t="shared" si="24"/>
        <v>0</v>
      </c>
      <c r="G60" s="1">
        <f t="shared" si="24"/>
        <v>0</v>
      </c>
      <c r="H60" s="1">
        <f t="shared" si="24"/>
        <v>0</v>
      </c>
      <c r="I60" s="1">
        <f t="shared" si="24"/>
        <v>0</v>
      </c>
      <c r="J60" s="1">
        <f t="shared" si="24"/>
        <v>0</v>
      </c>
      <c r="K60" s="1">
        <f t="shared" si="24"/>
        <v>0</v>
      </c>
      <c r="L60" s="1">
        <f t="shared" si="25"/>
        <v>0</v>
      </c>
      <c r="M60" s="1">
        <f t="shared" si="25"/>
        <v>0</v>
      </c>
      <c r="N60" s="1">
        <f t="shared" si="25"/>
        <v>0</v>
      </c>
      <c r="O60" s="1">
        <f t="shared" si="25"/>
        <v>0</v>
      </c>
      <c r="P60" s="1">
        <f t="shared" si="25"/>
        <v>0</v>
      </c>
      <c r="Q60" s="1">
        <f t="shared" si="25"/>
        <v>0</v>
      </c>
      <c r="R60" s="1">
        <f>SUM(B60:Q60)</f>
        <v>0</v>
      </c>
    </row>
    <row r="61" spans="1:18" x14ac:dyDescent="0.3">
      <c r="A61" s="3" t="s">
        <v>259</v>
      </c>
      <c r="B61" s="1">
        <f>SUBTOTAL(9,B55:B60)</f>
        <v>0</v>
      </c>
      <c r="C61" s="1">
        <f t="shared" ref="C61:R61" si="26">SUBTOTAL(9,C55:C60)</f>
        <v>0</v>
      </c>
      <c r="D61" s="1">
        <f t="shared" si="26"/>
        <v>0</v>
      </c>
      <c r="E61" s="1">
        <f t="shared" si="26"/>
        <v>0</v>
      </c>
      <c r="F61" s="1">
        <f t="shared" si="26"/>
        <v>0</v>
      </c>
      <c r="G61" s="1">
        <f t="shared" si="26"/>
        <v>0</v>
      </c>
      <c r="H61" s="1">
        <f t="shared" si="26"/>
        <v>0</v>
      </c>
      <c r="I61" s="1">
        <f t="shared" si="26"/>
        <v>0</v>
      </c>
      <c r="J61" s="1">
        <f t="shared" si="26"/>
        <v>0</v>
      </c>
      <c r="K61" s="1">
        <f t="shared" si="26"/>
        <v>0</v>
      </c>
      <c r="L61" s="1">
        <f t="shared" si="26"/>
        <v>0</v>
      </c>
      <c r="M61" s="1">
        <f t="shared" si="26"/>
        <v>0</v>
      </c>
      <c r="N61" s="1">
        <f t="shared" si="26"/>
        <v>0</v>
      </c>
      <c r="O61" s="1">
        <f t="shared" si="26"/>
        <v>0</v>
      </c>
      <c r="P61" s="1">
        <f t="shared" si="26"/>
        <v>0</v>
      </c>
      <c r="Q61" s="1">
        <f t="shared" si="26"/>
        <v>0</v>
      </c>
      <c r="R61" s="1">
        <f t="shared" si="26"/>
        <v>0</v>
      </c>
    </row>
    <row r="62" spans="1:18" x14ac:dyDescent="0.3">
      <c r="A62" s="1" t="s">
        <v>260</v>
      </c>
      <c r="B62" s="1">
        <f>SUBTOTAL(9,B63:B64)</f>
        <v>0</v>
      </c>
      <c r="C62" s="1">
        <f t="shared" ref="C62:R62" si="27">SUBTOTAL(9,C63:C64)</f>
        <v>0</v>
      </c>
      <c r="D62" s="1">
        <f t="shared" si="27"/>
        <v>0</v>
      </c>
      <c r="E62" s="1">
        <f t="shared" si="27"/>
        <v>0</v>
      </c>
      <c r="F62" s="1">
        <f t="shared" si="27"/>
        <v>0</v>
      </c>
      <c r="G62" s="1">
        <f t="shared" si="27"/>
        <v>0</v>
      </c>
      <c r="H62" s="1">
        <f t="shared" si="27"/>
        <v>0</v>
      </c>
      <c r="I62" s="1">
        <f t="shared" si="27"/>
        <v>0</v>
      </c>
      <c r="J62" s="1">
        <f t="shared" si="27"/>
        <v>0</v>
      </c>
      <c r="K62" s="1">
        <f t="shared" si="27"/>
        <v>0</v>
      </c>
      <c r="L62" s="1">
        <f t="shared" si="27"/>
        <v>0</v>
      </c>
      <c r="M62" s="1">
        <f t="shared" si="27"/>
        <v>0</v>
      </c>
      <c r="N62" s="1">
        <f t="shared" si="27"/>
        <v>0</v>
      </c>
      <c r="O62" s="1">
        <f t="shared" si="27"/>
        <v>0</v>
      </c>
      <c r="P62" s="1">
        <f t="shared" si="27"/>
        <v>0</v>
      </c>
      <c r="Q62" s="1">
        <f t="shared" si="27"/>
        <v>0</v>
      </c>
      <c r="R62" s="1">
        <f t="shared" si="27"/>
        <v>0</v>
      </c>
    </row>
    <row r="63" spans="1:18" x14ac:dyDescent="0.3">
      <c r="A63" s="1" t="s">
        <v>261</v>
      </c>
      <c r="B63" s="1">
        <f t="shared" ref="B63:K67" si="28">SUMIFS(RR_Labour,RR_Reporting,$A63,RR_Function,B$38)</f>
        <v>0</v>
      </c>
      <c r="C63" s="1">
        <f t="shared" si="28"/>
        <v>0</v>
      </c>
      <c r="D63" s="1">
        <f t="shared" si="28"/>
        <v>0</v>
      </c>
      <c r="E63" s="1">
        <f t="shared" si="28"/>
        <v>0</v>
      </c>
      <c r="F63" s="1">
        <f t="shared" si="28"/>
        <v>0</v>
      </c>
      <c r="G63" s="1">
        <f t="shared" si="28"/>
        <v>0</v>
      </c>
      <c r="H63" s="1">
        <f t="shared" si="28"/>
        <v>0</v>
      </c>
      <c r="I63" s="1">
        <f t="shared" si="28"/>
        <v>0</v>
      </c>
      <c r="J63" s="1">
        <f t="shared" si="28"/>
        <v>0</v>
      </c>
      <c r="K63" s="1">
        <f t="shared" si="28"/>
        <v>0</v>
      </c>
      <c r="L63" s="1">
        <f t="shared" ref="L63:Q67" si="29">SUMIFS(RR_Labour,RR_Reporting,$A63,RR_Function,L$38)</f>
        <v>0</v>
      </c>
      <c r="M63" s="1">
        <f t="shared" si="29"/>
        <v>0</v>
      </c>
      <c r="N63" s="1">
        <f t="shared" si="29"/>
        <v>0</v>
      </c>
      <c r="O63" s="1">
        <f t="shared" si="29"/>
        <v>0</v>
      </c>
      <c r="P63" s="1">
        <f t="shared" si="29"/>
        <v>0</v>
      </c>
      <c r="Q63" s="1">
        <f t="shared" si="29"/>
        <v>0</v>
      </c>
      <c r="R63" s="1">
        <f>SUM(B63:Q63)</f>
        <v>0</v>
      </c>
    </row>
    <row r="64" spans="1:18" x14ac:dyDescent="0.3">
      <c r="A64" s="1" t="s">
        <v>606</v>
      </c>
      <c r="B64" s="1">
        <f t="shared" si="28"/>
        <v>0</v>
      </c>
      <c r="C64" s="1">
        <f t="shared" si="28"/>
        <v>0</v>
      </c>
      <c r="D64" s="1">
        <f t="shared" si="28"/>
        <v>0</v>
      </c>
      <c r="E64" s="1">
        <f t="shared" si="28"/>
        <v>0</v>
      </c>
      <c r="F64" s="1">
        <f t="shared" si="28"/>
        <v>0</v>
      </c>
      <c r="G64" s="1">
        <f t="shared" si="28"/>
        <v>0</v>
      </c>
      <c r="H64" s="1">
        <f t="shared" si="28"/>
        <v>0</v>
      </c>
      <c r="I64" s="1">
        <f t="shared" si="28"/>
        <v>0</v>
      </c>
      <c r="J64" s="1">
        <f t="shared" si="28"/>
        <v>0</v>
      </c>
      <c r="K64" s="1">
        <f t="shared" si="28"/>
        <v>0</v>
      </c>
      <c r="L64" s="1">
        <f t="shared" si="29"/>
        <v>0</v>
      </c>
      <c r="M64" s="1">
        <f t="shared" si="29"/>
        <v>0</v>
      </c>
      <c r="N64" s="1">
        <f t="shared" si="29"/>
        <v>0</v>
      </c>
      <c r="O64" s="1">
        <f t="shared" si="29"/>
        <v>0</v>
      </c>
      <c r="P64" s="1">
        <f t="shared" si="29"/>
        <v>0</v>
      </c>
      <c r="Q64" s="1">
        <f t="shared" si="29"/>
        <v>0</v>
      </c>
      <c r="R64" s="1">
        <f>SUM(B64:Q64)</f>
        <v>0</v>
      </c>
    </row>
    <row r="65" spans="1:18" x14ac:dyDescent="0.3">
      <c r="A65" s="1" t="s">
        <v>629</v>
      </c>
      <c r="B65" s="1">
        <f t="shared" ref="B65:R65" si="30">SUBTOTAL(9,B39:B64)</f>
        <v>1040244</v>
      </c>
      <c r="C65" s="1">
        <f t="shared" si="30"/>
        <v>197918</v>
      </c>
      <c r="D65" s="1">
        <f t="shared" si="30"/>
        <v>0</v>
      </c>
      <c r="E65" s="1">
        <f t="shared" si="30"/>
        <v>78453</v>
      </c>
      <c r="F65" s="1">
        <f t="shared" si="30"/>
        <v>1286071</v>
      </c>
      <c r="G65" s="1">
        <f t="shared" si="30"/>
        <v>204650</v>
      </c>
      <c r="H65" s="1">
        <f t="shared" si="30"/>
        <v>0</v>
      </c>
      <c r="I65" s="1">
        <f t="shared" si="30"/>
        <v>0</v>
      </c>
      <c r="J65" s="1">
        <f t="shared" si="30"/>
        <v>0</v>
      </c>
      <c r="K65" s="1">
        <f t="shared" si="30"/>
        <v>0</v>
      </c>
      <c r="L65" s="1">
        <f t="shared" si="30"/>
        <v>0</v>
      </c>
      <c r="M65" s="1">
        <f t="shared" si="30"/>
        <v>0</v>
      </c>
      <c r="N65" s="1">
        <f t="shared" si="30"/>
        <v>0</v>
      </c>
      <c r="O65" s="1">
        <f t="shared" si="30"/>
        <v>0</v>
      </c>
      <c r="P65" s="1">
        <f t="shared" si="30"/>
        <v>0</v>
      </c>
      <c r="Q65" s="1">
        <f t="shared" si="30"/>
        <v>0</v>
      </c>
      <c r="R65" s="1">
        <f t="shared" si="30"/>
        <v>2807336</v>
      </c>
    </row>
    <row r="66" spans="1:18" x14ac:dyDescent="0.3">
      <c r="A66" s="1" t="s">
        <v>632</v>
      </c>
      <c r="B66" s="1">
        <f t="shared" si="28"/>
        <v>0</v>
      </c>
      <c r="C66" s="1">
        <f t="shared" si="28"/>
        <v>0</v>
      </c>
      <c r="D66" s="1">
        <f t="shared" si="28"/>
        <v>0</v>
      </c>
      <c r="E66" s="1">
        <f t="shared" si="28"/>
        <v>0</v>
      </c>
      <c r="F66" s="1">
        <f t="shared" si="28"/>
        <v>0</v>
      </c>
      <c r="G66" s="1">
        <f t="shared" si="28"/>
        <v>0</v>
      </c>
      <c r="H66" s="1">
        <f t="shared" si="28"/>
        <v>0</v>
      </c>
      <c r="I66" s="1">
        <f t="shared" si="28"/>
        <v>0</v>
      </c>
      <c r="J66" s="1">
        <f t="shared" si="28"/>
        <v>0</v>
      </c>
      <c r="K66" s="1">
        <f t="shared" si="28"/>
        <v>0</v>
      </c>
      <c r="L66" s="1">
        <f t="shared" si="29"/>
        <v>0</v>
      </c>
      <c r="M66" s="1">
        <f t="shared" si="29"/>
        <v>0</v>
      </c>
      <c r="N66" s="1">
        <f t="shared" si="29"/>
        <v>0</v>
      </c>
      <c r="O66" s="1">
        <f t="shared" si="29"/>
        <v>0</v>
      </c>
      <c r="P66" s="1">
        <f t="shared" si="29"/>
        <v>0</v>
      </c>
      <c r="Q66" s="1">
        <f t="shared" si="29"/>
        <v>0</v>
      </c>
      <c r="R66" s="1">
        <f>SUM(B66:Q66)</f>
        <v>0</v>
      </c>
    </row>
    <row r="67" spans="1:18" x14ac:dyDescent="0.3">
      <c r="A67" s="1" t="s">
        <v>631</v>
      </c>
      <c r="B67" s="1">
        <f t="shared" si="28"/>
        <v>0</v>
      </c>
      <c r="C67" s="1">
        <f t="shared" si="28"/>
        <v>0</v>
      </c>
      <c r="D67" s="1">
        <f t="shared" si="28"/>
        <v>0</v>
      </c>
      <c r="E67" s="1">
        <f t="shared" si="28"/>
        <v>0</v>
      </c>
      <c r="F67" s="1">
        <f t="shared" si="28"/>
        <v>0</v>
      </c>
      <c r="G67" s="1">
        <f t="shared" si="28"/>
        <v>0</v>
      </c>
      <c r="H67" s="1">
        <f t="shared" si="28"/>
        <v>0</v>
      </c>
      <c r="I67" s="1">
        <f t="shared" si="28"/>
        <v>0</v>
      </c>
      <c r="J67" s="1">
        <f t="shared" si="28"/>
        <v>0</v>
      </c>
      <c r="K67" s="1">
        <f t="shared" si="28"/>
        <v>0</v>
      </c>
      <c r="L67" s="1">
        <f t="shared" si="29"/>
        <v>0</v>
      </c>
      <c r="M67" s="1">
        <f t="shared" si="29"/>
        <v>0</v>
      </c>
      <c r="N67" s="1">
        <f t="shared" si="29"/>
        <v>0</v>
      </c>
      <c r="O67" s="1">
        <f t="shared" si="29"/>
        <v>0</v>
      </c>
      <c r="P67" s="1">
        <f t="shared" si="29"/>
        <v>0</v>
      </c>
      <c r="Q67" s="1">
        <f t="shared" si="29"/>
        <v>0</v>
      </c>
      <c r="R67" s="1">
        <f>SUM(B67:Q67)</f>
        <v>0</v>
      </c>
    </row>
    <row r="68" spans="1:18" x14ac:dyDescent="0.3">
      <c r="A68" s="1" t="s">
        <v>630</v>
      </c>
      <c r="B68" s="1">
        <f t="shared" ref="B68:R68" si="31">SUBTOTAL(9,B39:B67)</f>
        <v>1040244</v>
      </c>
      <c r="C68" s="1">
        <f t="shared" si="31"/>
        <v>197918</v>
      </c>
      <c r="D68" s="1">
        <f t="shared" si="31"/>
        <v>0</v>
      </c>
      <c r="E68" s="1">
        <f t="shared" si="31"/>
        <v>78453</v>
      </c>
      <c r="F68" s="1">
        <f t="shared" si="31"/>
        <v>1286071</v>
      </c>
      <c r="G68" s="1">
        <f t="shared" si="31"/>
        <v>204650</v>
      </c>
      <c r="H68" s="1">
        <f t="shared" si="31"/>
        <v>0</v>
      </c>
      <c r="I68" s="1">
        <f t="shared" si="31"/>
        <v>0</v>
      </c>
      <c r="J68" s="1">
        <f t="shared" si="31"/>
        <v>0</v>
      </c>
      <c r="K68" s="1">
        <f t="shared" si="31"/>
        <v>0</v>
      </c>
      <c r="L68" s="1">
        <f t="shared" si="31"/>
        <v>0</v>
      </c>
      <c r="M68" s="1">
        <f t="shared" si="31"/>
        <v>0</v>
      </c>
      <c r="N68" s="1">
        <f t="shared" si="31"/>
        <v>0</v>
      </c>
      <c r="O68" s="1">
        <f t="shared" si="31"/>
        <v>0</v>
      </c>
      <c r="P68" s="1">
        <f t="shared" si="31"/>
        <v>0</v>
      </c>
      <c r="Q68" s="1">
        <f t="shared" si="31"/>
        <v>0</v>
      </c>
      <c r="R68" s="1">
        <f t="shared" si="31"/>
        <v>2807336</v>
      </c>
    </row>
    <row r="70" spans="1:18" x14ac:dyDescent="0.3">
      <c r="A70" s="1" t="s">
        <v>229</v>
      </c>
    </row>
    <row r="71" spans="1:18" s="9" customFormat="1" ht="54" x14ac:dyDescent="0.25">
      <c r="B71" s="17" t="str">
        <f t="array" ref="B71:Q71">TRANSPOSE(List_Functions)</f>
        <v>Generation</v>
      </c>
      <c r="C71" s="17" t="str">
        <v>Purchased Power</v>
      </c>
      <c r="D71" s="17" t="str">
        <v>Transmission</v>
      </c>
      <c r="E71" s="17" t="str">
        <v>Substations</v>
      </c>
      <c r="F71" s="17" t="str">
        <v>Primary Lines</v>
      </c>
      <c r="G71" s="17" t="str">
        <v>Transformers</v>
      </c>
      <c r="H71" s="17" t="str">
        <v>Secondary Lines</v>
      </c>
      <c r="I71" s="17" t="str">
        <v>Service Lines</v>
      </c>
      <c r="J71" s="17" t="str">
        <v>Meter Assets</v>
      </c>
      <c r="K71" s="17" t="str">
        <v>Meter Reading</v>
      </c>
      <c r="L71" s="17" t="str">
        <v>Billing</v>
      </c>
      <c r="M71" s="17" t="str">
        <v>Remittance &amp; Collection</v>
      </c>
      <c r="N71" s="17" t="str">
        <v>Uncollectibles &amp; Damage Claims</v>
      </c>
      <c r="O71" s="17" t="str">
        <v>Service Connections</v>
      </c>
      <c r="P71" s="17" t="str">
        <v>Late Payments</v>
      </c>
      <c r="Q71" s="17" t="str">
        <v>Lighting</v>
      </c>
      <c r="R71" s="17" t="s">
        <v>214</v>
      </c>
    </row>
    <row r="72" spans="1:18" x14ac:dyDescent="0.3">
      <c r="A72" s="1" t="s">
        <v>200</v>
      </c>
      <c r="B72" s="30">
        <f t="shared" ref="B72:Q76" si="32">VLOOKUP($A72,Table_FunctionAllocators,COLUMN(),FALSE)</f>
        <v>8.3333333333333356E-2</v>
      </c>
      <c r="C72" s="30">
        <f t="shared" si="32"/>
        <v>0.16666666666666671</v>
      </c>
      <c r="D72" s="30">
        <f t="shared" si="32"/>
        <v>0.25000000000000006</v>
      </c>
      <c r="E72" s="30">
        <f t="shared" si="32"/>
        <v>0.25000000000000006</v>
      </c>
      <c r="F72" s="30">
        <f t="shared" si="32"/>
        <v>8.3333333333333356E-2</v>
      </c>
      <c r="G72" s="30">
        <f t="shared" si="32"/>
        <v>8.3333333333333356E-2</v>
      </c>
      <c r="H72" s="30">
        <f t="shared" si="32"/>
        <v>8.3333333333333356E-2</v>
      </c>
      <c r="I72" s="30">
        <f t="shared" si="32"/>
        <v>0</v>
      </c>
      <c r="J72" s="30">
        <f t="shared" si="32"/>
        <v>0</v>
      </c>
      <c r="K72" s="30">
        <f t="shared" si="32"/>
        <v>0</v>
      </c>
      <c r="L72" s="30">
        <f t="shared" si="32"/>
        <v>0</v>
      </c>
      <c r="M72" s="30">
        <f t="shared" si="32"/>
        <v>0</v>
      </c>
      <c r="N72" s="30">
        <f t="shared" si="32"/>
        <v>0</v>
      </c>
      <c r="O72" s="30">
        <f t="shared" si="32"/>
        <v>0</v>
      </c>
      <c r="P72" s="30">
        <f t="shared" si="32"/>
        <v>0</v>
      </c>
      <c r="Q72" s="30">
        <f t="shared" si="32"/>
        <v>0</v>
      </c>
      <c r="R72" s="18">
        <f t="shared" ref="R72:R77" si="33">SUM(B72:Q72)</f>
        <v>1.0000000000000002</v>
      </c>
    </row>
    <row r="73" spans="1:18" x14ac:dyDescent="0.3">
      <c r="A73" s="1" t="s">
        <v>201</v>
      </c>
      <c r="B73" s="30">
        <f t="shared" si="32"/>
        <v>0.25000000000000006</v>
      </c>
      <c r="C73" s="30">
        <f t="shared" si="32"/>
        <v>0</v>
      </c>
      <c r="D73" s="30">
        <f t="shared" si="32"/>
        <v>0.25000000000000006</v>
      </c>
      <c r="E73" s="30">
        <f t="shared" si="32"/>
        <v>0.25000000000000006</v>
      </c>
      <c r="F73" s="30">
        <f t="shared" si="32"/>
        <v>8.3333333333333356E-2</v>
      </c>
      <c r="G73" s="30">
        <f t="shared" si="32"/>
        <v>8.3333333333333356E-2</v>
      </c>
      <c r="H73" s="30">
        <f t="shared" si="32"/>
        <v>8.3333333333333356E-2</v>
      </c>
      <c r="I73" s="30">
        <f t="shared" si="32"/>
        <v>0</v>
      </c>
      <c r="J73" s="30">
        <f t="shared" si="32"/>
        <v>0</v>
      </c>
      <c r="K73" s="30">
        <f t="shared" si="32"/>
        <v>0</v>
      </c>
      <c r="L73" s="30">
        <f t="shared" ref="L73:Q76" si="34">VLOOKUP($A73,Table_FunctionAllocators,COLUMN(),FALSE)</f>
        <v>0</v>
      </c>
      <c r="M73" s="30">
        <f t="shared" si="34"/>
        <v>0</v>
      </c>
      <c r="N73" s="30">
        <f t="shared" si="34"/>
        <v>0</v>
      </c>
      <c r="O73" s="30">
        <f t="shared" si="34"/>
        <v>0</v>
      </c>
      <c r="P73" s="30">
        <f t="shared" si="34"/>
        <v>0</v>
      </c>
      <c r="Q73" s="30">
        <f t="shared" si="34"/>
        <v>0</v>
      </c>
      <c r="R73" s="18">
        <f t="shared" si="33"/>
        <v>1.0000000000000002</v>
      </c>
    </row>
    <row r="74" spans="1:18" x14ac:dyDescent="0.3">
      <c r="A74" s="1" t="s">
        <v>208</v>
      </c>
      <c r="B74" s="30">
        <f t="shared" si="32"/>
        <v>0</v>
      </c>
      <c r="C74" s="30">
        <f t="shared" si="32"/>
        <v>0</v>
      </c>
      <c r="D74" s="30">
        <f t="shared" si="32"/>
        <v>0.21141959316939007</v>
      </c>
      <c r="E74" s="30">
        <f t="shared" si="32"/>
        <v>8.0216370176262028E-2</v>
      </c>
      <c r="F74" s="30">
        <f t="shared" si="32"/>
        <v>0.26952200648450569</v>
      </c>
      <c r="G74" s="30">
        <f t="shared" si="32"/>
        <v>0.16831887897827269</v>
      </c>
      <c r="H74" s="30">
        <f t="shared" si="32"/>
        <v>9.1413546973513976E-2</v>
      </c>
      <c r="I74" s="30">
        <f t="shared" si="32"/>
        <v>0.13542361551303328</v>
      </c>
      <c r="J74" s="30">
        <f t="shared" si="32"/>
        <v>2.7628307452129089E-2</v>
      </c>
      <c r="K74" s="30">
        <f t="shared" si="32"/>
        <v>0</v>
      </c>
      <c r="L74" s="30">
        <f t="shared" si="34"/>
        <v>0</v>
      </c>
      <c r="M74" s="30">
        <f t="shared" si="34"/>
        <v>0</v>
      </c>
      <c r="N74" s="30">
        <f t="shared" si="34"/>
        <v>0</v>
      </c>
      <c r="O74" s="30">
        <f t="shared" si="34"/>
        <v>0</v>
      </c>
      <c r="P74" s="30">
        <f t="shared" si="34"/>
        <v>0</v>
      </c>
      <c r="Q74" s="30">
        <f t="shared" si="34"/>
        <v>1.6057681252893231E-2</v>
      </c>
      <c r="R74" s="18">
        <f t="shared" si="33"/>
        <v>1.0000000000000002</v>
      </c>
    </row>
    <row r="75" spans="1:18" x14ac:dyDescent="0.3">
      <c r="A75" s="1" t="s">
        <v>191</v>
      </c>
      <c r="B75" s="30">
        <f t="shared" si="32"/>
        <v>0</v>
      </c>
      <c r="C75" s="30">
        <f t="shared" si="32"/>
        <v>0</v>
      </c>
      <c r="D75" s="30">
        <f t="shared" si="32"/>
        <v>0</v>
      </c>
      <c r="E75" s="30">
        <f t="shared" si="32"/>
        <v>0</v>
      </c>
      <c r="F75" s="30">
        <f t="shared" si="32"/>
        <v>0.52622341571925935</v>
      </c>
      <c r="G75" s="30">
        <f t="shared" si="32"/>
        <v>0</v>
      </c>
      <c r="H75" s="30">
        <f t="shared" si="32"/>
        <v>0.17540780523975311</v>
      </c>
      <c r="I75" s="30">
        <f t="shared" si="32"/>
        <v>0.26674038100146935</v>
      </c>
      <c r="J75" s="30">
        <f t="shared" si="32"/>
        <v>0</v>
      </c>
      <c r="K75" s="30">
        <f t="shared" si="32"/>
        <v>0</v>
      </c>
      <c r="L75" s="30">
        <f t="shared" si="34"/>
        <v>0</v>
      </c>
      <c r="M75" s="30">
        <f t="shared" si="34"/>
        <v>0</v>
      </c>
      <c r="N75" s="30">
        <f t="shared" si="34"/>
        <v>0</v>
      </c>
      <c r="O75" s="30">
        <f t="shared" si="34"/>
        <v>0</v>
      </c>
      <c r="P75" s="30">
        <f t="shared" si="34"/>
        <v>0</v>
      </c>
      <c r="Q75" s="30">
        <f t="shared" si="34"/>
        <v>3.1628398039518231E-2</v>
      </c>
      <c r="R75" s="18">
        <f t="shared" si="33"/>
        <v>1</v>
      </c>
    </row>
    <row r="76" spans="1:18" x14ac:dyDescent="0.3">
      <c r="A76" s="1" t="s">
        <v>207</v>
      </c>
      <c r="B76" s="30">
        <f t="shared" si="32"/>
        <v>0</v>
      </c>
      <c r="C76" s="30">
        <f t="shared" si="32"/>
        <v>0</v>
      </c>
      <c r="D76" s="30">
        <f t="shared" si="32"/>
        <v>0</v>
      </c>
      <c r="E76" s="30">
        <f t="shared" si="32"/>
        <v>0.12285669081634128</v>
      </c>
      <c r="F76" s="30">
        <f t="shared" si="32"/>
        <v>0.44877541210313276</v>
      </c>
      <c r="G76" s="30">
        <f t="shared" si="32"/>
        <v>0.27877609304614837</v>
      </c>
      <c r="H76" s="30">
        <f t="shared" si="32"/>
        <v>0.14959180403437758</v>
      </c>
      <c r="I76" s="30">
        <f t="shared" si="32"/>
        <v>0</v>
      </c>
      <c r="J76" s="30">
        <f t="shared" si="32"/>
        <v>0</v>
      </c>
      <c r="K76" s="30">
        <f t="shared" si="32"/>
        <v>0</v>
      </c>
      <c r="L76" s="30">
        <f t="shared" si="34"/>
        <v>0</v>
      </c>
      <c r="M76" s="30">
        <f t="shared" si="34"/>
        <v>0</v>
      </c>
      <c r="N76" s="30">
        <f t="shared" si="34"/>
        <v>0</v>
      </c>
      <c r="O76" s="30">
        <f t="shared" si="34"/>
        <v>0</v>
      </c>
      <c r="P76" s="30">
        <f t="shared" si="34"/>
        <v>0</v>
      </c>
      <c r="Q76" s="30">
        <f t="shared" si="34"/>
        <v>0</v>
      </c>
      <c r="R76" s="18">
        <f t="shared" si="33"/>
        <v>1</v>
      </c>
    </row>
    <row r="77" spans="1:18" x14ac:dyDescent="0.3">
      <c r="A77" s="1" t="s">
        <v>577</v>
      </c>
      <c r="B77" s="30">
        <f>1/16</f>
        <v>6.25E-2</v>
      </c>
      <c r="C77" s="30">
        <f t="shared" ref="C77:Q77" si="35">1/16</f>
        <v>6.25E-2</v>
      </c>
      <c r="D77" s="30">
        <f t="shared" si="35"/>
        <v>6.25E-2</v>
      </c>
      <c r="E77" s="30">
        <f t="shared" si="35"/>
        <v>6.25E-2</v>
      </c>
      <c r="F77" s="30">
        <f t="shared" si="35"/>
        <v>6.25E-2</v>
      </c>
      <c r="G77" s="30">
        <f t="shared" si="35"/>
        <v>6.25E-2</v>
      </c>
      <c r="H77" s="30">
        <f t="shared" si="35"/>
        <v>6.25E-2</v>
      </c>
      <c r="I77" s="30">
        <f t="shared" si="35"/>
        <v>6.25E-2</v>
      </c>
      <c r="J77" s="30">
        <f t="shared" si="35"/>
        <v>6.25E-2</v>
      </c>
      <c r="K77" s="30">
        <f t="shared" si="35"/>
        <v>6.25E-2</v>
      </c>
      <c r="L77" s="30">
        <f t="shared" si="35"/>
        <v>6.25E-2</v>
      </c>
      <c r="M77" s="30">
        <f t="shared" si="35"/>
        <v>6.25E-2</v>
      </c>
      <c r="N77" s="30">
        <f t="shared" si="35"/>
        <v>6.25E-2</v>
      </c>
      <c r="O77" s="30">
        <f t="shared" si="35"/>
        <v>6.25E-2</v>
      </c>
      <c r="P77" s="30">
        <f t="shared" si="35"/>
        <v>6.25E-2</v>
      </c>
      <c r="Q77" s="30">
        <f t="shared" si="35"/>
        <v>6.25E-2</v>
      </c>
      <c r="R77" s="18">
        <f t="shared" si="33"/>
        <v>1</v>
      </c>
    </row>
    <row r="79" spans="1:18" x14ac:dyDescent="0.3">
      <c r="A79" s="1" t="s">
        <v>237</v>
      </c>
    </row>
    <row r="80" spans="1:18" s="9" customFormat="1" ht="54" x14ac:dyDescent="0.25">
      <c r="B80" s="17" t="str">
        <f t="array" ref="B80:Q80">TRANSPOSE(List_Functions)</f>
        <v>Generation</v>
      </c>
      <c r="C80" s="17" t="str">
        <v>Purchased Power</v>
      </c>
      <c r="D80" s="17" t="str">
        <v>Transmission</v>
      </c>
      <c r="E80" s="17" t="str">
        <v>Substations</v>
      </c>
      <c r="F80" s="17" t="str">
        <v>Primary Lines</v>
      </c>
      <c r="G80" s="17" t="str">
        <v>Transformers</v>
      </c>
      <c r="H80" s="17" t="str">
        <v>Secondary Lines</v>
      </c>
      <c r="I80" s="17" t="str">
        <v>Service Lines</v>
      </c>
      <c r="J80" s="17" t="str">
        <v>Meter Assets</v>
      </c>
      <c r="K80" s="17" t="str">
        <v>Meter Reading</v>
      </c>
      <c r="L80" s="17" t="str">
        <v>Billing</v>
      </c>
      <c r="M80" s="17" t="str">
        <v>Remittance &amp; Collection</v>
      </c>
      <c r="N80" s="17" t="str">
        <v>Uncollectibles &amp; Damage Claims</v>
      </c>
      <c r="O80" s="17" t="str">
        <v>Service Connections</v>
      </c>
      <c r="P80" s="17" t="str">
        <v>Late Payments</v>
      </c>
      <c r="Q80" s="17" t="str">
        <v>Lighting</v>
      </c>
      <c r="R80" s="17" t="s">
        <v>214</v>
      </c>
    </row>
    <row r="81" spans="1:18" x14ac:dyDescent="0.3">
      <c r="A81" s="1" t="s">
        <v>262</v>
      </c>
    </row>
    <row r="82" spans="1:18" x14ac:dyDescent="0.3">
      <c r="A82" s="3" t="s">
        <v>247</v>
      </c>
      <c r="B82" s="1">
        <f t="array" ref="B82:Q82">MMULT(B40:G40,$B$72:$Q$77)</f>
        <v>86687.000000000029</v>
      </c>
      <c r="C82" s="1">
        <v>173374.00000000006</v>
      </c>
      <c r="D82" s="1">
        <v>260061.00000000006</v>
      </c>
      <c r="E82" s="1">
        <v>260061.00000000006</v>
      </c>
      <c r="F82" s="1">
        <v>86687.000000000029</v>
      </c>
      <c r="G82" s="1">
        <v>86687.000000000029</v>
      </c>
      <c r="H82" s="1">
        <v>86687.000000000029</v>
      </c>
      <c r="I82" s="1">
        <v>0</v>
      </c>
      <c r="J82" s="1">
        <v>0</v>
      </c>
      <c r="K82" s="1">
        <v>0</v>
      </c>
      <c r="L82" s="1">
        <v>0</v>
      </c>
      <c r="M82" s="1">
        <v>0</v>
      </c>
      <c r="N82" s="1">
        <v>0</v>
      </c>
      <c r="O82" s="1">
        <v>0</v>
      </c>
      <c r="P82" s="1">
        <v>0</v>
      </c>
      <c r="Q82" s="1">
        <v>0</v>
      </c>
      <c r="R82" s="1">
        <f>SUM(B82:Q82)</f>
        <v>1040244.0000000002</v>
      </c>
    </row>
    <row r="83" spans="1:18" x14ac:dyDescent="0.3">
      <c r="A83" s="3" t="s">
        <v>248</v>
      </c>
      <c r="B83" s="1">
        <f t="array" ref="B83:Q83">MMULT(B41:F41,$B$72:$Q$76)</f>
        <v>0</v>
      </c>
      <c r="C83" s="1">
        <v>0</v>
      </c>
      <c r="D83" s="1">
        <v>0</v>
      </c>
      <c r="E83" s="1">
        <v>0</v>
      </c>
      <c r="F83" s="1">
        <v>0</v>
      </c>
      <c r="G83" s="1">
        <v>0</v>
      </c>
      <c r="H83" s="1">
        <v>0</v>
      </c>
      <c r="I83" s="1">
        <v>0</v>
      </c>
      <c r="J83" s="1">
        <v>0</v>
      </c>
      <c r="K83" s="1">
        <v>0</v>
      </c>
      <c r="L83" s="1">
        <v>0</v>
      </c>
      <c r="M83" s="1">
        <v>0</v>
      </c>
      <c r="N83" s="1">
        <v>0</v>
      </c>
      <c r="O83" s="1">
        <v>0</v>
      </c>
      <c r="P83" s="1">
        <v>0</v>
      </c>
      <c r="Q83" s="1">
        <v>0</v>
      </c>
      <c r="R83" s="1">
        <f>SUM(B83:Q83)</f>
        <v>0</v>
      </c>
    </row>
    <row r="84" spans="1:18" x14ac:dyDescent="0.3">
      <c r="A84" s="3" t="s">
        <v>249</v>
      </c>
      <c r="B84" s="1">
        <f t="shared" ref="B84:R84" si="36">SUBTOTAL(9,B82:B83)</f>
        <v>86687.000000000029</v>
      </c>
      <c r="C84" s="1">
        <f t="shared" si="36"/>
        <v>173374.00000000006</v>
      </c>
      <c r="D84" s="1">
        <f t="shared" si="36"/>
        <v>260061.00000000006</v>
      </c>
      <c r="E84" s="1">
        <f t="shared" si="36"/>
        <v>260061.00000000006</v>
      </c>
      <c r="F84" s="1">
        <f t="shared" si="36"/>
        <v>86687.000000000029</v>
      </c>
      <c r="G84" s="1">
        <f t="shared" si="36"/>
        <v>86687.000000000029</v>
      </c>
      <c r="H84" s="1">
        <f t="shared" si="36"/>
        <v>86687.000000000029</v>
      </c>
      <c r="I84" s="1">
        <f t="shared" si="36"/>
        <v>0</v>
      </c>
      <c r="J84" s="1">
        <f t="shared" si="36"/>
        <v>0</v>
      </c>
      <c r="K84" s="1">
        <f t="shared" si="36"/>
        <v>0</v>
      </c>
      <c r="L84" s="1">
        <f t="shared" si="36"/>
        <v>0</v>
      </c>
      <c r="M84" s="1">
        <f t="shared" si="36"/>
        <v>0</v>
      </c>
      <c r="N84" s="1">
        <f t="shared" si="36"/>
        <v>0</v>
      </c>
      <c r="O84" s="1">
        <f t="shared" si="36"/>
        <v>0</v>
      </c>
      <c r="P84" s="1">
        <f t="shared" si="36"/>
        <v>0</v>
      </c>
      <c r="Q84" s="1">
        <f t="shared" si="36"/>
        <v>0</v>
      </c>
      <c r="R84" s="1">
        <f t="shared" si="36"/>
        <v>1040244.0000000002</v>
      </c>
    </row>
    <row r="85" spans="1:18" x14ac:dyDescent="0.3">
      <c r="A85" s="3" t="s">
        <v>124</v>
      </c>
      <c r="B85" s="1">
        <f t="array" ref="B85:Q85">MMULT(B43:F43,$B$72:$Q$76)</f>
        <v>49479.500000000015</v>
      </c>
      <c r="C85" s="1">
        <v>0</v>
      </c>
      <c r="D85" s="1">
        <v>49479.500000000015</v>
      </c>
      <c r="E85" s="1">
        <v>207481.92721486284</v>
      </c>
      <c r="F85" s="1">
        <v>634934.01531897788</v>
      </c>
      <c r="G85" s="1">
        <v>375019.01542661974</v>
      </c>
      <c r="H85" s="1">
        <v>222640.11621743703</v>
      </c>
      <c r="I85" s="1">
        <v>20926.583110708274</v>
      </c>
      <c r="J85" s="1">
        <v>0</v>
      </c>
      <c r="K85" s="1">
        <v>0</v>
      </c>
      <c r="L85" s="1">
        <v>0</v>
      </c>
      <c r="M85" s="1">
        <v>0</v>
      </c>
      <c r="N85" s="1">
        <v>0</v>
      </c>
      <c r="O85" s="1">
        <v>0</v>
      </c>
      <c r="P85" s="1">
        <v>0</v>
      </c>
      <c r="Q85" s="1">
        <v>2481.3427113943239</v>
      </c>
      <c r="R85" s="1">
        <f>SUM(B85:Q85)</f>
        <v>1562442.0000000002</v>
      </c>
    </row>
    <row r="86" spans="1:18" x14ac:dyDescent="0.3">
      <c r="A86" s="3" t="s">
        <v>12</v>
      </c>
      <c r="B86" s="1">
        <f t="array" ref="B86:Q86">MMULT(B44:F44,$B$72:$Q$76)</f>
        <v>0</v>
      </c>
      <c r="C86" s="1">
        <v>0</v>
      </c>
      <c r="D86" s="1">
        <v>0</v>
      </c>
      <c r="E86" s="1">
        <v>0</v>
      </c>
      <c r="F86" s="1">
        <v>0</v>
      </c>
      <c r="G86" s="1">
        <v>0</v>
      </c>
      <c r="H86" s="1">
        <v>0</v>
      </c>
      <c r="I86" s="1">
        <v>0</v>
      </c>
      <c r="J86" s="1">
        <v>0</v>
      </c>
      <c r="K86" s="1">
        <v>0</v>
      </c>
      <c r="L86" s="1">
        <v>0</v>
      </c>
      <c r="M86" s="1">
        <v>0</v>
      </c>
      <c r="N86" s="1">
        <v>0</v>
      </c>
      <c r="O86" s="1">
        <v>0</v>
      </c>
      <c r="P86" s="1">
        <v>0</v>
      </c>
      <c r="Q86" s="1">
        <v>0</v>
      </c>
      <c r="R86" s="1">
        <f>SUM(B86:Q86)</f>
        <v>0</v>
      </c>
    </row>
    <row r="87" spans="1:18" x14ac:dyDescent="0.3">
      <c r="A87" s="3" t="s">
        <v>250</v>
      </c>
      <c r="B87" s="1">
        <f t="array" ref="B87:Q87">MMULT(B45:F45,$B$72:$Q$76)</f>
        <v>0</v>
      </c>
      <c r="C87" s="1">
        <v>0</v>
      </c>
      <c r="D87" s="1">
        <v>0</v>
      </c>
      <c r="E87" s="1">
        <v>0</v>
      </c>
      <c r="F87" s="1">
        <v>0</v>
      </c>
      <c r="G87" s="1">
        <v>0</v>
      </c>
      <c r="H87" s="1">
        <v>0</v>
      </c>
      <c r="I87" s="1">
        <v>0</v>
      </c>
      <c r="J87" s="1">
        <v>0</v>
      </c>
      <c r="K87" s="1">
        <v>0</v>
      </c>
      <c r="L87" s="1">
        <v>0</v>
      </c>
      <c r="M87" s="1">
        <v>0</v>
      </c>
      <c r="N87" s="1">
        <v>0</v>
      </c>
      <c r="O87" s="1">
        <v>0</v>
      </c>
      <c r="P87" s="1">
        <v>0</v>
      </c>
      <c r="Q87" s="1">
        <v>0</v>
      </c>
      <c r="R87" s="1">
        <f>SUM(B87:Q87)</f>
        <v>0</v>
      </c>
    </row>
    <row r="88" spans="1:18" x14ac:dyDescent="0.3">
      <c r="A88" s="3" t="s">
        <v>251</v>
      </c>
      <c r="B88" s="1">
        <f t="array" ref="B88:Q88">MMULT(B46:F46,$B$72:$Q$76)</f>
        <v>0</v>
      </c>
      <c r="C88" s="1">
        <v>0</v>
      </c>
      <c r="D88" s="1">
        <v>0</v>
      </c>
      <c r="E88" s="1">
        <v>0</v>
      </c>
      <c r="F88" s="1">
        <v>0</v>
      </c>
      <c r="G88" s="1">
        <v>0</v>
      </c>
      <c r="H88" s="1">
        <v>0</v>
      </c>
      <c r="I88" s="1">
        <v>0</v>
      </c>
      <c r="J88" s="1">
        <v>0</v>
      </c>
      <c r="K88" s="1">
        <v>0</v>
      </c>
      <c r="L88" s="1">
        <v>0</v>
      </c>
      <c r="M88" s="1">
        <v>0</v>
      </c>
      <c r="N88" s="1">
        <v>0</v>
      </c>
      <c r="O88" s="1">
        <v>0</v>
      </c>
      <c r="P88" s="1">
        <v>0</v>
      </c>
      <c r="Q88" s="1">
        <v>0</v>
      </c>
      <c r="R88" s="1">
        <f>SUM(B88:Q88)</f>
        <v>0</v>
      </c>
    </row>
    <row r="89" spans="1:18" x14ac:dyDescent="0.3">
      <c r="A89" s="3" t="s">
        <v>252</v>
      </c>
      <c r="B89" s="1">
        <f t="array" ref="B89:Q89">MMULT(B47:F47,$B$72:$Q$76)</f>
        <v>0</v>
      </c>
      <c r="C89" s="1">
        <v>0</v>
      </c>
      <c r="D89" s="1">
        <v>0</v>
      </c>
      <c r="E89" s="1">
        <v>0</v>
      </c>
      <c r="F89" s="1">
        <v>0</v>
      </c>
      <c r="G89" s="1">
        <v>0</v>
      </c>
      <c r="H89" s="1">
        <v>0</v>
      </c>
      <c r="I89" s="1">
        <v>0</v>
      </c>
      <c r="J89" s="1">
        <v>0</v>
      </c>
      <c r="K89" s="1">
        <v>0</v>
      </c>
      <c r="L89" s="1">
        <v>0</v>
      </c>
      <c r="M89" s="1">
        <v>0</v>
      </c>
      <c r="N89" s="1">
        <v>0</v>
      </c>
      <c r="O89" s="1">
        <v>0</v>
      </c>
      <c r="P89" s="1">
        <v>0</v>
      </c>
      <c r="Q89" s="1">
        <v>0</v>
      </c>
      <c r="R89" s="1">
        <f>SUM(B89:Q89)</f>
        <v>0</v>
      </c>
    </row>
    <row r="90" spans="1:18" x14ac:dyDescent="0.3">
      <c r="A90" s="3" t="s">
        <v>253</v>
      </c>
      <c r="B90" s="1">
        <f t="shared" ref="B90:R90" si="37">SUBTOTAL(9,B81:B89)</f>
        <v>136166.50000000006</v>
      </c>
      <c r="C90" s="1">
        <f t="shared" si="37"/>
        <v>173374.00000000006</v>
      </c>
      <c r="D90" s="1">
        <f t="shared" si="37"/>
        <v>309540.50000000006</v>
      </c>
      <c r="E90" s="1">
        <f t="shared" si="37"/>
        <v>467542.9272148629</v>
      </c>
      <c r="F90" s="1">
        <f t="shared" si="37"/>
        <v>721621.01531897788</v>
      </c>
      <c r="G90" s="1">
        <f t="shared" si="37"/>
        <v>461706.01542661979</v>
      </c>
      <c r="H90" s="1">
        <f t="shared" si="37"/>
        <v>309327.11621743708</v>
      </c>
      <c r="I90" s="1">
        <f t="shared" si="37"/>
        <v>20926.583110708274</v>
      </c>
      <c r="J90" s="1">
        <f t="shared" si="37"/>
        <v>0</v>
      </c>
      <c r="K90" s="1">
        <f t="shared" si="37"/>
        <v>0</v>
      </c>
      <c r="L90" s="1">
        <f t="shared" si="37"/>
        <v>0</v>
      </c>
      <c r="M90" s="1">
        <f t="shared" si="37"/>
        <v>0</v>
      </c>
      <c r="N90" s="1">
        <f t="shared" si="37"/>
        <v>0</v>
      </c>
      <c r="O90" s="1">
        <f t="shared" si="37"/>
        <v>0</v>
      </c>
      <c r="P90" s="1">
        <f t="shared" si="37"/>
        <v>0</v>
      </c>
      <c r="Q90" s="1">
        <f t="shared" si="37"/>
        <v>2481.3427113943239</v>
      </c>
      <c r="R90" s="1">
        <f t="shared" si="37"/>
        <v>2602686.0000000005</v>
      </c>
    </row>
    <row r="91" spans="1:18" x14ac:dyDescent="0.3">
      <c r="A91" s="2" t="s">
        <v>138</v>
      </c>
    </row>
    <row r="92" spans="1:18" x14ac:dyDescent="0.3">
      <c r="A92" s="3" t="s">
        <v>479</v>
      </c>
      <c r="B92" s="1">
        <f t="array" ref="B92:Q92">MMULT(B50:F50,$B$72:$Q$76)</f>
        <v>0</v>
      </c>
      <c r="C92" s="1">
        <v>0</v>
      </c>
      <c r="D92" s="1">
        <v>0</v>
      </c>
      <c r="E92" s="1">
        <v>0</v>
      </c>
      <c r="F92" s="1">
        <v>0</v>
      </c>
      <c r="G92" s="1">
        <v>0</v>
      </c>
      <c r="H92" s="1">
        <v>0</v>
      </c>
      <c r="I92" s="1">
        <v>0</v>
      </c>
      <c r="J92" s="1">
        <v>0</v>
      </c>
      <c r="K92" s="1">
        <v>0</v>
      </c>
      <c r="L92" s="1">
        <v>0</v>
      </c>
      <c r="M92" s="1">
        <v>0</v>
      </c>
      <c r="N92" s="1">
        <v>0</v>
      </c>
      <c r="O92" s="1">
        <v>0</v>
      </c>
      <c r="P92" s="1">
        <v>0</v>
      </c>
      <c r="Q92" s="1">
        <v>0</v>
      </c>
      <c r="R92" s="1">
        <f>SUM(B92:Q92)</f>
        <v>0</v>
      </c>
    </row>
    <row r="93" spans="1:18" x14ac:dyDescent="0.3">
      <c r="A93" s="47" t="s">
        <v>725</v>
      </c>
      <c r="B93" s="1">
        <f t="array" ref="B93:Q93">MMULT(B51:F51,$B$72:$Q$76)</f>
        <v>0</v>
      </c>
      <c r="C93" s="1">
        <v>0</v>
      </c>
      <c r="D93" s="1">
        <v>0</v>
      </c>
      <c r="E93" s="1">
        <v>0</v>
      </c>
      <c r="F93" s="1">
        <v>0</v>
      </c>
      <c r="G93" s="1">
        <v>0</v>
      </c>
      <c r="H93" s="1">
        <v>0</v>
      </c>
      <c r="I93" s="1">
        <v>0</v>
      </c>
      <c r="J93" s="1">
        <v>0</v>
      </c>
      <c r="K93" s="1">
        <v>0</v>
      </c>
      <c r="L93" s="1">
        <v>0</v>
      </c>
      <c r="M93" s="1">
        <v>0</v>
      </c>
      <c r="N93" s="1">
        <v>0</v>
      </c>
      <c r="O93" s="1">
        <v>0</v>
      </c>
      <c r="P93" s="1">
        <v>0</v>
      </c>
      <c r="Q93" s="1">
        <v>0</v>
      </c>
      <c r="R93" s="1">
        <f>SUM(B93:Q93)</f>
        <v>0</v>
      </c>
    </row>
    <row r="94" spans="1:18" x14ac:dyDescent="0.3">
      <c r="A94" s="3" t="s">
        <v>480</v>
      </c>
      <c r="B94" s="1">
        <f t="array" ref="B94:Q94">MMULT(B52:F52,$B$72:$Q$76)</f>
        <v>0</v>
      </c>
      <c r="C94" s="1">
        <v>0</v>
      </c>
      <c r="D94" s="1">
        <v>0</v>
      </c>
      <c r="E94" s="1">
        <v>0</v>
      </c>
      <c r="F94" s="1">
        <v>0</v>
      </c>
      <c r="G94" s="1">
        <v>0</v>
      </c>
      <c r="H94" s="1">
        <v>0</v>
      </c>
      <c r="I94" s="1">
        <v>0</v>
      </c>
      <c r="J94" s="1">
        <v>0</v>
      </c>
      <c r="K94" s="1">
        <v>0</v>
      </c>
      <c r="L94" s="1">
        <v>0</v>
      </c>
      <c r="M94" s="1">
        <v>0</v>
      </c>
      <c r="N94" s="1">
        <v>0</v>
      </c>
      <c r="O94" s="1">
        <v>0</v>
      </c>
      <c r="P94" s="1">
        <v>0</v>
      </c>
      <c r="Q94" s="1">
        <v>0</v>
      </c>
      <c r="R94" s="1">
        <f>SUM(B94:Q94)</f>
        <v>0</v>
      </c>
    </row>
    <row r="95" spans="1:18" x14ac:dyDescent="0.3">
      <c r="A95" s="3" t="s">
        <v>254</v>
      </c>
      <c r="B95" s="1">
        <f t="shared" ref="B95:R95" si="38">SUBTOTAL(9,B91:B94)</f>
        <v>0</v>
      </c>
      <c r="C95" s="1">
        <f t="shared" si="38"/>
        <v>0</v>
      </c>
      <c r="D95" s="1">
        <f t="shared" si="38"/>
        <v>0</v>
      </c>
      <c r="E95" s="1">
        <f t="shared" si="38"/>
        <v>0</v>
      </c>
      <c r="F95" s="1">
        <f t="shared" si="38"/>
        <v>0</v>
      </c>
      <c r="G95" s="1">
        <f t="shared" si="38"/>
        <v>0</v>
      </c>
      <c r="H95" s="1">
        <f t="shared" si="38"/>
        <v>0</v>
      </c>
      <c r="I95" s="1">
        <f t="shared" si="38"/>
        <v>0</v>
      </c>
      <c r="J95" s="1">
        <f t="shared" si="38"/>
        <v>0</v>
      </c>
      <c r="K95" s="1">
        <f t="shared" si="38"/>
        <v>0</v>
      </c>
      <c r="L95" s="1">
        <f t="shared" si="38"/>
        <v>0</v>
      </c>
      <c r="M95" s="1">
        <f t="shared" si="38"/>
        <v>0</v>
      </c>
      <c r="N95" s="1">
        <f t="shared" si="38"/>
        <v>0</v>
      </c>
      <c r="O95" s="1">
        <f t="shared" si="38"/>
        <v>0</v>
      </c>
      <c r="P95" s="1">
        <f t="shared" si="38"/>
        <v>0</v>
      </c>
      <c r="Q95" s="1">
        <f t="shared" si="38"/>
        <v>0</v>
      </c>
      <c r="R95" s="1">
        <f t="shared" si="38"/>
        <v>0</v>
      </c>
    </row>
    <row r="96" spans="1:18" x14ac:dyDescent="0.3">
      <c r="A96" s="1" t="s">
        <v>263</v>
      </c>
      <c r="B96" s="1">
        <f t="shared" ref="B96:R96" si="39">SUBTOTAL(9,B81:B95)</f>
        <v>136166.50000000006</v>
      </c>
      <c r="C96" s="1">
        <f t="shared" si="39"/>
        <v>173374.00000000006</v>
      </c>
      <c r="D96" s="1">
        <f t="shared" si="39"/>
        <v>309540.50000000006</v>
      </c>
      <c r="E96" s="1">
        <f t="shared" si="39"/>
        <v>467542.9272148629</v>
      </c>
      <c r="F96" s="1">
        <f t="shared" si="39"/>
        <v>721621.01531897788</v>
      </c>
      <c r="G96" s="1">
        <f t="shared" si="39"/>
        <v>461706.01542661979</v>
      </c>
      <c r="H96" s="1">
        <f t="shared" si="39"/>
        <v>309327.11621743708</v>
      </c>
      <c r="I96" s="1">
        <f t="shared" si="39"/>
        <v>20926.583110708274</v>
      </c>
      <c r="J96" s="1">
        <f t="shared" si="39"/>
        <v>0</v>
      </c>
      <c r="K96" s="1">
        <f t="shared" si="39"/>
        <v>0</v>
      </c>
      <c r="L96" s="1">
        <f t="shared" si="39"/>
        <v>0</v>
      </c>
      <c r="M96" s="1">
        <f t="shared" si="39"/>
        <v>0</v>
      </c>
      <c r="N96" s="1">
        <f t="shared" si="39"/>
        <v>0</v>
      </c>
      <c r="O96" s="1">
        <f t="shared" si="39"/>
        <v>0</v>
      </c>
      <c r="P96" s="1">
        <f t="shared" si="39"/>
        <v>0</v>
      </c>
      <c r="Q96" s="1">
        <f t="shared" si="39"/>
        <v>2481.3427113943239</v>
      </c>
      <c r="R96" s="1">
        <f t="shared" si="39"/>
        <v>2602686.0000000005</v>
      </c>
    </row>
    <row r="97" spans="1:18" x14ac:dyDescent="0.3">
      <c r="A97" s="1" t="s">
        <v>246</v>
      </c>
      <c r="R97" s="1">
        <f>SUM(B97:Q97)</f>
        <v>0</v>
      </c>
    </row>
    <row r="98" spans="1:18" x14ac:dyDescent="0.3">
      <c r="A98" s="3" t="s">
        <v>255</v>
      </c>
      <c r="B98" s="1">
        <f t="array" ref="B98:Q98">MMULT(B56:F56,$B$72:$Q$76)</f>
        <v>0</v>
      </c>
      <c r="C98" s="1">
        <v>0</v>
      </c>
      <c r="D98" s="1">
        <v>0</v>
      </c>
      <c r="E98" s="1">
        <v>0</v>
      </c>
      <c r="F98" s="1">
        <v>0</v>
      </c>
      <c r="G98" s="1">
        <v>0</v>
      </c>
      <c r="H98" s="1">
        <v>0</v>
      </c>
      <c r="I98" s="1">
        <v>0</v>
      </c>
      <c r="J98" s="1">
        <v>0</v>
      </c>
      <c r="K98" s="1">
        <v>0</v>
      </c>
      <c r="L98" s="1">
        <v>0</v>
      </c>
      <c r="M98" s="1">
        <v>0</v>
      </c>
      <c r="N98" s="1">
        <v>0</v>
      </c>
      <c r="O98" s="1">
        <v>0</v>
      </c>
      <c r="P98" s="1">
        <v>0</v>
      </c>
      <c r="Q98" s="1">
        <v>0</v>
      </c>
      <c r="R98" s="1">
        <f>SUM(B98:Q98)</f>
        <v>0</v>
      </c>
    </row>
    <row r="99" spans="1:18" x14ac:dyDescent="0.3">
      <c r="A99" s="3" t="s">
        <v>256</v>
      </c>
      <c r="B99" s="1">
        <f t="array" ref="B99:Q99">MMULT(B57:F57,$B$72:$Q$76)</f>
        <v>0</v>
      </c>
      <c r="C99" s="1">
        <v>0</v>
      </c>
      <c r="D99" s="1">
        <v>0</v>
      </c>
      <c r="E99" s="1">
        <v>0</v>
      </c>
      <c r="F99" s="1">
        <v>0</v>
      </c>
      <c r="G99" s="1">
        <v>0</v>
      </c>
      <c r="H99" s="1">
        <v>0</v>
      </c>
      <c r="I99" s="1">
        <v>0</v>
      </c>
      <c r="J99" s="1">
        <v>0</v>
      </c>
      <c r="K99" s="1">
        <v>0</v>
      </c>
      <c r="L99" s="1">
        <v>0</v>
      </c>
      <c r="M99" s="1">
        <v>0</v>
      </c>
      <c r="N99" s="1">
        <v>0</v>
      </c>
      <c r="O99" s="1">
        <v>0</v>
      </c>
      <c r="P99" s="1">
        <v>0</v>
      </c>
      <c r="Q99" s="1">
        <v>0</v>
      </c>
      <c r="R99" s="1">
        <f>SUM(B99:Q99)</f>
        <v>0</v>
      </c>
    </row>
    <row r="100" spans="1:18" x14ac:dyDescent="0.3">
      <c r="A100" s="3" t="s">
        <v>257</v>
      </c>
      <c r="B100" s="1">
        <f t="array" ref="B100:Q100">MMULT(B58:F58,$B$72:$Q$76)</f>
        <v>0</v>
      </c>
      <c r="C100" s="1">
        <v>0</v>
      </c>
      <c r="D100" s="1">
        <v>0</v>
      </c>
      <c r="E100" s="1">
        <v>0</v>
      </c>
      <c r="F100" s="1">
        <v>0</v>
      </c>
      <c r="G100" s="1">
        <v>0</v>
      </c>
      <c r="H100" s="1">
        <v>0</v>
      </c>
      <c r="I100" s="1">
        <v>0</v>
      </c>
      <c r="J100" s="1">
        <v>0</v>
      </c>
      <c r="K100" s="1">
        <v>0</v>
      </c>
      <c r="L100" s="1">
        <v>0</v>
      </c>
      <c r="M100" s="1">
        <v>0</v>
      </c>
      <c r="N100" s="1">
        <v>0</v>
      </c>
      <c r="O100" s="1">
        <v>0</v>
      </c>
      <c r="P100" s="1">
        <v>0</v>
      </c>
      <c r="Q100" s="1">
        <v>0</v>
      </c>
      <c r="R100" s="1">
        <f>SUM(B100:Q100)</f>
        <v>0</v>
      </c>
    </row>
    <row r="101" spans="1:18" x14ac:dyDescent="0.3">
      <c r="A101" s="47" t="s">
        <v>728</v>
      </c>
      <c r="B101" s="1">
        <f t="array" ref="B101:Q101">MMULT(B59:F59,$B$72:$Q$76)</f>
        <v>0</v>
      </c>
      <c r="C101" s="1">
        <v>0</v>
      </c>
      <c r="D101" s="1">
        <v>0</v>
      </c>
      <c r="E101" s="1">
        <v>0</v>
      </c>
      <c r="F101" s="1">
        <v>0</v>
      </c>
      <c r="G101" s="1">
        <v>0</v>
      </c>
      <c r="H101" s="1">
        <v>0</v>
      </c>
      <c r="I101" s="1">
        <v>0</v>
      </c>
      <c r="J101" s="1">
        <v>0</v>
      </c>
      <c r="K101" s="1">
        <v>0</v>
      </c>
      <c r="L101" s="1">
        <v>0</v>
      </c>
      <c r="M101" s="1">
        <v>0</v>
      </c>
      <c r="N101" s="1">
        <v>0</v>
      </c>
      <c r="O101" s="1">
        <v>0</v>
      </c>
      <c r="P101" s="1">
        <v>0</v>
      </c>
      <c r="Q101" s="1">
        <v>0</v>
      </c>
      <c r="R101" s="1">
        <f>SUM(B101:Q101)</f>
        <v>0</v>
      </c>
    </row>
    <row r="102" spans="1:18" x14ac:dyDescent="0.3">
      <c r="A102" s="3" t="s">
        <v>258</v>
      </c>
      <c r="B102" s="1">
        <f t="array" ref="B102:Q102">MMULT(B60:F60,$B$72:$Q$76)</f>
        <v>0</v>
      </c>
      <c r="C102" s="1">
        <v>0</v>
      </c>
      <c r="D102" s="1">
        <v>0</v>
      </c>
      <c r="E102" s="1">
        <v>0</v>
      </c>
      <c r="F102" s="1">
        <v>0</v>
      </c>
      <c r="G102" s="1">
        <v>0</v>
      </c>
      <c r="H102" s="1">
        <v>0</v>
      </c>
      <c r="I102" s="1">
        <v>0</v>
      </c>
      <c r="J102" s="1">
        <v>0</v>
      </c>
      <c r="K102" s="1">
        <v>0</v>
      </c>
      <c r="L102" s="1">
        <v>0</v>
      </c>
      <c r="M102" s="1">
        <v>0</v>
      </c>
      <c r="N102" s="1">
        <v>0</v>
      </c>
      <c r="O102" s="1">
        <v>0</v>
      </c>
      <c r="P102" s="1">
        <v>0</v>
      </c>
      <c r="Q102" s="1">
        <v>0</v>
      </c>
      <c r="R102" s="1">
        <f>SUM(B102:Q102)</f>
        <v>0</v>
      </c>
    </row>
    <row r="103" spans="1:18" x14ac:dyDescent="0.3">
      <c r="A103" s="3" t="s">
        <v>259</v>
      </c>
      <c r="B103" s="1">
        <f t="shared" ref="B103:R103" si="40">SUBTOTAL(9,B97:B102)</f>
        <v>0</v>
      </c>
      <c r="C103" s="1">
        <f t="shared" si="40"/>
        <v>0</v>
      </c>
      <c r="D103" s="1">
        <f t="shared" si="40"/>
        <v>0</v>
      </c>
      <c r="E103" s="1">
        <f t="shared" si="40"/>
        <v>0</v>
      </c>
      <c r="F103" s="1">
        <f t="shared" si="40"/>
        <v>0</v>
      </c>
      <c r="G103" s="1">
        <f t="shared" si="40"/>
        <v>0</v>
      </c>
      <c r="H103" s="1">
        <f t="shared" si="40"/>
        <v>0</v>
      </c>
      <c r="I103" s="1">
        <f t="shared" si="40"/>
        <v>0</v>
      </c>
      <c r="J103" s="1">
        <f t="shared" si="40"/>
        <v>0</v>
      </c>
      <c r="K103" s="1">
        <f t="shared" si="40"/>
        <v>0</v>
      </c>
      <c r="L103" s="1">
        <f t="shared" si="40"/>
        <v>0</v>
      </c>
      <c r="M103" s="1">
        <f t="shared" si="40"/>
        <v>0</v>
      </c>
      <c r="N103" s="1">
        <f t="shared" si="40"/>
        <v>0</v>
      </c>
      <c r="O103" s="1">
        <f t="shared" si="40"/>
        <v>0</v>
      </c>
      <c r="P103" s="1">
        <f t="shared" si="40"/>
        <v>0</v>
      </c>
      <c r="Q103" s="1">
        <f t="shared" si="40"/>
        <v>0</v>
      </c>
      <c r="R103" s="1">
        <f t="shared" si="40"/>
        <v>0</v>
      </c>
    </row>
    <row r="104" spans="1:18" x14ac:dyDescent="0.3">
      <c r="A104" s="1" t="s">
        <v>260</v>
      </c>
      <c r="B104" s="1">
        <f>SUBTOTAL(9,B105:B106)</f>
        <v>0</v>
      </c>
      <c r="C104" s="1">
        <f t="shared" ref="C104:R104" si="41">SUBTOTAL(9,C105:C106)</f>
        <v>0</v>
      </c>
      <c r="D104" s="1">
        <f t="shared" si="41"/>
        <v>0</v>
      </c>
      <c r="E104" s="1">
        <f t="shared" si="41"/>
        <v>0</v>
      </c>
      <c r="F104" s="1">
        <f t="shared" si="41"/>
        <v>0</v>
      </c>
      <c r="G104" s="1">
        <f t="shared" si="41"/>
        <v>0</v>
      </c>
      <c r="H104" s="1">
        <f t="shared" si="41"/>
        <v>0</v>
      </c>
      <c r="I104" s="1">
        <f t="shared" si="41"/>
        <v>0</v>
      </c>
      <c r="J104" s="1">
        <f t="shared" si="41"/>
        <v>0</v>
      </c>
      <c r="K104" s="1">
        <f t="shared" si="41"/>
        <v>0</v>
      </c>
      <c r="L104" s="1">
        <f t="shared" si="41"/>
        <v>0</v>
      </c>
      <c r="M104" s="1">
        <f t="shared" si="41"/>
        <v>0</v>
      </c>
      <c r="N104" s="1">
        <f t="shared" si="41"/>
        <v>0</v>
      </c>
      <c r="O104" s="1">
        <f t="shared" si="41"/>
        <v>0</v>
      </c>
      <c r="P104" s="1">
        <f t="shared" si="41"/>
        <v>0</v>
      </c>
      <c r="Q104" s="1">
        <f t="shared" si="41"/>
        <v>0</v>
      </c>
      <c r="R104" s="1">
        <f t="shared" si="41"/>
        <v>0</v>
      </c>
    </row>
    <row r="105" spans="1:18" x14ac:dyDescent="0.3">
      <c r="A105" s="1" t="s">
        <v>261</v>
      </c>
      <c r="B105" s="1">
        <f t="array" ref="B105:Q105">MMULT(B63:F63,$B$72:$Q$76)</f>
        <v>0</v>
      </c>
      <c r="C105" s="1">
        <v>0</v>
      </c>
      <c r="D105" s="1">
        <v>0</v>
      </c>
      <c r="E105" s="1">
        <v>0</v>
      </c>
      <c r="F105" s="1">
        <v>0</v>
      </c>
      <c r="G105" s="1">
        <v>0</v>
      </c>
      <c r="H105" s="1">
        <v>0</v>
      </c>
      <c r="I105" s="1">
        <v>0</v>
      </c>
      <c r="J105" s="1">
        <v>0</v>
      </c>
      <c r="K105" s="1">
        <v>0</v>
      </c>
      <c r="L105" s="1">
        <v>0</v>
      </c>
      <c r="M105" s="1">
        <v>0</v>
      </c>
      <c r="N105" s="1">
        <v>0</v>
      </c>
      <c r="O105" s="1">
        <v>0</v>
      </c>
      <c r="P105" s="1">
        <v>0</v>
      </c>
      <c r="Q105" s="1">
        <v>0</v>
      </c>
      <c r="R105" s="1">
        <f>SUM(B105:Q105)</f>
        <v>0</v>
      </c>
    </row>
    <row r="106" spans="1:18" x14ac:dyDescent="0.3">
      <c r="A106" s="1" t="s">
        <v>606</v>
      </c>
      <c r="B106" s="1">
        <f t="array" ref="B106:Q106">MMULT(B64:F64,$B$72:$Q$76)</f>
        <v>0</v>
      </c>
      <c r="C106" s="1">
        <v>0</v>
      </c>
      <c r="D106" s="1">
        <v>0</v>
      </c>
      <c r="E106" s="1">
        <v>0</v>
      </c>
      <c r="F106" s="1">
        <v>0</v>
      </c>
      <c r="G106" s="1">
        <v>0</v>
      </c>
      <c r="H106" s="1">
        <v>0</v>
      </c>
      <c r="I106" s="1">
        <v>0</v>
      </c>
      <c r="J106" s="1">
        <v>0</v>
      </c>
      <c r="K106" s="1">
        <v>0</v>
      </c>
      <c r="L106" s="1">
        <v>0</v>
      </c>
      <c r="M106" s="1">
        <v>0</v>
      </c>
      <c r="N106" s="1">
        <v>0</v>
      </c>
      <c r="O106" s="1">
        <v>0</v>
      </c>
      <c r="P106" s="1">
        <v>0</v>
      </c>
      <c r="Q106" s="1">
        <v>0</v>
      </c>
      <c r="R106" s="1">
        <f>SUM(B106:Q106)</f>
        <v>0</v>
      </c>
    </row>
    <row r="107" spans="1:18" x14ac:dyDescent="0.3">
      <c r="A107" s="1" t="s">
        <v>629</v>
      </c>
      <c r="B107" s="1">
        <f t="shared" ref="B107:R107" si="42">SUBTOTAL(9,B81:B106)</f>
        <v>136166.50000000006</v>
      </c>
      <c r="C107" s="1">
        <f t="shared" si="42"/>
        <v>173374.00000000006</v>
      </c>
      <c r="D107" s="1">
        <f t="shared" si="42"/>
        <v>309540.50000000006</v>
      </c>
      <c r="E107" s="1">
        <f t="shared" si="42"/>
        <v>467542.9272148629</v>
      </c>
      <c r="F107" s="1">
        <f t="shared" si="42"/>
        <v>721621.01531897788</v>
      </c>
      <c r="G107" s="1">
        <f t="shared" si="42"/>
        <v>461706.01542661979</v>
      </c>
      <c r="H107" s="1">
        <f t="shared" si="42"/>
        <v>309327.11621743708</v>
      </c>
      <c r="I107" s="1">
        <f t="shared" si="42"/>
        <v>20926.583110708274</v>
      </c>
      <c r="J107" s="1">
        <f t="shared" si="42"/>
        <v>0</v>
      </c>
      <c r="K107" s="1">
        <f t="shared" si="42"/>
        <v>0</v>
      </c>
      <c r="L107" s="1">
        <f t="shared" si="42"/>
        <v>0</v>
      </c>
      <c r="M107" s="1">
        <f t="shared" si="42"/>
        <v>0</v>
      </c>
      <c r="N107" s="1">
        <f t="shared" si="42"/>
        <v>0</v>
      </c>
      <c r="O107" s="1">
        <f t="shared" si="42"/>
        <v>0</v>
      </c>
      <c r="P107" s="1">
        <f t="shared" si="42"/>
        <v>0</v>
      </c>
      <c r="Q107" s="1">
        <f t="shared" si="42"/>
        <v>2481.3427113943239</v>
      </c>
      <c r="R107" s="1">
        <f t="shared" si="42"/>
        <v>2602686.0000000005</v>
      </c>
    </row>
    <row r="108" spans="1:18" x14ac:dyDescent="0.3">
      <c r="A108" s="1" t="s">
        <v>632</v>
      </c>
      <c r="B108" s="1">
        <f t="array" ref="B108:Q108">MMULT(B66:F66,$B$72:$Q$76)</f>
        <v>0</v>
      </c>
      <c r="C108" s="1">
        <v>0</v>
      </c>
      <c r="D108" s="1">
        <v>0</v>
      </c>
      <c r="E108" s="1">
        <v>0</v>
      </c>
      <c r="F108" s="1">
        <v>0</v>
      </c>
      <c r="G108" s="1">
        <v>0</v>
      </c>
      <c r="H108" s="1">
        <v>0</v>
      </c>
      <c r="I108" s="1">
        <v>0</v>
      </c>
      <c r="J108" s="1">
        <v>0</v>
      </c>
      <c r="K108" s="1">
        <v>0</v>
      </c>
      <c r="L108" s="1">
        <v>0</v>
      </c>
      <c r="M108" s="1">
        <v>0</v>
      </c>
      <c r="N108" s="1">
        <v>0</v>
      </c>
      <c r="O108" s="1">
        <v>0</v>
      </c>
      <c r="P108" s="1">
        <v>0</v>
      </c>
      <c r="Q108" s="1">
        <v>0</v>
      </c>
      <c r="R108" s="1">
        <f>SUM(B108:Q108)</f>
        <v>0</v>
      </c>
    </row>
    <row r="109" spans="1:18" x14ac:dyDescent="0.3">
      <c r="A109" s="1" t="s">
        <v>631</v>
      </c>
      <c r="B109" s="1">
        <f t="array" ref="B109:Q109">MMULT(B67:F67,$B$72:$Q$76)</f>
        <v>0</v>
      </c>
      <c r="C109" s="1">
        <v>0</v>
      </c>
      <c r="D109" s="1">
        <v>0</v>
      </c>
      <c r="E109" s="1">
        <v>0</v>
      </c>
      <c r="F109" s="1">
        <v>0</v>
      </c>
      <c r="G109" s="1">
        <v>0</v>
      </c>
      <c r="H109" s="1">
        <v>0</v>
      </c>
      <c r="I109" s="1">
        <v>0</v>
      </c>
      <c r="J109" s="1">
        <v>0</v>
      </c>
      <c r="K109" s="1">
        <v>0</v>
      </c>
      <c r="L109" s="1">
        <v>0</v>
      </c>
      <c r="M109" s="1">
        <v>0</v>
      </c>
      <c r="N109" s="1">
        <v>0</v>
      </c>
      <c r="O109" s="1">
        <v>0</v>
      </c>
      <c r="P109" s="1">
        <v>0</v>
      </c>
      <c r="Q109" s="1">
        <v>0</v>
      </c>
      <c r="R109" s="1">
        <f>SUM(B109:Q109)</f>
        <v>0</v>
      </c>
    </row>
    <row r="110" spans="1:18" x14ac:dyDescent="0.3">
      <c r="A110" s="1" t="s">
        <v>630</v>
      </c>
      <c r="B110" s="1">
        <f t="shared" ref="B110:R110" si="43">SUBTOTAL(9,B81:B109)</f>
        <v>136166.50000000006</v>
      </c>
      <c r="C110" s="1">
        <f t="shared" si="43"/>
        <v>173374.00000000006</v>
      </c>
      <c r="D110" s="1">
        <f t="shared" si="43"/>
        <v>309540.50000000006</v>
      </c>
      <c r="E110" s="1">
        <f t="shared" si="43"/>
        <v>467542.9272148629</v>
      </c>
      <c r="F110" s="1">
        <f t="shared" si="43"/>
        <v>721621.01531897788</v>
      </c>
      <c r="G110" s="1">
        <f t="shared" si="43"/>
        <v>461706.01542661979</v>
      </c>
      <c r="H110" s="1">
        <f t="shared" si="43"/>
        <v>309327.11621743708</v>
      </c>
      <c r="I110" s="1">
        <f t="shared" si="43"/>
        <v>20926.583110708274</v>
      </c>
      <c r="J110" s="1">
        <f t="shared" si="43"/>
        <v>0</v>
      </c>
      <c r="K110" s="1">
        <f t="shared" si="43"/>
        <v>0</v>
      </c>
      <c r="L110" s="1">
        <f t="shared" si="43"/>
        <v>0</v>
      </c>
      <c r="M110" s="1">
        <f t="shared" si="43"/>
        <v>0</v>
      </c>
      <c r="N110" s="1">
        <f t="shared" si="43"/>
        <v>0</v>
      </c>
      <c r="O110" s="1">
        <f t="shared" si="43"/>
        <v>0</v>
      </c>
      <c r="P110" s="1">
        <f t="shared" si="43"/>
        <v>0</v>
      </c>
      <c r="Q110" s="1">
        <f t="shared" si="43"/>
        <v>2481.3427113943239</v>
      </c>
      <c r="R110" s="1">
        <f t="shared" si="43"/>
        <v>2602686.0000000005</v>
      </c>
    </row>
    <row r="112" spans="1:18" x14ac:dyDescent="0.3">
      <c r="A112" s="1" t="s">
        <v>214</v>
      </c>
    </row>
    <row r="113" spans="1:19" s="9" customFormat="1" ht="54" x14ac:dyDescent="0.25">
      <c r="B113" s="17" t="str">
        <f t="array" ref="B113:Q113">TRANSPOSE(List_Functions)</f>
        <v>Generation</v>
      </c>
      <c r="C113" s="17" t="str">
        <v>Purchased Power</v>
      </c>
      <c r="D113" s="17" t="str">
        <v>Transmission</v>
      </c>
      <c r="E113" s="17" t="str">
        <v>Substations</v>
      </c>
      <c r="F113" s="17" t="str">
        <v>Primary Lines</v>
      </c>
      <c r="G113" s="17" t="str">
        <v>Transformers</v>
      </c>
      <c r="H113" s="17" t="str">
        <v>Secondary Lines</v>
      </c>
      <c r="I113" s="17" t="str">
        <v>Service Lines</v>
      </c>
      <c r="J113" s="17" t="str">
        <v>Meter Assets</v>
      </c>
      <c r="K113" s="17" t="str">
        <v>Meter Reading</v>
      </c>
      <c r="L113" s="17" t="str">
        <v>Billing</v>
      </c>
      <c r="M113" s="17" t="str">
        <v>Remittance &amp; Collection</v>
      </c>
      <c r="N113" s="17" t="str">
        <v>Uncollectibles &amp; Damage Claims</v>
      </c>
      <c r="O113" s="17" t="str">
        <v>Service Connections</v>
      </c>
      <c r="P113" s="17" t="str">
        <v>Late Payments</v>
      </c>
      <c r="Q113" s="17" t="str">
        <v>Lighting</v>
      </c>
      <c r="R113" s="17" t="s">
        <v>214</v>
      </c>
      <c r="S113" s="17" t="s">
        <v>680</v>
      </c>
    </row>
    <row r="114" spans="1:19" x14ac:dyDescent="0.3">
      <c r="A114" s="1" t="s">
        <v>262</v>
      </c>
    </row>
    <row r="115" spans="1:19" x14ac:dyDescent="0.3">
      <c r="A115" s="3" t="s">
        <v>247</v>
      </c>
    </row>
    <row r="116" spans="1:19" x14ac:dyDescent="0.3">
      <c r="A116" s="3" t="s">
        <v>248</v>
      </c>
    </row>
    <row r="117" spans="1:19" x14ac:dyDescent="0.3">
      <c r="A117" s="3" t="s">
        <v>249</v>
      </c>
      <c r="B117" s="1">
        <f t="shared" ref="B117:R117" si="44">SUBTOTAL(9,B115:B116)</f>
        <v>0</v>
      </c>
      <c r="C117" s="1">
        <f t="shared" si="44"/>
        <v>0</v>
      </c>
      <c r="D117" s="1">
        <f t="shared" si="44"/>
        <v>0</v>
      </c>
      <c r="E117" s="1">
        <f t="shared" si="44"/>
        <v>0</v>
      </c>
      <c r="F117" s="1">
        <f t="shared" si="44"/>
        <v>0</v>
      </c>
      <c r="G117" s="1">
        <f t="shared" si="44"/>
        <v>0</v>
      </c>
      <c r="H117" s="1">
        <f t="shared" si="44"/>
        <v>0</v>
      </c>
      <c r="I117" s="1">
        <f t="shared" si="44"/>
        <v>0</v>
      </c>
      <c r="J117" s="1">
        <f t="shared" si="44"/>
        <v>0</v>
      </c>
      <c r="K117" s="1">
        <f t="shared" si="44"/>
        <v>0</v>
      </c>
      <c r="L117" s="1">
        <f t="shared" si="44"/>
        <v>0</v>
      </c>
      <c r="M117" s="1">
        <f t="shared" si="44"/>
        <v>0</v>
      </c>
      <c r="N117" s="1">
        <f t="shared" si="44"/>
        <v>0</v>
      </c>
      <c r="O117" s="1">
        <f t="shared" si="44"/>
        <v>0</v>
      </c>
      <c r="P117" s="1">
        <f t="shared" si="44"/>
        <v>0</v>
      </c>
      <c r="Q117" s="1">
        <f t="shared" si="44"/>
        <v>0</v>
      </c>
      <c r="R117" s="1">
        <f t="shared" si="44"/>
        <v>0</v>
      </c>
    </row>
    <row r="118" spans="1:19" x14ac:dyDescent="0.3">
      <c r="A118" s="3" t="s">
        <v>124</v>
      </c>
    </row>
    <row r="119" spans="1:19" x14ac:dyDescent="0.3">
      <c r="A119" s="3" t="s">
        <v>12</v>
      </c>
    </row>
    <row r="120" spans="1:19" x14ac:dyDescent="0.3">
      <c r="A120" s="3" t="s">
        <v>250</v>
      </c>
    </row>
    <row r="121" spans="1:19" x14ac:dyDescent="0.3">
      <c r="A121" s="3" t="s">
        <v>251</v>
      </c>
    </row>
    <row r="122" spans="1:19" x14ac:dyDescent="0.3">
      <c r="A122" s="3" t="s">
        <v>252</v>
      </c>
      <c r="B122" s="1">
        <f>205000/16</f>
        <v>12812.5</v>
      </c>
      <c r="C122" s="1">
        <f t="shared" ref="C122:Q122" si="45">205000/16</f>
        <v>12812.5</v>
      </c>
      <c r="D122" s="1">
        <f t="shared" si="45"/>
        <v>12812.5</v>
      </c>
      <c r="E122" s="1">
        <f t="shared" si="45"/>
        <v>12812.5</v>
      </c>
      <c r="F122" s="1">
        <f t="shared" si="45"/>
        <v>12812.5</v>
      </c>
      <c r="G122" s="1">
        <f t="shared" si="45"/>
        <v>12812.5</v>
      </c>
      <c r="H122" s="1">
        <f t="shared" si="45"/>
        <v>12812.5</v>
      </c>
      <c r="I122" s="1">
        <f t="shared" si="45"/>
        <v>12812.5</v>
      </c>
      <c r="J122" s="1">
        <f t="shared" si="45"/>
        <v>12812.5</v>
      </c>
      <c r="K122" s="1">
        <f t="shared" si="45"/>
        <v>12812.5</v>
      </c>
      <c r="L122" s="1">
        <f t="shared" si="45"/>
        <v>12812.5</v>
      </c>
      <c r="M122" s="1">
        <f t="shared" si="45"/>
        <v>12812.5</v>
      </c>
      <c r="N122" s="1">
        <f t="shared" si="45"/>
        <v>12812.5</v>
      </c>
      <c r="O122" s="1">
        <f t="shared" si="45"/>
        <v>12812.5</v>
      </c>
      <c r="P122" s="1">
        <f t="shared" si="45"/>
        <v>12812.5</v>
      </c>
      <c r="Q122" s="1">
        <f t="shared" si="45"/>
        <v>12812.5</v>
      </c>
      <c r="R122" s="1">
        <f>SUM(B122:Q122)</f>
        <v>205000</v>
      </c>
    </row>
    <row r="123" spans="1:19" x14ac:dyDescent="0.3">
      <c r="A123" s="3" t="s">
        <v>253</v>
      </c>
      <c r="B123" s="1">
        <f t="shared" ref="B123:R123" si="46">SUBTOTAL(9,B114:B122)</f>
        <v>12812.5</v>
      </c>
      <c r="C123" s="1">
        <f t="shared" si="46"/>
        <v>12812.5</v>
      </c>
      <c r="D123" s="1">
        <f t="shared" si="46"/>
        <v>12812.5</v>
      </c>
      <c r="E123" s="1">
        <f t="shared" si="46"/>
        <v>12812.5</v>
      </c>
      <c r="F123" s="1">
        <f t="shared" si="46"/>
        <v>12812.5</v>
      </c>
      <c r="G123" s="1">
        <f t="shared" si="46"/>
        <v>12812.5</v>
      </c>
      <c r="H123" s="1">
        <f t="shared" si="46"/>
        <v>12812.5</v>
      </c>
      <c r="I123" s="1">
        <f t="shared" si="46"/>
        <v>12812.5</v>
      </c>
      <c r="J123" s="1">
        <f t="shared" si="46"/>
        <v>12812.5</v>
      </c>
      <c r="K123" s="1">
        <f t="shared" si="46"/>
        <v>12812.5</v>
      </c>
      <c r="L123" s="1">
        <f t="shared" si="46"/>
        <v>12812.5</v>
      </c>
      <c r="M123" s="1">
        <f t="shared" si="46"/>
        <v>12812.5</v>
      </c>
      <c r="N123" s="1">
        <f t="shared" si="46"/>
        <v>12812.5</v>
      </c>
      <c r="O123" s="1">
        <f t="shared" si="46"/>
        <v>12812.5</v>
      </c>
      <c r="P123" s="1">
        <f t="shared" si="46"/>
        <v>12812.5</v>
      </c>
      <c r="Q123" s="1">
        <f t="shared" si="46"/>
        <v>12812.5</v>
      </c>
      <c r="R123" s="1">
        <f t="shared" si="46"/>
        <v>205000</v>
      </c>
    </row>
    <row r="124" spans="1:19" x14ac:dyDescent="0.3">
      <c r="A124" s="2" t="s">
        <v>138</v>
      </c>
    </row>
    <row r="125" spans="1:19" x14ac:dyDescent="0.3">
      <c r="A125" s="3" t="s">
        <v>479</v>
      </c>
    </row>
    <row r="126" spans="1:19" x14ac:dyDescent="0.3">
      <c r="A126" s="47" t="s">
        <v>725</v>
      </c>
    </row>
    <row r="127" spans="1:19" x14ac:dyDescent="0.3">
      <c r="A127" s="3" t="s">
        <v>480</v>
      </c>
    </row>
    <row r="128" spans="1:19" x14ac:dyDescent="0.3">
      <c r="A128" s="3" t="s">
        <v>254</v>
      </c>
    </row>
    <row r="129" spans="1:18" x14ac:dyDescent="0.3">
      <c r="A129" s="1" t="s">
        <v>263</v>
      </c>
      <c r="B129" s="1">
        <f t="shared" ref="B129:R129" si="47">SUBTOTAL(9,B114:B128)</f>
        <v>12812.5</v>
      </c>
      <c r="C129" s="1">
        <f t="shared" si="47"/>
        <v>12812.5</v>
      </c>
      <c r="D129" s="1">
        <f t="shared" si="47"/>
        <v>12812.5</v>
      </c>
      <c r="E129" s="1">
        <f t="shared" si="47"/>
        <v>12812.5</v>
      </c>
      <c r="F129" s="1">
        <f t="shared" si="47"/>
        <v>12812.5</v>
      </c>
      <c r="G129" s="1">
        <f t="shared" si="47"/>
        <v>12812.5</v>
      </c>
      <c r="H129" s="1">
        <f t="shared" si="47"/>
        <v>12812.5</v>
      </c>
      <c r="I129" s="1">
        <f t="shared" si="47"/>
        <v>12812.5</v>
      </c>
      <c r="J129" s="1">
        <f t="shared" si="47"/>
        <v>12812.5</v>
      </c>
      <c r="K129" s="1">
        <f t="shared" si="47"/>
        <v>12812.5</v>
      </c>
      <c r="L129" s="1">
        <f t="shared" si="47"/>
        <v>12812.5</v>
      </c>
      <c r="M129" s="1">
        <f t="shared" si="47"/>
        <v>12812.5</v>
      </c>
      <c r="N129" s="1">
        <f t="shared" si="47"/>
        <v>12812.5</v>
      </c>
      <c r="O129" s="1">
        <f t="shared" si="47"/>
        <v>12812.5</v>
      </c>
      <c r="P129" s="1">
        <f t="shared" si="47"/>
        <v>12812.5</v>
      </c>
      <c r="Q129" s="1">
        <f t="shared" si="47"/>
        <v>12812.5</v>
      </c>
      <c r="R129" s="1">
        <f t="shared" si="47"/>
        <v>205000</v>
      </c>
    </row>
    <row r="130" spans="1:18" x14ac:dyDescent="0.3">
      <c r="A130" s="1" t="s">
        <v>246</v>
      </c>
    </row>
    <row r="131" spans="1:18" x14ac:dyDescent="0.3">
      <c r="A131" s="3" t="s">
        <v>255</v>
      </c>
    </row>
    <row r="132" spans="1:18" x14ac:dyDescent="0.3">
      <c r="A132" s="3" t="s">
        <v>256</v>
      </c>
    </row>
    <row r="133" spans="1:18" x14ac:dyDescent="0.3">
      <c r="A133" s="3" t="s">
        <v>257</v>
      </c>
    </row>
    <row r="134" spans="1:18" x14ac:dyDescent="0.3">
      <c r="A134" s="47" t="s">
        <v>728</v>
      </c>
    </row>
    <row r="135" spans="1:18" x14ac:dyDescent="0.3">
      <c r="A135" s="3" t="s">
        <v>258</v>
      </c>
    </row>
    <row r="136" spans="1:18" x14ac:dyDescent="0.3">
      <c r="A136" s="3" t="s">
        <v>259</v>
      </c>
    </row>
    <row r="137" spans="1:18" x14ac:dyDescent="0.3">
      <c r="A137" s="1" t="s">
        <v>260</v>
      </c>
      <c r="B137" s="1">
        <f>SUBTOTAL(9,B138:B139)</f>
        <v>0</v>
      </c>
      <c r="C137" s="1">
        <f t="shared" ref="C137:R137" si="48">SUBTOTAL(9,C138:C139)</f>
        <v>0</v>
      </c>
      <c r="D137" s="1">
        <f t="shared" si="48"/>
        <v>0</v>
      </c>
      <c r="E137" s="1">
        <f t="shared" si="48"/>
        <v>0</v>
      </c>
      <c r="F137" s="1">
        <f t="shared" si="48"/>
        <v>0</v>
      </c>
      <c r="G137" s="1">
        <f t="shared" si="48"/>
        <v>0</v>
      </c>
      <c r="H137" s="1">
        <f t="shared" si="48"/>
        <v>0</v>
      </c>
      <c r="I137" s="1">
        <f t="shared" si="48"/>
        <v>0</v>
      </c>
      <c r="J137" s="1">
        <f t="shared" si="48"/>
        <v>0</v>
      </c>
      <c r="K137" s="1">
        <f t="shared" si="48"/>
        <v>0</v>
      </c>
      <c r="L137" s="1">
        <f t="shared" si="48"/>
        <v>0</v>
      </c>
      <c r="M137" s="1">
        <f t="shared" si="48"/>
        <v>0</v>
      </c>
      <c r="N137" s="1">
        <f t="shared" si="48"/>
        <v>0</v>
      </c>
      <c r="O137" s="1">
        <f t="shared" si="48"/>
        <v>0</v>
      </c>
      <c r="P137" s="1">
        <f t="shared" si="48"/>
        <v>0</v>
      </c>
      <c r="Q137" s="1">
        <f t="shared" si="48"/>
        <v>0</v>
      </c>
      <c r="R137" s="1">
        <f t="shared" si="48"/>
        <v>0</v>
      </c>
    </row>
    <row r="138" spans="1:18" x14ac:dyDescent="0.3">
      <c r="A138" s="1" t="s">
        <v>261</v>
      </c>
    </row>
    <row r="139" spans="1:18" x14ac:dyDescent="0.3">
      <c r="A139" s="1" t="s">
        <v>606</v>
      </c>
    </row>
    <row r="140" spans="1:18" x14ac:dyDescent="0.3">
      <c r="A140" s="1" t="s">
        <v>629</v>
      </c>
      <c r="B140" s="1">
        <f t="shared" ref="B140:R140" si="49">SUBTOTAL(9,B114:B139)</f>
        <v>12812.5</v>
      </c>
      <c r="C140" s="1">
        <f t="shared" si="49"/>
        <v>12812.5</v>
      </c>
      <c r="D140" s="1">
        <f t="shared" si="49"/>
        <v>12812.5</v>
      </c>
      <c r="E140" s="1">
        <f t="shared" si="49"/>
        <v>12812.5</v>
      </c>
      <c r="F140" s="1">
        <f t="shared" si="49"/>
        <v>12812.5</v>
      </c>
      <c r="G140" s="1">
        <f t="shared" si="49"/>
        <v>12812.5</v>
      </c>
      <c r="H140" s="1">
        <f t="shared" si="49"/>
        <v>12812.5</v>
      </c>
      <c r="I140" s="1">
        <f t="shared" si="49"/>
        <v>12812.5</v>
      </c>
      <c r="J140" s="1">
        <f t="shared" si="49"/>
        <v>12812.5</v>
      </c>
      <c r="K140" s="1">
        <f t="shared" si="49"/>
        <v>12812.5</v>
      </c>
      <c r="L140" s="1">
        <f t="shared" si="49"/>
        <v>12812.5</v>
      </c>
      <c r="M140" s="1">
        <f t="shared" si="49"/>
        <v>12812.5</v>
      </c>
      <c r="N140" s="1">
        <f t="shared" si="49"/>
        <v>12812.5</v>
      </c>
      <c r="O140" s="1">
        <f t="shared" si="49"/>
        <v>12812.5</v>
      </c>
      <c r="P140" s="1">
        <f t="shared" si="49"/>
        <v>12812.5</v>
      </c>
      <c r="Q140" s="1">
        <f t="shared" si="49"/>
        <v>12812.5</v>
      </c>
      <c r="R140" s="1">
        <f t="shared" si="49"/>
        <v>205000</v>
      </c>
    </row>
    <row r="141" spans="1:18" x14ac:dyDescent="0.3">
      <c r="A141" s="1" t="s">
        <v>632</v>
      </c>
    </row>
    <row r="142" spans="1:18" x14ac:dyDescent="0.3">
      <c r="A142" s="1" t="s">
        <v>631</v>
      </c>
    </row>
    <row r="143" spans="1:18" x14ac:dyDescent="0.3">
      <c r="A143" s="1" t="s">
        <v>630</v>
      </c>
      <c r="B143" s="1">
        <f t="shared" ref="B143:R143" si="50">SUBTOTAL(9,B114:B142)</f>
        <v>12812.5</v>
      </c>
      <c r="C143" s="1">
        <f t="shared" si="50"/>
        <v>12812.5</v>
      </c>
      <c r="D143" s="1">
        <f t="shared" si="50"/>
        <v>12812.5</v>
      </c>
      <c r="E143" s="1">
        <f t="shared" si="50"/>
        <v>12812.5</v>
      </c>
      <c r="F143" s="1">
        <f t="shared" si="50"/>
        <v>12812.5</v>
      </c>
      <c r="G143" s="1">
        <f t="shared" si="50"/>
        <v>12812.5</v>
      </c>
      <c r="H143" s="1">
        <f t="shared" si="50"/>
        <v>12812.5</v>
      </c>
      <c r="I143" s="1">
        <f t="shared" si="50"/>
        <v>12812.5</v>
      </c>
      <c r="J143" s="1">
        <f t="shared" si="50"/>
        <v>12812.5</v>
      </c>
      <c r="K143" s="1">
        <f t="shared" si="50"/>
        <v>12812.5</v>
      </c>
      <c r="L143" s="1">
        <f t="shared" si="50"/>
        <v>12812.5</v>
      </c>
      <c r="M143" s="1">
        <f t="shared" si="50"/>
        <v>12812.5</v>
      </c>
      <c r="N143" s="1">
        <f t="shared" si="50"/>
        <v>12812.5</v>
      </c>
      <c r="O143" s="1">
        <f t="shared" si="50"/>
        <v>12812.5</v>
      </c>
      <c r="P143" s="1">
        <f t="shared" si="50"/>
        <v>12812.5</v>
      </c>
      <c r="Q143" s="1">
        <f t="shared" si="50"/>
        <v>12812.5</v>
      </c>
      <c r="R143" s="1">
        <f t="shared" si="50"/>
        <v>205000</v>
      </c>
    </row>
    <row r="145" spans="1:19" s="9" customFormat="1" ht="54" x14ac:dyDescent="0.25">
      <c r="B145" s="17" t="str">
        <f t="array" ref="B145:Q145">TRANSPOSE(List_Functions)</f>
        <v>Generation</v>
      </c>
      <c r="C145" s="17" t="str">
        <v>Purchased Power</v>
      </c>
      <c r="D145" s="17" t="str">
        <v>Transmission</v>
      </c>
      <c r="E145" s="17" t="str">
        <v>Substations</v>
      </c>
      <c r="F145" s="17" t="str">
        <v>Primary Lines</v>
      </c>
      <c r="G145" s="17" t="str">
        <v>Transformers</v>
      </c>
      <c r="H145" s="17" t="str">
        <v>Secondary Lines</v>
      </c>
      <c r="I145" s="17" t="str">
        <v>Service Lines</v>
      </c>
      <c r="J145" s="17" t="str">
        <v>Meter Assets</v>
      </c>
      <c r="K145" s="17" t="str">
        <v>Meter Reading</v>
      </c>
      <c r="L145" s="17" t="str">
        <v>Billing</v>
      </c>
      <c r="M145" s="17" t="str">
        <v>Remittance &amp; Collection</v>
      </c>
      <c r="N145" s="17" t="str">
        <v>Uncollectibles &amp; Damage Claims</v>
      </c>
      <c r="O145" s="17" t="str">
        <v>Service Connections</v>
      </c>
      <c r="P145" s="17" t="str">
        <v>Late Payments</v>
      </c>
      <c r="Q145" s="17" t="str">
        <v>Lighting</v>
      </c>
      <c r="R145" s="17" t="s">
        <v>214</v>
      </c>
      <c r="S145" s="17" t="s">
        <v>680</v>
      </c>
    </row>
    <row r="146" spans="1:19" x14ac:dyDescent="0.3">
      <c r="A146" s="1" t="s">
        <v>262</v>
      </c>
    </row>
    <row r="147" spans="1:19" x14ac:dyDescent="0.3">
      <c r="A147" s="3" t="s">
        <v>247</v>
      </c>
      <c r="B147" s="1">
        <f>SUM(B7,B82,B115)</f>
        <v>593844</v>
      </c>
      <c r="C147" s="1">
        <f>SUM(C7,C82,C115)</f>
        <v>173374.00000000006</v>
      </c>
      <c r="D147" s="1">
        <f>SUM(D7,D82,D115)</f>
        <v>292763.00000000006</v>
      </c>
      <c r="E147" s="1">
        <f>SUM(E7,E82,E115)</f>
        <v>260061.00000000006</v>
      </c>
      <c r="F147" s="1">
        <f>SUM(F7,F82,F115)</f>
        <v>86687.000000000029</v>
      </c>
      <c r="G147" s="1">
        <f>SUM(G7,G82,G115)</f>
        <v>86687.000000000029</v>
      </c>
      <c r="H147" s="1">
        <f>SUM(H7,H82,H115)</f>
        <v>86687.000000000029</v>
      </c>
      <c r="I147" s="1">
        <f>SUM(I7,I82,I115)</f>
        <v>0</v>
      </c>
      <c r="J147" s="1">
        <f>SUM(J7,J82,J115)</f>
        <v>0</v>
      </c>
      <c r="K147" s="1">
        <f>SUM(K7,K82,K115)</f>
        <v>0</v>
      </c>
      <c r="L147" s="1">
        <f>SUM(L7,L82,L115)</f>
        <v>0</v>
      </c>
      <c r="M147" s="1">
        <f>SUM(M7,M82,M115)</f>
        <v>0</v>
      </c>
      <c r="N147" s="1">
        <f>SUM(N7,N82,N115)</f>
        <v>0</v>
      </c>
      <c r="O147" s="1">
        <f>SUM(O7,O82,O115)</f>
        <v>0</v>
      </c>
      <c r="P147" s="1">
        <f>SUM(P7,P82,P115)</f>
        <v>0</v>
      </c>
      <c r="Q147" s="1">
        <f>SUM(Q7,Q82,Q115)</f>
        <v>0</v>
      </c>
      <c r="R147" s="1">
        <f>SUM(B147:Q147)</f>
        <v>1580103</v>
      </c>
      <c r="S147" s="1">
        <f>SUMIFS(RR_Labour,RR_Reporting,$A147)</f>
        <v>1580103</v>
      </c>
    </row>
    <row r="148" spans="1:19" x14ac:dyDescent="0.3">
      <c r="A148" s="3" t="s">
        <v>248</v>
      </c>
      <c r="B148" s="1">
        <f>SUM(B8,B83,B116)</f>
        <v>0</v>
      </c>
      <c r="C148" s="1">
        <f>SUM(C8,C83,C116)</f>
        <v>0</v>
      </c>
      <c r="D148" s="1">
        <f>SUM(D8,D83,D116)</f>
        <v>0</v>
      </c>
      <c r="E148" s="1">
        <f>SUM(E8,E83,E116)</f>
        <v>0</v>
      </c>
      <c r="F148" s="1">
        <f>SUM(F8,F83,F116)</f>
        <v>0</v>
      </c>
      <c r="G148" s="1">
        <f>SUM(G8,G83,G116)</f>
        <v>0</v>
      </c>
      <c r="H148" s="1">
        <f>SUM(H8,H83,H116)</f>
        <v>0</v>
      </c>
      <c r="I148" s="1">
        <f>SUM(I8,I83,I116)</f>
        <v>0</v>
      </c>
      <c r="J148" s="1">
        <f>SUM(J8,J83,J116)</f>
        <v>0</v>
      </c>
      <c r="K148" s="1">
        <f>SUM(K8,K83,K116)</f>
        <v>0</v>
      </c>
      <c r="L148" s="1">
        <f>SUM(L8,L83,L116)</f>
        <v>0</v>
      </c>
      <c r="M148" s="1">
        <f>SUM(M8,M83,M116)</f>
        <v>0</v>
      </c>
      <c r="N148" s="1">
        <f>SUM(N8,N83,N116)</f>
        <v>0</v>
      </c>
      <c r="O148" s="1">
        <f>SUM(O8,O83,O116)</f>
        <v>0</v>
      </c>
      <c r="P148" s="1">
        <f>SUM(P8,P83,P116)</f>
        <v>0</v>
      </c>
      <c r="Q148" s="1">
        <f>SUM(Q8,Q83,Q116)</f>
        <v>0</v>
      </c>
      <c r="R148" s="1">
        <f>SUM(B148:Q148)</f>
        <v>0</v>
      </c>
      <c r="S148" s="1">
        <f>SUMIFS(RR_Labour,RR_Reporting,$A148)</f>
        <v>0</v>
      </c>
    </row>
    <row r="149" spans="1:19" x14ac:dyDescent="0.3">
      <c r="A149" s="3" t="s">
        <v>249</v>
      </c>
      <c r="B149" s="1">
        <f t="shared" ref="B149:R149" si="51">SUBTOTAL(9,B147:B148)</f>
        <v>593844</v>
      </c>
      <c r="C149" s="1">
        <f t="shared" si="51"/>
        <v>173374.00000000006</v>
      </c>
      <c r="D149" s="1">
        <f t="shared" si="51"/>
        <v>292763.00000000006</v>
      </c>
      <c r="E149" s="1">
        <f t="shared" si="51"/>
        <v>260061.00000000006</v>
      </c>
      <c r="F149" s="1">
        <f t="shared" si="51"/>
        <v>86687.000000000029</v>
      </c>
      <c r="G149" s="1">
        <f t="shared" si="51"/>
        <v>86687.000000000029</v>
      </c>
      <c r="H149" s="1">
        <f t="shared" si="51"/>
        <v>86687.000000000029</v>
      </c>
      <c r="I149" s="1">
        <f t="shared" si="51"/>
        <v>0</v>
      </c>
      <c r="J149" s="1">
        <f t="shared" si="51"/>
        <v>0</v>
      </c>
      <c r="K149" s="1">
        <f t="shared" si="51"/>
        <v>0</v>
      </c>
      <c r="L149" s="1">
        <f t="shared" si="51"/>
        <v>0</v>
      </c>
      <c r="M149" s="1">
        <f t="shared" si="51"/>
        <v>0</v>
      </c>
      <c r="N149" s="1">
        <f t="shared" si="51"/>
        <v>0</v>
      </c>
      <c r="O149" s="1">
        <f t="shared" si="51"/>
        <v>0</v>
      </c>
      <c r="P149" s="1">
        <f t="shared" si="51"/>
        <v>0</v>
      </c>
      <c r="Q149" s="1">
        <f t="shared" si="51"/>
        <v>0</v>
      </c>
      <c r="R149" s="1">
        <f t="shared" si="51"/>
        <v>1580103</v>
      </c>
    </row>
    <row r="150" spans="1:19" x14ac:dyDescent="0.3">
      <c r="A150" s="3" t="s">
        <v>124</v>
      </c>
      <c r="B150" s="1">
        <f>SUM(B10,B85,B118)</f>
        <v>49479.500000000015</v>
      </c>
      <c r="C150" s="1">
        <f>SUM(C10,C85,C118)</f>
        <v>0</v>
      </c>
      <c r="D150" s="1">
        <f>SUM(D10,D85,D118)</f>
        <v>49479.500000000015</v>
      </c>
      <c r="E150" s="1">
        <f>SUM(E10,E85,E118)</f>
        <v>250696.92721486284</v>
      </c>
      <c r="F150" s="1">
        <f>SUM(F10,F85,F118)</f>
        <v>634934.01531897788</v>
      </c>
      <c r="G150" s="1">
        <f>SUM(G10,G85,G118)</f>
        <v>926148.01542661968</v>
      </c>
      <c r="H150" s="1">
        <f>SUM(H10,H85,H118)</f>
        <v>222640.11621743703</v>
      </c>
      <c r="I150" s="1">
        <f>SUM(I10,I85,I118)</f>
        <v>20926.583110708274</v>
      </c>
      <c r="J150" s="1">
        <f>SUM(J10,J85,J118)</f>
        <v>91533</v>
      </c>
      <c r="K150" s="1">
        <f>SUM(K10,K85,K118)</f>
        <v>0</v>
      </c>
      <c r="L150" s="1">
        <f>SUM(L10,L85,L118)</f>
        <v>0</v>
      </c>
      <c r="M150" s="1">
        <f>SUM(M10,M85,M118)</f>
        <v>0</v>
      </c>
      <c r="N150" s="1">
        <f>SUM(N10,N85,N118)</f>
        <v>0</v>
      </c>
      <c r="O150" s="1">
        <f>SUM(O10,O85,O118)</f>
        <v>0</v>
      </c>
      <c r="P150" s="1">
        <f>SUM(P10,P85,P118)</f>
        <v>0</v>
      </c>
      <c r="Q150" s="1">
        <f>SUM(Q10,Q85,Q118)</f>
        <v>2481.3427113943239</v>
      </c>
      <c r="R150" s="1">
        <f>SUM(B150:Q150)</f>
        <v>2248319</v>
      </c>
      <c r="S150" s="1">
        <f>SUMIFS(RR_Labour,RR_Reporting,$A150)</f>
        <v>2248319</v>
      </c>
    </row>
    <row r="151" spans="1:19" x14ac:dyDescent="0.3">
      <c r="A151" s="3" t="s">
        <v>12</v>
      </c>
      <c r="B151" s="1">
        <f>SUM(B11,B86,B119)</f>
        <v>0</v>
      </c>
      <c r="C151" s="1">
        <f>SUM(C11,C86,C119)</f>
        <v>0</v>
      </c>
      <c r="D151" s="1">
        <f>SUM(D11,D86,D119)</f>
        <v>583159</v>
      </c>
      <c r="E151" s="1">
        <f>SUM(E11,E86,E119)</f>
        <v>0</v>
      </c>
      <c r="F151" s="1">
        <f>SUM(F11,F86,F119)</f>
        <v>0</v>
      </c>
      <c r="G151" s="1">
        <f>SUM(G11,G86,G119)</f>
        <v>0</v>
      </c>
      <c r="H151" s="1">
        <f>SUM(H11,H86,H119)</f>
        <v>0</v>
      </c>
      <c r="I151" s="1">
        <f>SUM(I11,I86,I119)</f>
        <v>0</v>
      </c>
      <c r="J151" s="1">
        <f>SUM(J11,J86,J119)</f>
        <v>0</v>
      </c>
      <c r="K151" s="1">
        <f>SUM(K11,K86,K119)</f>
        <v>0</v>
      </c>
      <c r="L151" s="1">
        <f>SUM(L11,L86,L119)</f>
        <v>0</v>
      </c>
      <c r="M151" s="1">
        <f>SUM(M11,M86,M119)</f>
        <v>0</v>
      </c>
      <c r="N151" s="1">
        <f>SUM(N11,N86,N119)</f>
        <v>0</v>
      </c>
      <c r="O151" s="1">
        <f>SUM(O11,O86,O119)</f>
        <v>0</v>
      </c>
      <c r="P151" s="1">
        <f>SUM(P11,P86,P119)</f>
        <v>0</v>
      </c>
      <c r="Q151" s="1">
        <f>SUM(Q11,Q86,Q119)</f>
        <v>0</v>
      </c>
      <c r="R151" s="1">
        <f>SUM(B151:Q151)</f>
        <v>583159</v>
      </c>
      <c r="S151" s="1">
        <f>SUMIFS(RR_Labour,RR_Reporting,$A151)</f>
        <v>583159</v>
      </c>
    </row>
    <row r="152" spans="1:19" x14ac:dyDescent="0.3">
      <c r="A152" s="3" t="s">
        <v>250</v>
      </c>
      <c r="B152" s="1">
        <f>SUM(B12,B87,B120)</f>
        <v>0</v>
      </c>
      <c r="C152" s="1">
        <f>SUM(C12,C87,C120)</f>
        <v>0</v>
      </c>
      <c r="D152" s="1">
        <f>SUM(D12,D87,D120)</f>
        <v>0</v>
      </c>
      <c r="E152" s="1">
        <f>SUM(E12,E87,E120)</f>
        <v>0</v>
      </c>
      <c r="F152" s="1">
        <f>SUM(F12,F87,F120)</f>
        <v>0</v>
      </c>
      <c r="G152" s="1">
        <f>SUM(G12,G87,G120)</f>
        <v>0</v>
      </c>
      <c r="H152" s="1">
        <f>SUM(H12,H87,H120)</f>
        <v>0</v>
      </c>
      <c r="I152" s="1">
        <f>SUM(I12,I87,I120)</f>
        <v>0</v>
      </c>
      <c r="J152" s="1">
        <f>SUM(J12,J87,J120)</f>
        <v>0</v>
      </c>
      <c r="K152" s="1">
        <f>SUM(K12,K87,K120)</f>
        <v>0</v>
      </c>
      <c r="L152" s="1">
        <f>SUM(L12,L87,L120)</f>
        <v>0</v>
      </c>
      <c r="M152" s="1">
        <f>SUM(M12,M87,M120)</f>
        <v>0</v>
      </c>
      <c r="N152" s="1">
        <f>SUM(N12,N87,N120)</f>
        <v>0</v>
      </c>
      <c r="O152" s="1">
        <f>SUM(O12,O87,O120)</f>
        <v>0</v>
      </c>
      <c r="P152" s="1">
        <f>SUM(P12,P87,P120)</f>
        <v>0</v>
      </c>
      <c r="Q152" s="1">
        <f>SUM(Q12,Q87,Q120)</f>
        <v>0</v>
      </c>
      <c r="R152" s="1">
        <f>SUM(B152:Q152)</f>
        <v>0</v>
      </c>
      <c r="S152" s="1">
        <f>SUMIFS(RR_Labour,RR_Reporting,$A152)</f>
        <v>0</v>
      </c>
    </row>
    <row r="153" spans="1:19" x14ac:dyDescent="0.3">
      <c r="A153" s="3" t="s">
        <v>251</v>
      </c>
      <c r="B153" s="1">
        <f>SUM(B13,B88,B121)</f>
        <v>0</v>
      </c>
      <c r="C153" s="1">
        <f>SUM(C13,C88,C121)</f>
        <v>0</v>
      </c>
      <c r="D153" s="1">
        <f>SUM(D13,D88,D121)</f>
        <v>288438</v>
      </c>
      <c r="E153" s="1">
        <f>SUM(E13,E88,E121)</f>
        <v>0</v>
      </c>
      <c r="F153" s="1">
        <f>SUM(F13,F88,F121)</f>
        <v>0</v>
      </c>
      <c r="G153" s="1">
        <f>SUM(G13,G88,G121)</f>
        <v>0</v>
      </c>
      <c r="H153" s="1">
        <f>SUM(H13,H88,H121)</f>
        <v>0</v>
      </c>
      <c r="I153" s="1">
        <f>SUM(I13,I88,I121)</f>
        <v>0</v>
      </c>
      <c r="J153" s="1">
        <f>SUM(J13,J88,J121)</f>
        <v>0</v>
      </c>
      <c r="K153" s="1">
        <f>SUM(K13,K88,K121)</f>
        <v>0</v>
      </c>
      <c r="L153" s="1">
        <f>SUM(L13,L88,L121)</f>
        <v>0</v>
      </c>
      <c r="M153" s="1">
        <f>SUM(M13,M88,M121)</f>
        <v>0</v>
      </c>
      <c r="N153" s="1">
        <f>SUM(N13,N88,N121)</f>
        <v>0</v>
      </c>
      <c r="O153" s="1">
        <f>SUM(O13,O88,O121)</f>
        <v>0</v>
      </c>
      <c r="P153" s="1">
        <f>SUM(P13,P88,P121)</f>
        <v>0</v>
      </c>
      <c r="Q153" s="1">
        <f>SUM(Q13,Q88,Q121)</f>
        <v>0</v>
      </c>
      <c r="R153" s="1">
        <f>SUM(B153:Q153)</f>
        <v>288438</v>
      </c>
      <c r="S153" s="1">
        <f>SUMIFS(RR_Labour,RR_Reporting,$A153)</f>
        <v>288438</v>
      </c>
    </row>
    <row r="154" spans="1:19" x14ac:dyDescent="0.3">
      <c r="A154" s="3" t="s">
        <v>252</v>
      </c>
      <c r="B154" s="1">
        <f>SUM(B14,B89,B122)</f>
        <v>12812.5</v>
      </c>
      <c r="C154" s="1">
        <f>SUM(C14,C89,C122)</f>
        <v>12812.5</v>
      </c>
      <c r="D154" s="1">
        <f>SUM(D14,D89,D122)</f>
        <v>12812.5</v>
      </c>
      <c r="E154" s="1">
        <f>SUM(E14,E89,E122)</f>
        <v>12812.5</v>
      </c>
      <c r="F154" s="1">
        <f>SUM(F14,F89,F122)</f>
        <v>12812.5</v>
      </c>
      <c r="G154" s="1">
        <f>SUM(G14,G89,G122)</f>
        <v>12812.5</v>
      </c>
      <c r="H154" s="1">
        <f>SUM(H14,H89,H122)</f>
        <v>12812.5</v>
      </c>
      <c r="I154" s="1">
        <f>SUM(I14,I89,I122)</f>
        <v>12812.5</v>
      </c>
      <c r="J154" s="1">
        <f>SUM(J14,J89,J122)</f>
        <v>12812.5</v>
      </c>
      <c r="K154" s="1">
        <f>SUM(K14,K89,K122)</f>
        <v>414275.5</v>
      </c>
      <c r="L154" s="1">
        <f>SUM(L14,L89,L122)</f>
        <v>123008.5</v>
      </c>
      <c r="M154" s="1">
        <f>SUM(M14,M89,M122)</f>
        <v>12812.5</v>
      </c>
      <c r="N154" s="1">
        <f>SUM(N14,N89,N122)</f>
        <v>12812.5</v>
      </c>
      <c r="O154" s="1">
        <f>SUM(O14,O89,O122)</f>
        <v>12812.5</v>
      </c>
      <c r="P154" s="1">
        <f>SUM(P14,P89,P122)</f>
        <v>12812.5</v>
      </c>
      <c r="Q154" s="1">
        <f>SUM(Q14,Q89,Q122)</f>
        <v>12812.5</v>
      </c>
      <c r="R154" s="1">
        <f>SUM(B154:Q154)</f>
        <v>716659</v>
      </c>
      <c r="S154" s="1">
        <f>SUMIFS(RR_Labour,RR_Reporting,$A154)</f>
        <v>716309</v>
      </c>
    </row>
    <row r="155" spans="1:19" x14ac:dyDescent="0.3">
      <c r="A155" s="3" t="s">
        <v>253</v>
      </c>
      <c r="B155" s="1">
        <f t="shared" ref="B155:R155" si="52">SUBTOTAL(9,B146:B154)</f>
        <v>656136</v>
      </c>
      <c r="C155" s="1">
        <f t="shared" si="52"/>
        <v>186186.50000000006</v>
      </c>
      <c r="D155" s="1">
        <f t="shared" si="52"/>
        <v>1226652</v>
      </c>
      <c r="E155" s="1">
        <f t="shared" si="52"/>
        <v>523570.4272148629</v>
      </c>
      <c r="F155" s="1">
        <f t="shared" si="52"/>
        <v>734433.51531897788</v>
      </c>
      <c r="G155" s="1">
        <f t="shared" si="52"/>
        <v>1025647.5154266197</v>
      </c>
      <c r="H155" s="1">
        <f t="shared" si="52"/>
        <v>322139.61621743708</v>
      </c>
      <c r="I155" s="1">
        <f t="shared" si="52"/>
        <v>33739.083110708278</v>
      </c>
      <c r="J155" s="1">
        <f t="shared" si="52"/>
        <v>104345.5</v>
      </c>
      <c r="K155" s="1">
        <f t="shared" si="52"/>
        <v>414275.5</v>
      </c>
      <c r="L155" s="1">
        <f t="shared" si="52"/>
        <v>123008.5</v>
      </c>
      <c r="M155" s="1">
        <f t="shared" si="52"/>
        <v>12812.5</v>
      </c>
      <c r="N155" s="1">
        <f t="shared" si="52"/>
        <v>12812.5</v>
      </c>
      <c r="O155" s="1">
        <f t="shared" si="52"/>
        <v>12812.5</v>
      </c>
      <c r="P155" s="1">
        <f t="shared" si="52"/>
        <v>12812.5</v>
      </c>
      <c r="Q155" s="1">
        <f t="shared" si="52"/>
        <v>15293.842711394323</v>
      </c>
      <c r="R155" s="1">
        <f t="shared" si="52"/>
        <v>5416678</v>
      </c>
    </row>
    <row r="156" spans="1:19" x14ac:dyDescent="0.3">
      <c r="A156" s="2" t="s">
        <v>138</v>
      </c>
    </row>
    <row r="157" spans="1:19" x14ac:dyDescent="0.3">
      <c r="A157" s="3" t="s">
        <v>479</v>
      </c>
      <c r="B157" s="1">
        <f>SUM(B17,B92)</f>
        <v>0</v>
      </c>
      <c r="C157" s="1">
        <f>SUM(C17,C92)</f>
        <v>0</v>
      </c>
      <c r="D157" s="1">
        <f>SUM(D17,D92)</f>
        <v>0</v>
      </c>
      <c r="E157" s="1">
        <f>SUM(E17,E92)</f>
        <v>0</v>
      </c>
      <c r="F157" s="1">
        <f>SUM(F17,F92)</f>
        <v>0</v>
      </c>
      <c r="G157" s="1">
        <f>SUM(G17,G92)</f>
        <v>0</v>
      </c>
      <c r="H157" s="1">
        <f>SUM(H17,H92)</f>
        <v>0</v>
      </c>
      <c r="I157" s="1">
        <f>SUM(I17,I92)</f>
        <v>0</v>
      </c>
      <c r="J157" s="1">
        <f>SUM(J17,J92)</f>
        <v>0</v>
      </c>
      <c r="K157" s="1">
        <f>SUM(K17,K92)</f>
        <v>0</v>
      </c>
      <c r="L157" s="1">
        <f>SUM(L17,L92)</f>
        <v>0</v>
      </c>
      <c r="M157" s="1">
        <f>SUM(M17,M92)</f>
        <v>0</v>
      </c>
      <c r="N157" s="1">
        <f>SUM(N17,N92)</f>
        <v>0</v>
      </c>
      <c r="O157" s="1">
        <f>SUM(O17,O92)</f>
        <v>0</v>
      </c>
      <c r="P157" s="1">
        <f>SUM(P17,P92)</f>
        <v>0</v>
      </c>
      <c r="Q157" s="1">
        <f>SUM(Q17,Q92)</f>
        <v>0</v>
      </c>
      <c r="R157" s="1">
        <f>SUM(B157:Q157)</f>
        <v>0</v>
      </c>
      <c r="S157" s="1">
        <f>SUMIFS(RR_Labour,RR_Reporting,$A157)</f>
        <v>0</v>
      </c>
    </row>
    <row r="158" spans="1:19" x14ac:dyDescent="0.3">
      <c r="A158" s="47" t="s">
        <v>725</v>
      </c>
      <c r="B158" s="1">
        <f>SUM(B18,B93)</f>
        <v>0</v>
      </c>
      <c r="C158" s="1">
        <f>SUM(C18,C93)</f>
        <v>0</v>
      </c>
      <c r="D158" s="1">
        <f>SUM(D18,D93)</f>
        <v>0</v>
      </c>
      <c r="E158" s="1">
        <f>SUM(E18,E93)</f>
        <v>0</v>
      </c>
      <c r="F158" s="1">
        <f>SUM(F18,F93)</f>
        <v>0</v>
      </c>
      <c r="G158" s="1">
        <f>SUM(G18,G93)</f>
        <v>0</v>
      </c>
      <c r="H158" s="1">
        <f>SUM(H18,H93)</f>
        <v>0</v>
      </c>
      <c r="I158" s="1">
        <f>SUM(I18,I93)</f>
        <v>0</v>
      </c>
      <c r="J158" s="1">
        <f>SUM(J18,J93)</f>
        <v>0</v>
      </c>
      <c r="K158" s="1">
        <f>SUM(K18,K93)</f>
        <v>0</v>
      </c>
      <c r="L158" s="1">
        <f>SUM(L18,L93)</f>
        <v>0</v>
      </c>
      <c r="M158" s="1">
        <f>SUM(M18,M93)</f>
        <v>0</v>
      </c>
      <c r="N158" s="1">
        <f>SUM(N18,N93)</f>
        <v>0</v>
      </c>
      <c r="O158" s="1">
        <f>SUM(O18,O93)</f>
        <v>0</v>
      </c>
      <c r="P158" s="1">
        <f>SUM(P18,P93)</f>
        <v>0</v>
      </c>
      <c r="Q158" s="1">
        <f>SUM(Q18,Q93)</f>
        <v>0</v>
      </c>
      <c r="R158" s="1">
        <f>SUM(B158:Q158)</f>
        <v>0</v>
      </c>
    </row>
    <row r="159" spans="1:19" x14ac:dyDescent="0.3">
      <c r="A159" s="3" t="s">
        <v>480</v>
      </c>
      <c r="B159" s="1">
        <f>SUM(B19,B94)</f>
        <v>0</v>
      </c>
      <c r="C159" s="1">
        <f>SUM(C19,C94)</f>
        <v>0</v>
      </c>
      <c r="D159" s="1">
        <f>SUM(D19,D94)</f>
        <v>0</v>
      </c>
      <c r="E159" s="1">
        <f>SUM(E19,E94)</f>
        <v>0</v>
      </c>
      <c r="F159" s="1">
        <f>SUM(F19,F94)</f>
        <v>0</v>
      </c>
      <c r="G159" s="1">
        <f>SUM(G19,G94)</f>
        <v>0</v>
      </c>
      <c r="H159" s="1">
        <f>SUM(H19,H94)</f>
        <v>0</v>
      </c>
      <c r="I159" s="1">
        <f>SUM(I19,I94)</f>
        <v>0</v>
      </c>
      <c r="J159" s="1">
        <f>SUM(J19,J94)</f>
        <v>0</v>
      </c>
      <c r="K159" s="1">
        <f>SUM(K19,K94)</f>
        <v>0</v>
      </c>
      <c r="L159" s="1">
        <f>SUM(L19,L94)</f>
        <v>0</v>
      </c>
      <c r="M159" s="1">
        <f>SUM(M19,M94)</f>
        <v>0</v>
      </c>
      <c r="N159" s="1">
        <f>SUM(N19,N94)</f>
        <v>0</v>
      </c>
      <c r="O159" s="1">
        <f>SUM(O19,O94)</f>
        <v>0</v>
      </c>
      <c r="P159" s="1">
        <f>SUM(P19,P94)</f>
        <v>0</v>
      </c>
      <c r="Q159" s="1">
        <f>SUM(Q19,Q94)</f>
        <v>0</v>
      </c>
      <c r="R159" s="1">
        <f>SUM(B159:Q159)</f>
        <v>0</v>
      </c>
      <c r="S159" s="1">
        <f>SUMIFS(RR_Labour,RR_Reporting,$A159)</f>
        <v>0</v>
      </c>
    </row>
    <row r="160" spans="1:19" x14ac:dyDescent="0.3">
      <c r="A160" s="3" t="s">
        <v>254</v>
      </c>
      <c r="B160" s="1">
        <f t="shared" ref="B160:R160" si="53">SUBTOTAL(9,B156:B159)</f>
        <v>0</v>
      </c>
      <c r="C160" s="1">
        <f t="shared" si="53"/>
        <v>0</v>
      </c>
      <c r="D160" s="1">
        <f t="shared" si="53"/>
        <v>0</v>
      </c>
      <c r="E160" s="1">
        <f t="shared" si="53"/>
        <v>0</v>
      </c>
      <c r="F160" s="1">
        <f t="shared" si="53"/>
        <v>0</v>
      </c>
      <c r="G160" s="1">
        <f t="shared" si="53"/>
        <v>0</v>
      </c>
      <c r="H160" s="1">
        <f t="shared" si="53"/>
        <v>0</v>
      </c>
      <c r="I160" s="1">
        <f t="shared" si="53"/>
        <v>0</v>
      </c>
      <c r="J160" s="1">
        <f t="shared" si="53"/>
        <v>0</v>
      </c>
      <c r="K160" s="1">
        <f t="shared" si="53"/>
        <v>0</v>
      </c>
      <c r="L160" s="1">
        <f t="shared" si="53"/>
        <v>0</v>
      </c>
      <c r="M160" s="1">
        <f t="shared" si="53"/>
        <v>0</v>
      </c>
      <c r="N160" s="1">
        <f t="shared" si="53"/>
        <v>0</v>
      </c>
      <c r="O160" s="1">
        <f t="shared" si="53"/>
        <v>0</v>
      </c>
      <c r="P160" s="1">
        <f t="shared" si="53"/>
        <v>0</v>
      </c>
      <c r="Q160" s="1">
        <f t="shared" si="53"/>
        <v>0</v>
      </c>
      <c r="R160" s="1">
        <f t="shared" si="53"/>
        <v>0</v>
      </c>
      <c r="S160" s="1">
        <f>SUMIFS(RR_Labour,RR_Reporting,$A160)</f>
        <v>0</v>
      </c>
    </row>
    <row r="161" spans="1:19" x14ac:dyDescent="0.3">
      <c r="A161" s="1" t="s">
        <v>263</v>
      </c>
      <c r="B161" s="1">
        <f t="shared" ref="B161:R161" si="54">SUBTOTAL(9,B146:B160)</f>
        <v>656136</v>
      </c>
      <c r="C161" s="1">
        <f t="shared" si="54"/>
        <v>186186.50000000006</v>
      </c>
      <c r="D161" s="1">
        <f t="shared" si="54"/>
        <v>1226652</v>
      </c>
      <c r="E161" s="1">
        <f t="shared" si="54"/>
        <v>523570.4272148629</v>
      </c>
      <c r="F161" s="1">
        <f t="shared" si="54"/>
        <v>734433.51531897788</v>
      </c>
      <c r="G161" s="1">
        <f t="shared" si="54"/>
        <v>1025647.5154266197</v>
      </c>
      <c r="H161" s="1">
        <f t="shared" si="54"/>
        <v>322139.61621743708</v>
      </c>
      <c r="I161" s="1">
        <f t="shared" si="54"/>
        <v>33739.083110708278</v>
      </c>
      <c r="J161" s="1">
        <f t="shared" si="54"/>
        <v>104345.5</v>
      </c>
      <c r="K161" s="1">
        <f t="shared" si="54"/>
        <v>414275.5</v>
      </c>
      <c r="L161" s="1">
        <f t="shared" si="54"/>
        <v>123008.5</v>
      </c>
      <c r="M161" s="1">
        <f t="shared" si="54"/>
        <v>12812.5</v>
      </c>
      <c r="N161" s="1">
        <f t="shared" si="54"/>
        <v>12812.5</v>
      </c>
      <c r="O161" s="1">
        <f t="shared" si="54"/>
        <v>12812.5</v>
      </c>
      <c r="P161" s="1">
        <f t="shared" si="54"/>
        <v>12812.5</v>
      </c>
      <c r="Q161" s="1">
        <f t="shared" si="54"/>
        <v>15293.842711394323</v>
      </c>
      <c r="R161" s="1">
        <f t="shared" si="54"/>
        <v>5416678</v>
      </c>
    </row>
    <row r="162" spans="1:19" x14ac:dyDescent="0.3">
      <c r="A162" s="1" t="s">
        <v>246</v>
      </c>
    </row>
    <row r="163" spans="1:19" x14ac:dyDescent="0.3">
      <c r="A163" s="3" t="s">
        <v>255</v>
      </c>
      <c r="B163" s="1">
        <f>SUM(B23,B98)</f>
        <v>0</v>
      </c>
      <c r="C163" s="1">
        <f>SUM(C23,C98)</f>
        <v>0</v>
      </c>
      <c r="D163" s="1">
        <f>SUM(D23,D98)</f>
        <v>0</v>
      </c>
      <c r="E163" s="1">
        <f>SUM(E23,E98)</f>
        <v>0</v>
      </c>
      <c r="F163" s="1">
        <f>SUM(F23,F98)</f>
        <v>0</v>
      </c>
      <c r="G163" s="1">
        <f>SUM(G23,G98)</f>
        <v>0</v>
      </c>
      <c r="H163" s="1">
        <f>SUM(H23,H98)</f>
        <v>0</v>
      </c>
      <c r="I163" s="1">
        <f>SUM(I23,I98)</f>
        <v>0</v>
      </c>
      <c r="J163" s="1">
        <f>SUM(J23,J98)</f>
        <v>0</v>
      </c>
      <c r="K163" s="1">
        <f>SUM(K23,K98)</f>
        <v>0</v>
      </c>
      <c r="L163" s="1">
        <f>SUM(L23,L98)</f>
        <v>0</v>
      </c>
      <c r="M163" s="1">
        <f>SUM(M23,M98)</f>
        <v>0</v>
      </c>
      <c r="N163" s="1">
        <f>SUM(N23,N98)</f>
        <v>0</v>
      </c>
      <c r="O163" s="1">
        <f>SUM(O23,O98)</f>
        <v>0</v>
      </c>
      <c r="P163" s="1">
        <f>SUM(P23,P98)</f>
        <v>0</v>
      </c>
      <c r="Q163" s="1">
        <f>SUM(Q23,Q98)</f>
        <v>0</v>
      </c>
      <c r="R163" s="1">
        <f>SUM(B163:Q163)</f>
        <v>0</v>
      </c>
      <c r="S163" s="1">
        <f t="shared" ref="S163:S171" si="55">SUMIFS(RR_Labour,RR_Reporting,$A163)</f>
        <v>0</v>
      </c>
    </row>
    <row r="164" spans="1:19" x14ac:dyDescent="0.3">
      <c r="A164" s="3" t="s">
        <v>256</v>
      </c>
      <c r="B164" s="1">
        <f>SUM(B24,B99)</f>
        <v>0</v>
      </c>
      <c r="C164" s="1">
        <f>SUM(C24,C99)</f>
        <v>0</v>
      </c>
      <c r="D164" s="1">
        <f>SUM(D24,D99)</f>
        <v>0</v>
      </c>
      <c r="E164" s="1">
        <f>SUM(E24,E99)</f>
        <v>0</v>
      </c>
      <c r="F164" s="1">
        <f>SUM(F24,F99)</f>
        <v>0</v>
      </c>
      <c r="G164" s="1">
        <f>SUM(G24,G99)</f>
        <v>0</v>
      </c>
      <c r="H164" s="1">
        <f>SUM(H24,H99)</f>
        <v>0</v>
      </c>
      <c r="I164" s="1">
        <f>SUM(I24,I99)</f>
        <v>0</v>
      </c>
      <c r="J164" s="1">
        <f>SUM(J24,J99)</f>
        <v>0</v>
      </c>
      <c r="K164" s="1">
        <f>SUM(K24,K99)</f>
        <v>0</v>
      </c>
      <c r="L164" s="1">
        <f>SUM(L24,L99)</f>
        <v>0</v>
      </c>
      <c r="M164" s="1">
        <f>SUM(M24,M99)</f>
        <v>0</v>
      </c>
      <c r="N164" s="1">
        <f>SUM(N24,N99)</f>
        <v>0</v>
      </c>
      <c r="O164" s="1">
        <f>SUM(O24,O99)</f>
        <v>0</v>
      </c>
      <c r="P164" s="1">
        <f>SUM(P24,P99)</f>
        <v>0</v>
      </c>
      <c r="Q164" s="1">
        <f>SUM(Q24,Q99)</f>
        <v>0</v>
      </c>
      <c r="R164" s="1">
        <f>SUM(B164:Q164)</f>
        <v>0</v>
      </c>
      <c r="S164" s="1">
        <f t="shared" si="55"/>
        <v>0</v>
      </c>
    </row>
    <row r="165" spans="1:19" x14ac:dyDescent="0.3">
      <c r="A165" s="3" t="s">
        <v>257</v>
      </c>
      <c r="B165" s="1">
        <f>SUM(B25,B100)</f>
        <v>0</v>
      </c>
      <c r="C165" s="1">
        <f>SUM(C25,C100)</f>
        <v>0</v>
      </c>
      <c r="D165" s="1">
        <f>SUM(D25,D100)</f>
        <v>0</v>
      </c>
      <c r="E165" s="1">
        <f>SUM(E25,E100)</f>
        <v>0</v>
      </c>
      <c r="F165" s="1">
        <f>SUM(F25,F100)</f>
        <v>0</v>
      </c>
      <c r="G165" s="1">
        <f>SUM(G25,G100)</f>
        <v>0</v>
      </c>
      <c r="H165" s="1">
        <f>SUM(H25,H100)</f>
        <v>0</v>
      </c>
      <c r="I165" s="1">
        <f>SUM(I25,I100)</f>
        <v>0</v>
      </c>
      <c r="J165" s="1">
        <f>SUM(J25,J100)</f>
        <v>0</v>
      </c>
      <c r="K165" s="1">
        <f>SUM(K25,K100)</f>
        <v>0</v>
      </c>
      <c r="L165" s="1">
        <f>SUM(L25,L100)</f>
        <v>0</v>
      </c>
      <c r="M165" s="1">
        <f>SUM(M25,M100)</f>
        <v>0</v>
      </c>
      <c r="N165" s="1">
        <f>SUM(N25,N100)</f>
        <v>0</v>
      </c>
      <c r="O165" s="1">
        <f>SUM(O25,O100)</f>
        <v>0</v>
      </c>
      <c r="P165" s="1">
        <f>SUM(P25,P100)</f>
        <v>0</v>
      </c>
      <c r="Q165" s="1">
        <f>SUM(Q25,Q100)</f>
        <v>0</v>
      </c>
      <c r="R165" s="1">
        <f>SUM(B165:Q165)</f>
        <v>0</v>
      </c>
      <c r="S165" s="1">
        <f t="shared" si="55"/>
        <v>0</v>
      </c>
    </row>
    <row r="166" spans="1:19" x14ac:dyDescent="0.3">
      <c r="A166" s="47" t="s">
        <v>728</v>
      </c>
      <c r="B166" s="1">
        <f>SUM(B26,B101)</f>
        <v>0</v>
      </c>
      <c r="C166" s="1">
        <f>SUM(C26,C101)</f>
        <v>0</v>
      </c>
      <c r="D166" s="1">
        <f>SUM(D26,D101)</f>
        <v>0</v>
      </c>
      <c r="E166" s="1">
        <f>SUM(E26,E101)</f>
        <v>0</v>
      </c>
      <c r="F166" s="1">
        <f>SUM(F26,F101)</f>
        <v>0</v>
      </c>
      <c r="G166" s="1">
        <f>SUM(G26,G101)</f>
        <v>0</v>
      </c>
      <c r="H166" s="1">
        <f>SUM(H26,H101)</f>
        <v>0</v>
      </c>
      <c r="I166" s="1">
        <f>SUM(I26,I101)</f>
        <v>0</v>
      </c>
      <c r="J166" s="1">
        <f>SUM(J26,J101)</f>
        <v>0</v>
      </c>
      <c r="K166" s="1">
        <f>SUM(K26,K101)</f>
        <v>0</v>
      </c>
      <c r="L166" s="1">
        <f>SUM(L26,L101)</f>
        <v>0</v>
      </c>
      <c r="M166" s="1">
        <f>SUM(M26,M101)</f>
        <v>0</v>
      </c>
      <c r="N166" s="1">
        <f>SUM(N26,N101)</f>
        <v>0</v>
      </c>
      <c r="O166" s="1">
        <f>SUM(O26,O101)</f>
        <v>0</v>
      </c>
      <c r="P166" s="1">
        <f>SUM(P26,P101)</f>
        <v>0</v>
      </c>
      <c r="Q166" s="1">
        <f>SUM(Q26,Q101)</f>
        <v>0</v>
      </c>
      <c r="R166" s="1">
        <f>SUM(B166:Q166)</f>
        <v>0</v>
      </c>
    </row>
    <row r="167" spans="1:19" x14ac:dyDescent="0.3">
      <c r="A167" s="3" t="s">
        <v>258</v>
      </c>
      <c r="B167" s="1">
        <f>SUM(B27,B102)</f>
        <v>0</v>
      </c>
      <c r="C167" s="1">
        <f>SUM(C27,C102)</f>
        <v>0</v>
      </c>
      <c r="D167" s="1">
        <f>SUM(D27,D102)</f>
        <v>0</v>
      </c>
      <c r="E167" s="1">
        <f>SUM(E27,E102)</f>
        <v>0</v>
      </c>
      <c r="F167" s="1">
        <f>SUM(F27,F102)</f>
        <v>0</v>
      </c>
      <c r="G167" s="1">
        <f>SUM(G27,G102)</f>
        <v>0</v>
      </c>
      <c r="H167" s="1">
        <f>SUM(H27,H102)</f>
        <v>0</v>
      </c>
      <c r="I167" s="1">
        <f>SUM(I27,I102)</f>
        <v>0</v>
      </c>
      <c r="J167" s="1">
        <f>SUM(J27,J102)</f>
        <v>0</v>
      </c>
      <c r="K167" s="1">
        <f>SUM(K27,K102)</f>
        <v>0</v>
      </c>
      <c r="L167" s="1">
        <f>SUM(L27,L102)</f>
        <v>0</v>
      </c>
      <c r="M167" s="1">
        <f>SUM(M27,M102)</f>
        <v>0</v>
      </c>
      <c r="N167" s="1">
        <f>SUM(N27,N102)</f>
        <v>0</v>
      </c>
      <c r="O167" s="1">
        <f>SUM(O27,O102)</f>
        <v>0</v>
      </c>
      <c r="P167" s="1">
        <f>SUM(P27,P102)</f>
        <v>0</v>
      </c>
      <c r="Q167" s="1">
        <f>SUM(Q27,Q102)</f>
        <v>0</v>
      </c>
      <c r="R167" s="1">
        <f>SUM(B167:Q167)</f>
        <v>0</v>
      </c>
      <c r="S167" s="1">
        <f t="shared" si="55"/>
        <v>0</v>
      </c>
    </row>
    <row r="168" spans="1:19" x14ac:dyDescent="0.3">
      <c r="A168" s="3" t="s">
        <v>259</v>
      </c>
      <c r="B168" s="1">
        <f t="shared" ref="B168:R168" si="56">SUBTOTAL(9,B162:B167)</f>
        <v>0</v>
      </c>
      <c r="C168" s="1">
        <f t="shared" si="56"/>
        <v>0</v>
      </c>
      <c r="D168" s="1">
        <f t="shared" si="56"/>
        <v>0</v>
      </c>
      <c r="E168" s="1">
        <f t="shared" si="56"/>
        <v>0</v>
      </c>
      <c r="F168" s="1">
        <f t="shared" si="56"/>
        <v>0</v>
      </c>
      <c r="G168" s="1">
        <f t="shared" si="56"/>
        <v>0</v>
      </c>
      <c r="H168" s="1">
        <f t="shared" si="56"/>
        <v>0</v>
      </c>
      <c r="I168" s="1">
        <f t="shared" si="56"/>
        <v>0</v>
      </c>
      <c r="J168" s="1">
        <f t="shared" si="56"/>
        <v>0</v>
      </c>
      <c r="K168" s="1">
        <f t="shared" si="56"/>
        <v>0</v>
      </c>
      <c r="L168" s="1">
        <f t="shared" si="56"/>
        <v>0</v>
      </c>
      <c r="M168" s="1">
        <f t="shared" si="56"/>
        <v>0</v>
      </c>
      <c r="N168" s="1">
        <f t="shared" si="56"/>
        <v>0</v>
      </c>
      <c r="O168" s="1">
        <f t="shared" si="56"/>
        <v>0</v>
      </c>
      <c r="P168" s="1">
        <f t="shared" si="56"/>
        <v>0</v>
      </c>
      <c r="Q168" s="1">
        <f t="shared" si="56"/>
        <v>0</v>
      </c>
      <c r="R168" s="1">
        <f t="shared" si="56"/>
        <v>0</v>
      </c>
      <c r="S168" s="1">
        <f t="shared" si="55"/>
        <v>0</v>
      </c>
    </row>
    <row r="169" spans="1:19" x14ac:dyDescent="0.3">
      <c r="A169" s="1" t="s">
        <v>260</v>
      </c>
      <c r="B169" s="1">
        <f>SUBTOTAL(9,B170:B171)</f>
        <v>0</v>
      </c>
      <c r="C169" s="1">
        <f t="shared" ref="C169:R169" si="57">SUBTOTAL(9,C170:C171)</f>
        <v>0</v>
      </c>
      <c r="D169" s="1">
        <f t="shared" si="57"/>
        <v>0</v>
      </c>
      <c r="E169" s="1">
        <f t="shared" si="57"/>
        <v>0</v>
      </c>
      <c r="F169" s="1">
        <f t="shared" si="57"/>
        <v>0</v>
      </c>
      <c r="G169" s="1">
        <f t="shared" si="57"/>
        <v>0</v>
      </c>
      <c r="H169" s="1">
        <f t="shared" si="57"/>
        <v>0</v>
      </c>
      <c r="I169" s="1">
        <f t="shared" si="57"/>
        <v>0</v>
      </c>
      <c r="J169" s="1">
        <f t="shared" si="57"/>
        <v>0</v>
      </c>
      <c r="K169" s="1">
        <f t="shared" si="57"/>
        <v>0</v>
      </c>
      <c r="L169" s="1">
        <f t="shared" si="57"/>
        <v>0</v>
      </c>
      <c r="M169" s="1">
        <f t="shared" si="57"/>
        <v>0</v>
      </c>
      <c r="N169" s="1">
        <f t="shared" si="57"/>
        <v>0</v>
      </c>
      <c r="O169" s="1">
        <f t="shared" si="57"/>
        <v>0</v>
      </c>
      <c r="P169" s="1">
        <f t="shared" si="57"/>
        <v>0</v>
      </c>
      <c r="Q169" s="1">
        <f t="shared" si="57"/>
        <v>0</v>
      </c>
      <c r="R169" s="1">
        <f t="shared" si="57"/>
        <v>0</v>
      </c>
      <c r="S169" s="1">
        <f t="shared" si="55"/>
        <v>0</v>
      </c>
    </row>
    <row r="170" spans="1:19" x14ac:dyDescent="0.3">
      <c r="A170" s="1" t="s">
        <v>261</v>
      </c>
      <c r="B170" s="1">
        <f>SUM(B30,B105)</f>
        <v>0</v>
      </c>
      <c r="C170" s="1">
        <f>SUM(C30,C105)</f>
        <v>0</v>
      </c>
      <c r="D170" s="1">
        <f>SUM(D30,D105)</f>
        <v>0</v>
      </c>
      <c r="E170" s="1">
        <f>SUM(E30,E105)</f>
        <v>0</v>
      </c>
      <c r="F170" s="1">
        <f>SUM(F30,F105)</f>
        <v>0</v>
      </c>
      <c r="G170" s="1">
        <f>SUM(G30,G105)</f>
        <v>0</v>
      </c>
      <c r="H170" s="1">
        <f>SUM(H30,H105)</f>
        <v>0</v>
      </c>
      <c r="I170" s="1">
        <f>SUM(I30,I105)</f>
        <v>0</v>
      </c>
      <c r="J170" s="1">
        <f>SUM(J30,J105)</f>
        <v>0</v>
      </c>
      <c r="K170" s="1">
        <f>SUM(K30,K105)</f>
        <v>0</v>
      </c>
      <c r="L170" s="1">
        <f>SUM(L30,L105)</f>
        <v>0</v>
      </c>
      <c r="M170" s="1">
        <f>SUM(M30,M105)</f>
        <v>0</v>
      </c>
      <c r="N170" s="1">
        <f>SUM(N30,N105)</f>
        <v>0</v>
      </c>
      <c r="O170" s="1">
        <f>SUM(O30,O105)</f>
        <v>0</v>
      </c>
      <c r="P170" s="1">
        <f>SUM(P30,P105)</f>
        <v>0</v>
      </c>
      <c r="Q170" s="1">
        <f>SUM(Q30,Q105)</f>
        <v>0</v>
      </c>
      <c r="R170" s="1">
        <f>SUM(B170:Q170)</f>
        <v>0</v>
      </c>
      <c r="S170" s="1">
        <f t="shared" si="55"/>
        <v>0</v>
      </c>
    </row>
    <row r="171" spans="1:19" x14ac:dyDescent="0.3">
      <c r="A171" s="1" t="s">
        <v>606</v>
      </c>
      <c r="B171" s="1">
        <f>SUM(B31,B106)</f>
        <v>0</v>
      </c>
      <c r="C171" s="1">
        <f>SUM(C31,C106)</f>
        <v>0</v>
      </c>
      <c r="D171" s="1">
        <f>SUM(D31,D106)</f>
        <v>0</v>
      </c>
      <c r="E171" s="1">
        <f>SUM(E31,E106)</f>
        <v>0</v>
      </c>
      <c r="F171" s="1">
        <f>SUM(F31,F106)</f>
        <v>0</v>
      </c>
      <c r="G171" s="1">
        <f>SUM(G31,G106)</f>
        <v>0</v>
      </c>
      <c r="H171" s="1">
        <f>SUM(H31,H106)</f>
        <v>0</v>
      </c>
      <c r="I171" s="1">
        <f>SUM(I31,I106)</f>
        <v>0</v>
      </c>
      <c r="J171" s="1">
        <f>SUM(J31,J106)</f>
        <v>0</v>
      </c>
      <c r="K171" s="1">
        <f>SUM(K31,K106)</f>
        <v>0</v>
      </c>
      <c r="L171" s="1">
        <f>SUM(L31,L106)</f>
        <v>0</v>
      </c>
      <c r="M171" s="1">
        <f>SUM(M31,M106)</f>
        <v>0</v>
      </c>
      <c r="N171" s="1">
        <f>SUM(N31,N106)</f>
        <v>0</v>
      </c>
      <c r="O171" s="1">
        <f>SUM(O31,O106)</f>
        <v>0</v>
      </c>
      <c r="P171" s="1">
        <f>SUM(P31,P106)</f>
        <v>0</v>
      </c>
      <c r="Q171" s="1">
        <f>SUM(Q31,Q106)</f>
        <v>0</v>
      </c>
      <c r="R171" s="1">
        <f>SUM(B171:Q171)</f>
        <v>0</v>
      </c>
      <c r="S171" s="1">
        <f t="shared" si="55"/>
        <v>0</v>
      </c>
    </row>
    <row r="172" spans="1:19" x14ac:dyDescent="0.3">
      <c r="A172" s="1" t="s">
        <v>629</v>
      </c>
      <c r="B172" s="1">
        <f>SUBTOTAL(9,B146:B171)</f>
        <v>656136</v>
      </c>
      <c r="C172" s="1">
        <f t="shared" ref="C172:R172" si="58">SUBTOTAL(9,C146:C171)</f>
        <v>186186.50000000006</v>
      </c>
      <c r="D172" s="1">
        <f t="shared" si="58"/>
        <v>1226652</v>
      </c>
      <c r="E172" s="1">
        <f t="shared" si="58"/>
        <v>523570.4272148629</v>
      </c>
      <c r="F172" s="1">
        <f t="shared" si="58"/>
        <v>734433.51531897788</v>
      </c>
      <c r="G172" s="1">
        <f t="shared" si="58"/>
        <v>1025647.5154266197</v>
      </c>
      <c r="H172" s="1">
        <f t="shared" si="58"/>
        <v>322139.61621743708</v>
      </c>
      <c r="I172" s="1">
        <f t="shared" si="58"/>
        <v>33739.083110708278</v>
      </c>
      <c r="J172" s="1">
        <f t="shared" si="58"/>
        <v>104345.5</v>
      </c>
      <c r="K172" s="1">
        <f t="shared" si="58"/>
        <v>414275.5</v>
      </c>
      <c r="L172" s="1">
        <f t="shared" si="58"/>
        <v>123008.5</v>
      </c>
      <c r="M172" s="1">
        <f t="shared" si="58"/>
        <v>12812.5</v>
      </c>
      <c r="N172" s="1">
        <f t="shared" si="58"/>
        <v>12812.5</v>
      </c>
      <c r="O172" s="1">
        <f t="shared" si="58"/>
        <v>12812.5</v>
      </c>
      <c r="P172" s="1">
        <f t="shared" si="58"/>
        <v>12812.5</v>
      </c>
      <c r="Q172" s="1">
        <f t="shared" si="58"/>
        <v>15293.842711394323</v>
      </c>
      <c r="R172" s="1">
        <f t="shared" si="58"/>
        <v>5416678</v>
      </c>
    </row>
    <row r="173" spans="1:19" x14ac:dyDescent="0.3">
      <c r="A173" s="1" t="s">
        <v>632</v>
      </c>
      <c r="B173" s="1">
        <f>SUM(B33,B108)</f>
        <v>0</v>
      </c>
      <c r="C173" s="1">
        <f>SUM(C33,C108)</f>
        <v>0</v>
      </c>
      <c r="D173" s="1">
        <f>SUM(D33,D108)</f>
        <v>0</v>
      </c>
      <c r="E173" s="1">
        <f>SUM(E33,E108)</f>
        <v>0</v>
      </c>
      <c r="F173" s="1">
        <f>SUM(F33,F108)</f>
        <v>0</v>
      </c>
      <c r="G173" s="1">
        <f>SUM(G33,G108)</f>
        <v>0</v>
      </c>
      <c r="H173" s="1">
        <f>SUM(H33,H108)</f>
        <v>0</v>
      </c>
      <c r="I173" s="1">
        <f>SUM(I33,I108)</f>
        <v>0</v>
      </c>
      <c r="J173" s="1">
        <f>SUM(J33,J108)</f>
        <v>0</v>
      </c>
      <c r="K173" s="1">
        <f>SUM(K33,K108)</f>
        <v>0</v>
      </c>
      <c r="L173" s="1">
        <f>SUM(L33,L108)</f>
        <v>0</v>
      </c>
      <c r="M173" s="1">
        <f>SUM(M33,M108)</f>
        <v>0</v>
      </c>
      <c r="N173" s="1">
        <f>SUM(N33,N108)</f>
        <v>0</v>
      </c>
      <c r="O173" s="1">
        <f>SUM(O33,O108)</f>
        <v>0</v>
      </c>
      <c r="P173" s="1">
        <f>SUM(P33,P108)</f>
        <v>0</v>
      </c>
      <c r="Q173" s="1">
        <f>SUM(Q33,Q108)</f>
        <v>0</v>
      </c>
      <c r="R173" s="1">
        <f>SUM(B173:Q173)</f>
        <v>0</v>
      </c>
      <c r="S173" s="1">
        <f>SUMIFS(RR_Labour,RR_Reporting,$A173)</f>
        <v>0</v>
      </c>
    </row>
    <row r="174" spans="1:19" x14ac:dyDescent="0.3">
      <c r="A174" s="1" t="s">
        <v>631</v>
      </c>
      <c r="B174" s="1">
        <f>SUM(B34,B109)</f>
        <v>0</v>
      </c>
      <c r="C174" s="1">
        <f>SUM(C34,C109)</f>
        <v>0</v>
      </c>
      <c r="D174" s="1">
        <f>SUM(D34,D109)</f>
        <v>0</v>
      </c>
      <c r="E174" s="1">
        <f>SUM(E34,E109)</f>
        <v>0</v>
      </c>
      <c r="F174" s="1">
        <f>SUM(F34,F109)</f>
        <v>0</v>
      </c>
      <c r="G174" s="1">
        <f>SUM(G34,G109)</f>
        <v>0</v>
      </c>
      <c r="H174" s="1">
        <f>SUM(H34,H109)</f>
        <v>0</v>
      </c>
      <c r="I174" s="1">
        <f>SUM(I34,I109)</f>
        <v>0</v>
      </c>
      <c r="J174" s="1">
        <f>SUM(J34,J109)</f>
        <v>0</v>
      </c>
      <c r="K174" s="1">
        <f>SUM(K34,K109)</f>
        <v>0</v>
      </c>
      <c r="L174" s="1">
        <f>SUM(L34,L109)</f>
        <v>0</v>
      </c>
      <c r="M174" s="1">
        <f>SUM(M34,M109)</f>
        <v>0</v>
      </c>
      <c r="N174" s="1">
        <f>SUM(N34,N109)</f>
        <v>0</v>
      </c>
      <c r="O174" s="1">
        <f>SUM(O34,O109)</f>
        <v>0</v>
      </c>
      <c r="P174" s="1">
        <f>SUM(P34,P109)</f>
        <v>0</v>
      </c>
      <c r="Q174" s="1">
        <f>SUM(Q34,Q109)</f>
        <v>0</v>
      </c>
      <c r="R174" s="1">
        <f>SUM(B174:Q174)</f>
        <v>0</v>
      </c>
      <c r="S174" s="1">
        <f>SUMIFS(RR_Labour,RR_Reporting,$A174)</f>
        <v>0</v>
      </c>
    </row>
    <row r="175" spans="1:19" x14ac:dyDescent="0.3">
      <c r="A175" s="1" t="s">
        <v>630</v>
      </c>
      <c r="B175" s="1">
        <f t="shared" ref="B175:R175" si="59">SUBTOTAL(9,B146:B174)</f>
        <v>656136</v>
      </c>
      <c r="C175" s="1">
        <f t="shared" si="59"/>
        <v>186186.50000000006</v>
      </c>
      <c r="D175" s="1">
        <f t="shared" si="59"/>
        <v>1226652</v>
      </c>
      <c r="E175" s="1">
        <f t="shared" si="59"/>
        <v>523570.4272148629</v>
      </c>
      <c r="F175" s="1">
        <f t="shared" si="59"/>
        <v>734433.51531897788</v>
      </c>
      <c r="G175" s="1">
        <f t="shared" si="59"/>
        <v>1025647.5154266197</v>
      </c>
      <c r="H175" s="1">
        <f t="shared" si="59"/>
        <v>322139.61621743708</v>
      </c>
      <c r="I175" s="1">
        <f t="shared" si="59"/>
        <v>33739.083110708278</v>
      </c>
      <c r="J175" s="1">
        <f t="shared" si="59"/>
        <v>104345.5</v>
      </c>
      <c r="K175" s="1">
        <f t="shared" si="59"/>
        <v>414275.5</v>
      </c>
      <c r="L175" s="1">
        <f t="shared" si="59"/>
        <v>123008.5</v>
      </c>
      <c r="M175" s="1">
        <f t="shared" si="59"/>
        <v>12812.5</v>
      </c>
      <c r="N175" s="1">
        <f t="shared" si="59"/>
        <v>12812.5</v>
      </c>
      <c r="O175" s="1">
        <f t="shared" si="59"/>
        <v>12812.5</v>
      </c>
      <c r="P175" s="1">
        <f t="shared" si="59"/>
        <v>12812.5</v>
      </c>
      <c r="Q175" s="1">
        <f t="shared" si="59"/>
        <v>15293.842711394323</v>
      </c>
      <c r="R175" s="1">
        <f t="shared" si="59"/>
        <v>5416678</v>
      </c>
    </row>
    <row r="177" spans="1:3" x14ac:dyDescent="0.3">
      <c r="A177" s="1" t="s">
        <v>230</v>
      </c>
    </row>
    <row r="178" spans="1:3" x14ac:dyDescent="0.3">
      <c r="A178" s="1" t="s">
        <v>231</v>
      </c>
      <c r="B178" s="1">
        <f>R35</f>
        <v>2608992</v>
      </c>
    </row>
    <row r="179" spans="1:3" x14ac:dyDescent="0.3">
      <c r="A179" s="1" t="s">
        <v>225</v>
      </c>
      <c r="B179" s="1">
        <f>R68</f>
        <v>2807336</v>
      </c>
      <c r="C179" s="1" t="b">
        <f>ROUND(SUM(B178:B179),0)=ROUND(B181,0)</f>
        <v>1</v>
      </c>
    </row>
    <row r="180" spans="1:3" x14ac:dyDescent="0.3">
      <c r="A180" s="1" t="s">
        <v>232</v>
      </c>
      <c r="B180" s="1">
        <f>R110</f>
        <v>2602686.0000000005</v>
      </c>
      <c r="C180" s="1" t="b">
        <f>ROUND(B179,0)=ROUND(B180,0)</f>
        <v>0</v>
      </c>
    </row>
    <row r="181" spans="1:3" x14ac:dyDescent="0.3">
      <c r="A181" s="1" t="s">
        <v>233</v>
      </c>
      <c r="B181" s="1">
        <f>SUM(RR_Labour)</f>
        <v>5416328</v>
      </c>
    </row>
    <row r="182" spans="1:3" x14ac:dyDescent="0.3">
      <c r="A182" s="1" t="s">
        <v>234</v>
      </c>
      <c r="B182" s="1">
        <f>SUM(B175:Q175)</f>
        <v>5416678</v>
      </c>
      <c r="C182" s="1" t="b">
        <f>ROUND(B181,-4)=ROUND(B182,-4)</f>
        <v>1</v>
      </c>
    </row>
  </sheetData>
  <printOptions horizontalCentered="1" gridLines="1"/>
  <pageMargins left="0.19685039370078741" right="0.19685039370078741" top="0.98425196850393704" bottom="0.59055118110236227" header="0.19685039370078741" footer="0.19685039370078741"/>
  <pageSetup scale="60" pageOrder="overThenDown" orientation="landscape" r:id="rId1"/>
  <headerFooter scaleWithDoc="0">
    <oddHeader xml:space="preserve">&amp;C2023 "Status Quo Methods" Cost Allocation Model for MECL </oddHeader>
    <oddFooter>&amp;LPage &amp;P of &amp;N&amp;RJune 27, 2025</oddFooter>
  </headerFooter>
  <rowBreaks count="4" manualBreakCount="4">
    <brk id="36" max="17" man="1"/>
    <brk id="69" max="17" man="1"/>
    <brk id="111" max="17" man="1"/>
    <brk id="144"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S141"/>
  <sheetViews>
    <sheetView view="pageBreakPreview" topLeftCell="A78" zoomScale="40" zoomScaleNormal="100" zoomScaleSheetLayoutView="40" workbookViewId="0">
      <selection activeCell="E21" sqref="E21"/>
    </sheetView>
  </sheetViews>
  <sheetFormatPr defaultColWidth="8.7109375" defaultRowHeight="13.5" x14ac:dyDescent="0.3"/>
  <cols>
    <col min="1" max="1" width="25.7109375" style="1" customWidth="1"/>
    <col min="2" max="18" width="7.7109375" style="1" customWidth="1"/>
    <col min="19" max="16384" width="8.7109375" style="1"/>
  </cols>
  <sheetData>
    <row r="1" spans="1:18" x14ac:dyDescent="0.3">
      <c r="A1" s="1" t="s">
        <v>612</v>
      </c>
    </row>
    <row r="2" spans="1:18" x14ac:dyDescent="0.3">
      <c r="A2" s="1" t="s">
        <v>590</v>
      </c>
    </row>
    <row r="4" spans="1:18" s="5" customFormat="1" x14ac:dyDescent="0.3">
      <c r="A4" s="5" t="s">
        <v>224</v>
      </c>
    </row>
    <row r="5" spans="1:18" s="9" customFormat="1" ht="54" x14ac:dyDescent="0.25">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x14ac:dyDescent="0.3">
      <c r="A6" s="1" t="s">
        <v>262</v>
      </c>
    </row>
    <row r="7" spans="1:18" x14ac:dyDescent="0.3">
      <c r="A7" s="3" t="s">
        <v>247</v>
      </c>
      <c r="B7" s="1">
        <f t="shared" ref="B7:K8" si="0">SUMIFS(RR_Vehicle,RR_Reporting,$A7,RR_Function,B$5)</f>
        <v>26932</v>
      </c>
      <c r="C7" s="1">
        <f t="shared" si="0"/>
        <v>0</v>
      </c>
      <c r="D7" s="1">
        <f t="shared" si="0"/>
        <v>2263</v>
      </c>
      <c r="E7" s="1">
        <f t="shared" si="0"/>
        <v>0</v>
      </c>
      <c r="F7" s="1">
        <f t="shared" si="0"/>
        <v>0</v>
      </c>
      <c r="G7" s="1">
        <f t="shared" si="0"/>
        <v>0</v>
      </c>
      <c r="H7" s="1">
        <f t="shared" si="0"/>
        <v>0</v>
      </c>
      <c r="I7" s="1">
        <f t="shared" si="0"/>
        <v>0</v>
      </c>
      <c r="J7" s="1">
        <f t="shared" si="0"/>
        <v>0</v>
      </c>
      <c r="K7" s="1">
        <f t="shared" si="0"/>
        <v>0</v>
      </c>
      <c r="L7" s="1">
        <f t="shared" ref="L7:Q8" si="1">SUMIFS(RR_Vehicle,RR_Reporting,$A7,RR_Function,L$5)</f>
        <v>0</v>
      </c>
      <c r="M7" s="1">
        <f t="shared" si="1"/>
        <v>0</v>
      </c>
      <c r="N7" s="1">
        <f t="shared" si="1"/>
        <v>0</v>
      </c>
      <c r="O7" s="1">
        <f t="shared" si="1"/>
        <v>0</v>
      </c>
      <c r="P7" s="1">
        <f t="shared" si="1"/>
        <v>0</v>
      </c>
      <c r="Q7" s="1">
        <f t="shared" si="1"/>
        <v>0</v>
      </c>
      <c r="R7" s="1">
        <f>SUM(B7:Q7)</f>
        <v>29195</v>
      </c>
    </row>
    <row r="8" spans="1:18" x14ac:dyDescent="0.3">
      <c r="A8" s="3" t="s">
        <v>248</v>
      </c>
      <c r="B8" s="1">
        <f t="shared" si="0"/>
        <v>0</v>
      </c>
      <c r="C8" s="1">
        <f t="shared" si="0"/>
        <v>0</v>
      </c>
      <c r="D8" s="1">
        <f t="shared" si="0"/>
        <v>0</v>
      </c>
      <c r="E8" s="1">
        <f t="shared" si="0"/>
        <v>0</v>
      </c>
      <c r="F8" s="1">
        <f t="shared" si="0"/>
        <v>0</v>
      </c>
      <c r="G8" s="1">
        <f t="shared" si="0"/>
        <v>0</v>
      </c>
      <c r="H8" s="1">
        <f t="shared" si="0"/>
        <v>0</v>
      </c>
      <c r="I8" s="1">
        <f t="shared" si="0"/>
        <v>0</v>
      </c>
      <c r="J8" s="1">
        <f t="shared" si="0"/>
        <v>0</v>
      </c>
      <c r="K8" s="1">
        <f t="shared" si="0"/>
        <v>0</v>
      </c>
      <c r="L8" s="1">
        <f t="shared" si="1"/>
        <v>0</v>
      </c>
      <c r="M8" s="1">
        <f t="shared" si="1"/>
        <v>0</v>
      </c>
      <c r="N8" s="1">
        <f t="shared" si="1"/>
        <v>0</v>
      </c>
      <c r="O8" s="1">
        <f t="shared" si="1"/>
        <v>0</v>
      </c>
      <c r="P8" s="1">
        <f t="shared" si="1"/>
        <v>0</v>
      </c>
      <c r="Q8" s="1">
        <f t="shared" si="1"/>
        <v>0</v>
      </c>
      <c r="R8" s="1">
        <f>SUM(B8:Q8)</f>
        <v>0</v>
      </c>
    </row>
    <row r="9" spans="1:18" x14ac:dyDescent="0.3">
      <c r="A9" s="3" t="s">
        <v>249</v>
      </c>
      <c r="B9" s="1">
        <f>SUBTOTAL(9,B7:B8)</f>
        <v>26932</v>
      </c>
      <c r="C9" s="1">
        <f t="shared" ref="C9:R9" si="2">SUBTOTAL(9,C7:C8)</f>
        <v>0</v>
      </c>
      <c r="D9" s="1">
        <f t="shared" si="2"/>
        <v>2263</v>
      </c>
      <c r="E9" s="1">
        <f t="shared" si="2"/>
        <v>0</v>
      </c>
      <c r="F9" s="1">
        <f t="shared" si="2"/>
        <v>0</v>
      </c>
      <c r="G9" s="1">
        <f t="shared" si="2"/>
        <v>0</v>
      </c>
      <c r="H9" s="1">
        <f t="shared" si="2"/>
        <v>0</v>
      </c>
      <c r="I9" s="1">
        <f t="shared" si="2"/>
        <v>0</v>
      </c>
      <c r="J9" s="1">
        <f t="shared" si="2"/>
        <v>0</v>
      </c>
      <c r="K9" s="1">
        <f t="shared" si="2"/>
        <v>0</v>
      </c>
      <c r="L9" s="1">
        <f t="shared" si="2"/>
        <v>0</v>
      </c>
      <c r="M9" s="1">
        <f t="shared" si="2"/>
        <v>0</v>
      </c>
      <c r="N9" s="1">
        <f t="shared" si="2"/>
        <v>0</v>
      </c>
      <c r="O9" s="1">
        <f t="shared" si="2"/>
        <v>0</v>
      </c>
      <c r="P9" s="1">
        <f t="shared" si="2"/>
        <v>0</v>
      </c>
      <c r="Q9" s="1">
        <f t="shared" si="2"/>
        <v>0</v>
      </c>
      <c r="R9" s="1">
        <f t="shared" si="2"/>
        <v>29195</v>
      </c>
    </row>
    <row r="10" spans="1:18" x14ac:dyDescent="0.3">
      <c r="A10" s="3" t="s">
        <v>124</v>
      </c>
      <c r="B10" s="1">
        <f t="shared" ref="B10:K14" si="3">SUMIFS(RR_Vehicle,RR_Reporting,$A10,RR_Function,B$5)</f>
        <v>0</v>
      </c>
      <c r="C10" s="1">
        <f t="shared" si="3"/>
        <v>0</v>
      </c>
      <c r="D10" s="1">
        <f t="shared" si="3"/>
        <v>0</v>
      </c>
      <c r="E10" s="1">
        <f t="shared" si="3"/>
        <v>3614</v>
      </c>
      <c r="F10" s="1">
        <f t="shared" si="3"/>
        <v>0</v>
      </c>
      <c r="G10" s="1">
        <f t="shared" si="3"/>
        <v>119634</v>
      </c>
      <c r="H10" s="1">
        <f t="shared" si="3"/>
        <v>0</v>
      </c>
      <c r="I10" s="1">
        <f t="shared" si="3"/>
        <v>0</v>
      </c>
      <c r="J10" s="1">
        <f t="shared" si="3"/>
        <v>16390</v>
      </c>
      <c r="K10" s="1">
        <f t="shared" si="3"/>
        <v>0</v>
      </c>
      <c r="L10" s="1">
        <f t="shared" ref="L10:Q14" si="4">SUMIFS(RR_Vehicle,RR_Reporting,$A10,RR_Function,L$5)</f>
        <v>0</v>
      </c>
      <c r="M10" s="1">
        <f t="shared" si="4"/>
        <v>0</v>
      </c>
      <c r="N10" s="1">
        <f t="shared" si="4"/>
        <v>0</v>
      </c>
      <c r="O10" s="1">
        <f t="shared" si="4"/>
        <v>0</v>
      </c>
      <c r="P10" s="1">
        <f t="shared" si="4"/>
        <v>0</v>
      </c>
      <c r="Q10" s="1">
        <f t="shared" si="4"/>
        <v>0</v>
      </c>
      <c r="R10" s="1">
        <f>SUM(B10:Q10)</f>
        <v>139638</v>
      </c>
    </row>
    <row r="11" spans="1:18" x14ac:dyDescent="0.3">
      <c r="A11" s="3" t="s">
        <v>12</v>
      </c>
      <c r="B11" s="1">
        <f t="shared" si="3"/>
        <v>0</v>
      </c>
      <c r="C11" s="1">
        <f t="shared" si="3"/>
        <v>0</v>
      </c>
      <c r="D11" s="1">
        <f t="shared" si="3"/>
        <v>77382</v>
      </c>
      <c r="E11" s="1">
        <f t="shared" si="3"/>
        <v>0</v>
      </c>
      <c r="F11" s="1">
        <f t="shared" si="3"/>
        <v>0</v>
      </c>
      <c r="G11" s="1">
        <f t="shared" si="3"/>
        <v>0</v>
      </c>
      <c r="H11" s="1">
        <f t="shared" si="3"/>
        <v>0</v>
      </c>
      <c r="I11" s="1">
        <f t="shared" si="3"/>
        <v>0</v>
      </c>
      <c r="J11" s="1">
        <f t="shared" si="3"/>
        <v>0</v>
      </c>
      <c r="K11" s="1">
        <f t="shared" si="3"/>
        <v>0</v>
      </c>
      <c r="L11" s="1">
        <f t="shared" si="4"/>
        <v>0</v>
      </c>
      <c r="M11" s="1">
        <f t="shared" si="4"/>
        <v>0</v>
      </c>
      <c r="N11" s="1">
        <f t="shared" si="4"/>
        <v>0</v>
      </c>
      <c r="O11" s="1">
        <f t="shared" si="4"/>
        <v>0</v>
      </c>
      <c r="P11" s="1">
        <f t="shared" si="4"/>
        <v>0</v>
      </c>
      <c r="Q11" s="1">
        <f t="shared" si="4"/>
        <v>0</v>
      </c>
      <c r="R11" s="1">
        <f>SUM(B11:Q11)</f>
        <v>77382</v>
      </c>
    </row>
    <row r="12" spans="1:18" x14ac:dyDescent="0.3">
      <c r="A12" s="3" t="s">
        <v>250</v>
      </c>
      <c r="B12" s="1">
        <f t="shared" si="3"/>
        <v>0</v>
      </c>
      <c r="C12" s="1">
        <f t="shared" si="3"/>
        <v>0</v>
      </c>
      <c r="D12" s="1">
        <f t="shared" si="3"/>
        <v>0</v>
      </c>
      <c r="E12" s="1">
        <f t="shared" si="3"/>
        <v>0</v>
      </c>
      <c r="F12" s="1">
        <f t="shared" si="3"/>
        <v>0</v>
      </c>
      <c r="G12" s="1">
        <f t="shared" si="3"/>
        <v>0</v>
      </c>
      <c r="H12" s="1">
        <f t="shared" si="3"/>
        <v>0</v>
      </c>
      <c r="I12" s="1">
        <f t="shared" si="3"/>
        <v>0</v>
      </c>
      <c r="J12" s="1">
        <f t="shared" si="3"/>
        <v>0</v>
      </c>
      <c r="K12" s="1">
        <f t="shared" si="3"/>
        <v>0</v>
      </c>
      <c r="L12" s="1">
        <f t="shared" si="4"/>
        <v>0</v>
      </c>
      <c r="M12" s="1">
        <f t="shared" si="4"/>
        <v>0</v>
      </c>
      <c r="N12" s="1">
        <f t="shared" si="4"/>
        <v>0</v>
      </c>
      <c r="O12" s="1">
        <f t="shared" si="4"/>
        <v>0</v>
      </c>
      <c r="P12" s="1">
        <f t="shared" si="4"/>
        <v>0</v>
      </c>
      <c r="Q12" s="1">
        <f t="shared" si="4"/>
        <v>0</v>
      </c>
      <c r="R12" s="1">
        <f>SUM(B12:Q12)</f>
        <v>0</v>
      </c>
    </row>
    <row r="13" spans="1:18" x14ac:dyDescent="0.3">
      <c r="A13" s="3" t="s">
        <v>251</v>
      </c>
      <c r="B13" s="1">
        <f t="shared" si="3"/>
        <v>0</v>
      </c>
      <c r="C13" s="1">
        <f t="shared" si="3"/>
        <v>0</v>
      </c>
      <c r="D13" s="1">
        <f t="shared" si="3"/>
        <v>0</v>
      </c>
      <c r="E13" s="1">
        <f t="shared" si="3"/>
        <v>0</v>
      </c>
      <c r="F13" s="1">
        <f t="shared" si="3"/>
        <v>0</v>
      </c>
      <c r="G13" s="1">
        <f t="shared" si="3"/>
        <v>0</v>
      </c>
      <c r="H13" s="1">
        <f t="shared" si="3"/>
        <v>0</v>
      </c>
      <c r="I13" s="1">
        <f t="shared" si="3"/>
        <v>0</v>
      </c>
      <c r="J13" s="1">
        <f t="shared" si="3"/>
        <v>0</v>
      </c>
      <c r="K13" s="1">
        <f t="shared" si="3"/>
        <v>0</v>
      </c>
      <c r="L13" s="1">
        <f t="shared" si="4"/>
        <v>0</v>
      </c>
      <c r="M13" s="1">
        <f t="shared" si="4"/>
        <v>0</v>
      </c>
      <c r="N13" s="1">
        <f t="shared" si="4"/>
        <v>0</v>
      </c>
      <c r="O13" s="1">
        <f t="shared" si="4"/>
        <v>0</v>
      </c>
      <c r="P13" s="1">
        <f t="shared" si="4"/>
        <v>0</v>
      </c>
      <c r="Q13" s="1">
        <f t="shared" si="4"/>
        <v>0</v>
      </c>
      <c r="R13" s="1">
        <f>SUM(B13:Q13)</f>
        <v>0</v>
      </c>
    </row>
    <row r="14" spans="1:18" x14ac:dyDescent="0.3">
      <c r="A14" s="3" t="s">
        <v>252</v>
      </c>
      <c r="B14" s="1">
        <f t="shared" si="3"/>
        <v>0</v>
      </c>
      <c r="C14" s="1">
        <f t="shared" si="3"/>
        <v>0</v>
      </c>
      <c r="D14" s="1">
        <f t="shared" si="3"/>
        <v>0</v>
      </c>
      <c r="E14" s="1">
        <f t="shared" si="3"/>
        <v>0</v>
      </c>
      <c r="F14" s="1">
        <f t="shared" si="3"/>
        <v>0</v>
      </c>
      <c r="G14" s="1">
        <f t="shared" si="3"/>
        <v>0</v>
      </c>
      <c r="H14" s="1">
        <f t="shared" si="3"/>
        <v>0</v>
      </c>
      <c r="I14" s="1">
        <f t="shared" si="3"/>
        <v>0</v>
      </c>
      <c r="J14" s="1">
        <f t="shared" si="3"/>
        <v>0</v>
      </c>
      <c r="K14" s="1">
        <f t="shared" si="3"/>
        <v>0</v>
      </c>
      <c r="L14" s="1">
        <f t="shared" si="4"/>
        <v>0</v>
      </c>
      <c r="M14" s="1">
        <f t="shared" si="4"/>
        <v>0</v>
      </c>
      <c r="N14" s="1">
        <f t="shared" si="4"/>
        <v>0</v>
      </c>
      <c r="O14" s="1">
        <f t="shared" si="4"/>
        <v>0</v>
      </c>
      <c r="P14" s="1">
        <f t="shared" si="4"/>
        <v>0</v>
      </c>
      <c r="Q14" s="1">
        <f t="shared" si="4"/>
        <v>0</v>
      </c>
      <c r="R14" s="1">
        <f>SUM(B14:Q14)</f>
        <v>0</v>
      </c>
    </row>
    <row r="15" spans="1:18" x14ac:dyDescent="0.3">
      <c r="A15" s="3" t="s">
        <v>253</v>
      </c>
      <c r="B15" s="1">
        <f t="shared" ref="B15:R15" si="5">SUBTOTAL(9,B6:B14)</f>
        <v>26932</v>
      </c>
      <c r="C15" s="1">
        <f t="shared" si="5"/>
        <v>0</v>
      </c>
      <c r="D15" s="1">
        <f t="shared" si="5"/>
        <v>79645</v>
      </c>
      <c r="E15" s="1">
        <f t="shared" si="5"/>
        <v>3614</v>
      </c>
      <c r="F15" s="1">
        <f t="shared" si="5"/>
        <v>0</v>
      </c>
      <c r="G15" s="1">
        <f t="shared" si="5"/>
        <v>119634</v>
      </c>
      <c r="H15" s="1">
        <f t="shared" si="5"/>
        <v>0</v>
      </c>
      <c r="I15" s="1">
        <f t="shared" si="5"/>
        <v>0</v>
      </c>
      <c r="J15" s="1">
        <f t="shared" si="5"/>
        <v>16390</v>
      </c>
      <c r="K15" s="1">
        <f t="shared" si="5"/>
        <v>0</v>
      </c>
      <c r="L15" s="1">
        <f t="shared" si="5"/>
        <v>0</v>
      </c>
      <c r="M15" s="1">
        <f t="shared" si="5"/>
        <v>0</v>
      </c>
      <c r="N15" s="1">
        <f t="shared" si="5"/>
        <v>0</v>
      </c>
      <c r="O15" s="1">
        <f t="shared" si="5"/>
        <v>0</v>
      </c>
      <c r="P15" s="1">
        <f t="shared" si="5"/>
        <v>0</v>
      </c>
      <c r="Q15" s="1">
        <f t="shared" si="5"/>
        <v>0</v>
      </c>
      <c r="R15" s="1">
        <f t="shared" si="5"/>
        <v>246215</v>
      </c>
    </row>
    <row r="16" spans="1:18" x14ac:dyDescent="0.3">
      <c r="A16" s="2" t="s">
        <v>138</v>
      </c>
    </row>
    <row r="17" spans="1:18" x14ac:dyDescent="0.3">
      <c r="A17" s="3" t="s">
        <v>479</v>
      </c>
      <c r="B17" s="1">
        <f t="shared" ref="B17:K18" si="6">SUMIFS(RR_Vehicle,RR_Reporting,$A17,RR_Function,B$5)</f>
        <v>0</v>
      </c>
      <c r="C17" s="1">
        <f t="shared" si="6"/>
        <v>0</v>
      </c>
      <c r="D17" s="1">
        <f t="shared" si="6"/>
        <v>0</v>
      </c>
      <c r="E17" s="1">
        <f t="shared" si="6"/>
        <v>0</v>
      </c>
      <c r="F17" s="1">
        <f t="shared" si="6"/>
        <v>0</v>
      </c>
      <c r="G17" s="1">
        <f t="shared" si="6"/>
        <v>0</v>
      </c>
      <c r="H17" s="1">
        <f t="shared" si="6"/>
        <v>0</v>
      </c>
      <c r="I17" s="1">
        <f t="shared" si="6"/>
        <v>0</v>
      </c>
      <c r="J17" s="1">
        <f t="shared" si="6"/>
        <v>0</v>
      </c>
      <c r="K17" s="1">
        <f t="shared" si="6"/>
        <v>0</v>
      </c>
      <c r="L17" s="1">
        <f t="shared" ref="L17:Q18" si="7">SUMIFS(RR_Vehicle,RR_Reporting,$A17,RR_Function,L$5)</f>
        <v>0</v>
      </c>
      <c r="M17" s="1">
        <f t="shared" si="7"/>
        <v>0</v>
      </c>
      <c r="N17" s="1">
        <f t="shared" si="7"/>
        <v>0</v>
      </c>
      <c r="O17" s="1">
        <f t="shared" si="7"/>
        <v>0</v>
      </c>
      <c r="P17" s="1">
        <f t="shared" si="7"/>
        <v>0</v>
      </c>
      <c r="Q17" s="1">
        <f t="shared" si="7"/>
        <v>0</v>
      </c>
      <c r="R17" s="1">
        <f>SUM(B17:Q17)</f>
        <v>0</v>
      </c>
    </row>
    <row r="18" spans="1:18" x14ac:dyDescent="0.3">
      <c r="A18" s="3" t="s">
        <v>480</v>
      </c>
      <c r="B18" s="1">
        <f t="shared" si="6"/>
        <v>0</v>
      </c>
      <c r="C18" s="1">
        <f t="shared" si="6"/>
        <v>0</v>
      </c>
      <c r="D18" s="1">
        <f t="shared" si="6"/>
        <v>0</v>
      </c>
      <c r="E18" s="1">
        <f t="shared" si="6"/>
        <v>0</v>
      </c>
      <c r="F18" s="1">
        <f t="shared" si="6"/>
        <v>0</v>
      </c>
      <c r="G18" s="1">
        <f t="shared" si="6"/>
        <v>0</v>
      </c>
      <c r="H18" s="1">
        <f t="shared" si="6"/>
        <v>0</v>
      </c>
      <c r="I18" s="1">
        <f t="shared" si="6"/>
        <v>0</v>
      </c>
      <c r="J18" s="1">
        <f t="shared" si="6"/>
        <v>0</v>
      </c>
      <c r="K18" s="1">
        <f t="shared" si="6"/>
        <v>0</v>
      </c>
      <c r="L18" s="1">
        <f t="shared" si="7"/>
        <v>0</v>
      </c>
      <c r="M18" s="1">
        <f t="shared" si="7"/>
        <v>0</v>
      </c>
      <c r="N18" s="1">
        <f t="shared" si="7"/>
        <v>0</v>
      </c>
      <c r="O18" s="1">
        <f t="shared" si="7"/>
        <v>0</v>
      </c>
      <c r="P18" s="1">
        <f t="shared" si="7"/>
        <v>0</v>
      </c>
      <c r="Q18" s="1">
        <f t="shared" si="7"/>
        <v>0</v>
      </c>
      <c r="R18" s="1">
        <f>SUM(B18:Q18)</f>
        <v>0</v>
      </c>
    </row>
    <row r="19" spans="1:18" x14ac:dyDescent="0.3">
      <c r="A19" s="3" t="s">
        <v>254</v>
      </c>
      <c r="B19" s="1">
        <f>SUBTOTAL(9,B16:B18)</f>
        <v>0</v>
      </c>
      <c r="C19" s="1">
        <f>SUBTOTAL(9,C16:C18)</f>
        <v>0</v>
      </c>
      <c r="D19" s="1">
        <f>SUBTOTAL(9,D16:D18)</f>
        <v>0</v>
      </c>
      <c r="E19" s="1">
        <f>SUBTOTAL(9,E16:E18)</f>
        <v>0</v>
      </c>
      <c r="F19" s="1">
        <f>SUBTOTAL(9,F16:F18)</f>
        <v>0</v>
      </c>
      <c r="G19" s="1">
        <f>SUBTOTAL(9,G16:G18)</f>
        <v>0</v>
      </c>
      <c r="H19" s="1">
        <f>SUBTOTAL(9,H16:H18)</f>
        <v>0</v>
      </c>
      <c r="I19" s="1">
        <f>SUBTOTAL(9,I16:I18)</f>
        <v>0</v>
      </c>
      <c r="J19" s="1">
        <f>SUBTOTAL(9,J16:J18)</f>
        <v>0</v>
      </c>
      <c r="K19" s="1">
        <f>SUBTOTAL(9,K16:K18)</f>
        <v>0</v>
      </c>
      <c r="L19" s="1">
        <f>SUBTOTAL(9,L16:L18)</f>
        <v>0</v>
      </c>
      <c r="M19" s="1">
        <f>SUBTOTAL(9,M16:M18)</f>
        <v>0</v>
      </c>
      <c r="N19" s="1">
        <f>SUBTOTAL(9,N16:N18)</f>
        <v>0</v>
      </c>
      <c r="O19" s="1">
        <f>SUBTOTAL(9,O16:O18)</f>
        <v>0</v>
      </c>
      <c r="P19" s="1">
        <f>SUBTOTAL(9,P16:P18)</f>
        <v>0</v>
      </c>
      <c r="Q19" s="1">
        <f>SUBTOTAL(9,Q16:Q18)</f>
        <v>0</v>
      </c>
      <c r="R19" s="1">
        <f>SUBTOTAL(9,R16:R18)</f>
        <v>0</v>
      </c>
    </row>
    <row r="20" spans="1:18" x14ac:dyDescent="0.3">
      <c r="A20" s="1" t="s">
        <v>263</v>
      </c>
      <c r="B20" s="1">
        <f>SUBTOTAL(9,B6:B19)</f>
        <v>26932</v>
      </c>
      <c r="C20" s="1">
        <f>SUBTOTAL(9,C6:C19)</f>
        <v>0</v>
      </c>
      <c r="D20" s="1">
        <f>SUBTOTAL(9,D6:D19)</f>
        <v>79645</v>
      </c>
      <c r="E20" s="1">
        <f>SUBTOTAL(9,E6:E19)</f>
        <v>3614</v>
      </c>
      <c r="F20" s="1">
        <f>SUBTOTAL(9,F6:F19)</f>
        <v>0</v>
      </c>
      <c r="G20" s="1">
        <f>SUBTOTAL(9,G6:G19)</f>
        <v>119634</v>
      </c>
      <c r="H20" s="1">
        <f>SUBTOTAL(9,H6:H19)</f>
        <v>0</v>
      </c>
      <c r="I20" s="1">
        <f>SUBTOTAL(9,I6:I19)</f>
        <v>0</v>
      </c>
      <c r="J20" s="1">
        <f>SUBTOTAL(9,J6:J19)</f>
        <v>16390</v>
      </c>
      <c r="K20" s="1">
        <f>SUBTOTAL(9,K6:K19)</f>
        <v>0</v>
      </c>
      <c r="L20" s="1">
        <f>SUBTOTAL(9,L6:L19)</f>
        <v>0</v>
      </c>
      <c r="M20" s="1">
        <f>SUBTOTAL(9,M6:M19)</f>
        <v>0</v>
      </c>
      <c r="N20" s="1">
        <f>SUBTOTAL(9,N6:N19)</f>
        <v>0</v>
      </c>
      <c r="O20" s="1">
        <f>SUBTOTAL(9,O6:O19)</f>
        <v>0</v>
      </c>
      <c r="P20" s="1">
        <f>SUBTOTAL(9,P6:P19)</f>
        <v>0</v>
      </c>
      <c r="Q20" s="1">
        <f>SUBTOTAL(9,Q6:Q19)</f>
        <v>0</v>
      </c>
      <c r="R20" s="1">
        <f>SUBTOTAL(9,R6:R19)</f>
        <v>246215</v>
      </c>
    </row>
    <row r="21" spans="1:18" x14ac:dyDescent="0.3">
      <c r="A21" s="1" t="s">
        <v>246</v>
      </c>
      <c r="C21" s="1">
        <f>SUMIFS('6.1'!$L$6:$L$74,Assets_PresHeader,$A21,Assets_BasisFunc,C$5)</f>
        <v>0</v>
      </c>
      <c r="D21" s="1">
        <f>SUMIFS('6.1'!$L$6:$L$74,Assets_PresHeader,$A21,Assets_BasisFunc,D$5)</f>
        <v>0</v>
      </c>
      <c r="E21" s="1">
        <f>SUMIFS('6.1'!$L$6:$L$74,Assets_PresHeader,$A21,Assets_BasisFunc,E$5)</f>
        <v>0</v>
      </c>
      <c r="F21" s="1">
        <f>SUMIFS('6.1'!$L$6:$L$74,Assets_PresHeader,$A21,Assets_BasisFunc,F$5)</f>
        <v>0</v>
      </c>
      <c r="G21" s="1">
        <f>SUMIFS('6.1'!$L$6:$L$74,Assets_PresHeader,$A21,Assets_BasisFunc,G$5)</f>
        <v>0</v>
      </c>
      <c r="H21" s="1">
        <f>SUMIFS('6.1'!$L$6:$L$74,Assets_PresHeader,$A21,Assets_BasisFunc,H$5)</f>
        <v>0</v>
      </c>
      <c r="I21" s="1">
        <f>SUMIFS('6.1'!$L$6:$L$74,Assets_PresHeader,$A21,Assets_BasisFunc,I$5)</f>
        <v>0</v>
      </c>
      <c r="J21" s="1">
        <f>SUMIFS('6.1'!$L$6:$L$74,Assets_PresHeader,$A21,Assets_BasisFunc,J$5)</f>
        <v>0</v>
      </c>
      <c r="K21" s="1">
        <f>SUMIFS('6.1'!$L$6:$L$74,Assets_PresHeader,$A21,Assets_BasisFunc,K$5)</f>
        <v>0</v>
      </c>
      <c r="L21" s="1">
        <f>SUMIFS('6.1'!$L$6:$L$74,Assets_PresHeader,$A21,Assets_BasisFunc,L$5)</f>
        <v>0</v>
      </c>
      <c r="M21" s="1">
        <f>SUMIFS('6.1'!$L$6:$L$74,Assets_PresHeader,$A21,Assets_BasisFunc,M$5)</f>
        <v>0</v>
      </c>
      <c r="N21" s="1">
        <f>SUMIFS('6.1'!$L$6:$L$74,Assets_PresHeader,$A21,Assets_BasisFunc,N$5)</f>
        <v>0</v>
      </c>
      <c r="O21" s="1">
        <f>SUMIFS('6.1'!$L$6:$L$74,Assets_PresHeader,$A21,Assets_BasisFunc,O$5)</f>
        <v>0</v>
      </c>
      <c r="P21" s="1">
        <f>SUMIFS('6.1'!$L$6:$L$74,Assets_PresHeader,$A21,Assets_BasisFunc,P$5)</f>
        <v>0</v>
      </c>
      <c r="Q21" s="1">
        <f>SUMIFS('6.1'!$L$6:$L$74,Assets_PresHeader,$A21,Assets_BasisFunc,Q$5)</f>
        <v>0</v>
      </c>
      <c r="R21" s="1">
        <f>SUM(B21:Q21)</f>
        <v>0</v>
      </c>
    </row>
    <row r="22" spans="1:18" x14ac:dyDescent="0.3">
      <c r="A22" s="3" t="s">
        <v>255</v>
      </c>
      <c r="B22" s="1">
        <f t="shared" ref="B22:K25" si="8">SUMIFS(RR_Vehicle,RR_Reporting,$A22,RR_Function,B$5)</f>
        <v>0</v>
      </c>
      <c r="C22" s="1">
        <f t="shared" si="8"/>
        <v>0</v>
      </c>
      <c r="D22" s="1">
        <f t="shared" si="8"/>
        <v>0</v>
      </c>
      <c r="E22" s="1">
        <f t="shared" si="8"/>
        <v>0</v>
      </c>
      <c r="F22" s="1">
        <f t="shared" si="8"/>
        <v>0</v>
      </c>
      <c r="G22" s="1">
        <f t="shared" si="8"/>
        <v>0</v>
      </c>
      <c r="H22" s="1">
        <f t="shared" si="8"/>
        <v>0</v>
      </c>
      <c r="I22" s="1">
        <f t="shared" si="8"/>
        <v>0</v>
      </c>
      <c r="J22" s="1">
        <f t="shared" si="8"/>
        <v>0</v>
      </c>
      <c r="K22" s="1">
        <f t="shared" si="8"/>
        <v>0</v>
      </c>
      <c r="L22" s="1">
        <f t="shared" ref="L22:Q25" si="9">SUMIFS(RR_Vehicle,RR_Reporting,$A22,RR_Function,L$5)</f>
        <v>0</v>
      </c>
      <c r="M22" s="1">
        <f t="shared" si="9"/>
        <v>0</v>
      </c>
      <c r="N22" s="1">
        <f t="shared" si="9"/>
        <v>0</v>
      </c>
      <c r="O22" s="1">
        <f t="shared" si="9"/>
        <v>0</v>
      </c>
      <c r="P22" s="1">
        <f t="shared" si="9"/>
        <v>0</v>
      </c>
      <c r="Q22" s="1">
        <f t="shared" si="9"/>
        <v>0</v>
      </c>
      <c r="R22" s="1">
        <f>SUM(B22:Q22)</f>
        <v>0</v>
      </c>
    </row>
    <row r="23" spans="1:18" x14ac:dyDescent="0.3">
      <c r="A23" s="3" t="s">
        <v>256</v>
      </c>
      <c r="B23" s="1">
        <f t="shared" si="8"/>
        <v>0</v>
      </c>
      <c r="C23" s="1">
        <f t="shared" si="8"/>
        <v>0</v>
      </c>
      <c r="D23" s="1">
        <f t="shared" si="8"/>
        <v>0</v>
      </c>
      <c r="E23" s="1">
        <f t="shared" si="8"/>
        <v>0</v>
      </c>
      <c r="F23" s="1">
        <f t="shared" si="8"/>
        <v>0</v>
      </c>
      <c r="G23" s="1">
        <f t="shared" si="8"/>
        <v>0</v>
      </c>
      <c r="H23" s="1">
        <f t="shared" si="8"/>
        <v>0</v>
      </c>
      <c r="I23" s="1">
        <f t="shared" si="8"/>
        <v>0</v>
      </c>
      <c r="J23" s="1">
        <f t="shared" si="8"/>
        <v>0</v>
      </c>
      <c r="K23" s="1">
        <f t="shared" si="8"/>
        <v>0</v>
      </c>
      <c r="L23" s="1">
        <f t="shared" si="9"/>
        <v>0</v>
      </c>
      <c r="M23" s="1">
        <f t="shared" si="9"/>
        <v>0</v>
      </c>
      <c r="N23" s="1">
        <f t="shared" si="9"/>
        <v>0</v>
      </c>
      <c r="O23" s="1">
        <f t="shared" si="9"/>
        <v>0</v>
      </c>
      <c r="P23" s="1">
        <f t="shared" si="9"/>
        <v>0</v>
      </c>
      <c r="Q23" s="1">
        <f t="shared" si="9"/>
        <v>0</v>
      </c>
      <c r="R23" s="1">
        <f>SUM(B23:Q23)</f>
        <v>0</v>
      </c>
    </row>
    <row r="24" spans="1:18" x14ac:dyDescent="0.3">
      <c r="A24" s="3" t="s">
        <v>257</v>
      </c>
      <c r="B24" s="1">
        <f t="shared" si="8"/>
        <v>0</v>
      </c>
      <c r="C24" s="1">
        <f t="shared" si="8"/>
        <v>0</v>
      </c>
      <c r="D24" s="1">
        <f t="shared" si="8"/>
        <v>0</v>
      </c>
      <c r="E24" s="1">
        <f t="shared" si="8"/>
        <v>0</v>
      </c>
      <c r="F24" s="1">
        <f t="shared" si="8"/>
        <v>0</v>
      </c>
      <c r="G24" s="1">
        <f t="shared" si="8"/>
        <v>0</v>
      </c>
      <c r="H24" s="1">
        <f t="shared" si="8"/>
        <v>0</v>
      </c>
      <c r="I24" s="1">
        <f t="shared" si="8"/>
        <v>0</v>
      </c>
      <c r="J24" s="1">
        <f t="shared" si="8"/>
        <v>0</v>
      </c>
      <c r="K24" s="1">
        <f t="shared" si="8"/>
        <v>0</v>
      </c>
      <c r="L24" s="1">
        <f t="shared" si="9"/>
        <v>0</v>
      </c>
      <c r="M24" s="1">
        <f t="shared" si="9"/>
        <v>0</v>
      </c>
      <c r="N24" s="1">
        <f t="shared" si="9"/>
        <v>0</v>
      </c>
      <c r="O24" s="1">
        <f t="shared" si="9"/>
        <v>0</v>
      </c>
      <c r="P24" s="1">
        <f t="shared" si="9"/>
        <v>0</v>
      </c>
      <c r="Q24" s="1">
        <f t="shared" si="9"/>
        <v>0</v>
      </c>
      <c r="R24" s="1">
        <f>SUM(B24:Q24)</f>
        <v>0</v>
      </c>
    </row>
    <row r="25" spans="1:18" x14ac:dyDescent="0.3">
      <c r="A25" s="3" t="s">
        <v>258</v>
      </c>
      <c r="B25" s="1">
        <f t="shared" si="8"/>
        <v>0</v>
      </c>
      <c r="C25" s="1">
        <f t="shared" si="8"/>
        <v>0</v>
      </c>
      <c r="D25" s="1">
        <f t="shared" si="8"/>
        <v>0</v>
      </c>
      <c r="E25" s="1">
        <f t="shared" si="8"/>
        <v>0</v>
      </c>
      <c r="F25" s="1">
        <f t="shared" si="8"/>
        <v>0</v>
      </c>
      <c r="G25" s="1">
        <f t="shared" si="8"/>
        <v>0</v>
      </c>
      <c r="H25" s="1">
        <f t="shared" si="8"/>
        <v>0</v>
      </c>
      <c r="I25" s="1">
        <f t="shared" si="8"/>
        <v>0</v>
      </c>
      <c r="J25" s="1">
        <f t="shared" si="8"/>
        <v>0</v>
      </c>
      <c r="K25" s="1">
        <f t="shared" si="8"/>
        <v>0</v>
      </c>
      <c r="L25" s="1">
        <f t="shared" si="9"/>
        <v>0</v>
      </c>
      <c r="M25" s="1">
        <f t="shared" si="9"/>
        <v>0</v>
      </c>
      <c r="N25" s="1">
        <f t="shared" si="9"/>
        <v>0</v>
      </c>
      <c r="O25" s="1">
        <f t="shared" si="9"/>
        <v>0</v>
      </c>
      <c r="P25" s="1">
        <f t="shared" si="9"/>
        <v>0</v>
      </c>
      <c r="Q25" s="1">
        <f t="shared" si="9"/>
        <v>0</v>
      </c>
      <c r="R25" s="1">
        <f>SUM(B25:Q25)</f>
        <v>0</v>
      </c>
    </row>
    <row r="26" spans="1:18" x14ac:dyDescent="0.3">
      <c r="A26" s="3" t="s">
        <v>259</v>
      </c>
      <c r="B26" s="1">
        <f>SUBTOTAL(9,B21:B25)</f>
        <v>0</v>
      </c>
      <c r="C26" s="1">
        <f t="shared" ref="C26:R26" si="10">SUBTOTAL(9,C21:C25)</f>
        <v>0</v>
      </c>
      <c r="D26" s="1">
        <f t="shared" si="10"/>
        <v>0</v>
      </c>
      <c r="E26" s="1">
        <f t="shared" si="10"/>
        <v>0</v>
      </c>
      <c r="F26" s="1">
        <f t="shared" si="10"/>
        <v>0</v>
      </c>
      <c r="G26" s="1">
        <f t="shared" si="10"/>
        <v>0</v>
      </c>
      <c r="H26" s="1">
        <f t="shared" si="10"/>
        <v>0</v>
      </c>
      <c r="I26" s="1">
        <f t="shared" si="10"/>
        <v>0</v>
      </c>
      <c r="J26" s="1">
        <f t="shared" si="10"/>
        <v>0</v>
      </c>
      <c r="K26" s="1">
        <f t="shared" si="10"/>
        <v>0</v>
      </c>
      <c r="L26" s="1">
        <f t="shared" si="10"/>
        <v>0</v>
      </c>
      <c r="M26" s="1">
        <f t="shared" si="10"/>
        <v>0</v>
      </c>
      <c r="N26" s="1">
        <f t="shared" si="10"/>
        <v>0</v>
      </c>
      <c r="O26" s="1">
        <f t="shared" si="10"/>
        <v>0</v>
      </c>
      <c r="P26" s="1">
        <f t="shared" si="10"/>
        <v>0</v>
      </c>
      <c r="Q26" s="1">
        <f t="shared" si="10"/>
        <v>0</v>
      </c>
      <c r="R26" s="1">
        <f t="shared" si="10"/>
        <v>0</v>
      </c>
    </row>
    <row r="27" spans="1:18" x14ac:dyDescent="0.3">
      <c r="A27" s="1" t="s">
        <v>260</v>
      </c>
      <c r="B27" s="1">
        <f>SUBTOTAL(9,B28:B29)</f>
        <v>0</v>
      </c>
      <c r="C27" s="1">
        <f t="shared" ref="C27:R27" si="11">SUBTOTAL(9,C28:C29)</f>
        <v>0</v>
      </c>
      <c r="D27" s="1">
        <f t="shared" si="11"/>
        <v>0</v>
      </c>
      <c r="E27" s="1">
        <f t="shared" si="11"/>
        <v>0</v>
      </c>
      <c r="F27" s="1">
        <f t="shared" si="11"/>
        <v>0</v>
      </c>
      <c r="G27" s="1">
        <f t="shared" si="11"/>
        <v>0</v>
      </c>
      <c r="H27" s="1">
        <f t="shared" si="11"/>
        <v>0</v>
      </c>
      <c r="I27" s="1">
        <f t="shared" si="11"/>
        <v>0</v>
      </c>
      <c r="J27" s="1">
        <f t="shared" si="11"/>
        <v>0</v>
      </c>
      <c r="K27" s="1">
        <f t="shared" si="11"/>
        <v>0</v>
      </c>
      <c r="L27" s="1">
        <f t="shared" si="11"/>
        <v>0</v>
      </c>
      <c r="M27" s="1">
        <f t="shared" si="11"/>
        <v>0</v>
      </c>
      <c r="N27" s="1">
        <f t="shared" si="11"/>
        <v>0</v>
      </c>
      <c r="O27" s="1">
        <f t="shared" si="11"/>
        <v>0</v>
      </c>
      <c r="P27" s="1">
        <f t="shared" si="11"/>
        <v>0</v>
      </c>
      <c r="Q27" s="1">
        <f t="shared" si="11"/>
        <v>0</v>
      </c>
      <c r="R27" s="1">
        <f t="shared" si="11"/>
        <v>0</v>
      </c>
    </row>
    <row r="28" spans="1:18" x14ac:dyDescent="0.3">
      <c r="A28" s="1" t="s">
        <v>261</v>
      </c>
      <c r="B28" s="1">
        <f t="shared" ref="B28:K32" si="12">SUMIFS(RR_Vehicle,RR_Reporting,$A28,RR_Function,B$5)</f>
        <v>0</v>
      </c>
      <c r="C28" s="1">
        <f t="shared" si="12"/>
        <v>0</v>
      </c>
      <c r="D28" s="1">
        <f t="shared" si="12"/>
        <v>0</v>
      </c>
      <c r="E28" s="1">
        <f t="shared" si="12"/>
        <v>0</v>
      </c>
      <c r="F28" s="1">
        <f t="shared" si="12"/>
        <v>0</v>
      </c>
      <c r="G28" s="1">
        <f t="shared" si="12"/>
        <v>0</v>
      </c>
      <c r="H28" s="1">
        <f t="shared" si="12"/>
        <v>0</v>
      </c>
      <c r="I28" s="1">
        <f t="shared" si="12"/>
        <v>0</v>
      </c>
      <c r="J28" s="1">
        <f t="shared" si="12"/>
        <v>0</v>
      </c>
      <c r="K28" s="1">
        <f t="shared" si="12"/>
        <v>0</v>
      </c>
      <c r="L28" s="1">
        <f t="shared" ref="L28:Q32" si="13">SUMIFS(RR_Vehicle,RR_Reporting,$A28,RR_Function,L$5)</f>
        <v>0</v>
      </c>
      <c r="M28" s="1">
        <f t="shared" si="13"/>
        <v>0</v>
      </c>
      <c r="N28" s="1">
        <f t="shared" si="13"/>
        <v>0</v>
      </c>
      <c r="O28" s="1">
        <f t="shared" si="13"/>
        <v>0</v>
      </c>
      <c r="P28" s="1">
        <f t="shared" si="13"/>
        <v>0</v>
      </c>
      <c r="Q28" s="1">
        <f t="shared" si="13"/>
        <v>0</v>
      </c>
      <c r="R28" s="1">
        <f>SUM(B28:Q28)</f>
        <v>0</v>
      </c>
    </row>
    <row r="29" spans="1:18" x14ac:dyDescent="0.3">
      <c r="A29" s="1" t="s">
        <v>606</v>
      </c>
      <c r="B29" s="1">
        <f t="shared" si="12"/>
        <v>0</v>
      </c>
      <c r="C29" s="1">
        <f t="shared" si="12"/>
        <v>0</v>
      </c>
      <c r="D29" s="1">
        <f t="shared" si="12"/>
        <v>0</v>
      </c>
      <c r="E29" s="1">
        <f t="shared" si="12"/>
        <v>0</v>
      </c>
      <c r="F29" s="1">
        <f t="shared" si="12"/>
        <v>0</v>
      </c>
      <c r="G29" s="1">
        <f t="shared" si="12"/>
        <v>0</v>
      </c>
      <c r="H29" s="1">
        <f t="shared" si="12"/>
        <v>0</v>
      </c>
      <c r="I29" s="1">
        <f t="shared" si="12"/>
        <v>0</v>
      </c>
      <c r="J29" s="1">
        <f t="shared" si="12"/>
        <v>0</v>
      </c>
      <c r="K29" s="1">
        <f t="shared" si="12"/>
        <v>0</v>
      </c>
      <c r="L29" s="1">
        <f t="shared" si="13"/>
        <v>0</v>
      </c>
      <c r="M29" s="1">
        <f t="shared" si="13"/>
        <v>0</v>
      </c>
      <c r="N29" s="1">
        <f t="shared" si="13"/>
        <v>0</v>
      </c>
      <c r="O29" s="1">
        <f t="shared" si="13"/>
        <v>0</v>
      </c>
      <c r="P29" s="1">
        <f t="shared" si="13"/>
        <v>0</v>
      </c>
      <c r="Q29" s="1">
        <f t="shared" si="13"/>
        <v>0</v>
      </c>
      <c r="R29" s="1">
        <f>SUM(B29:Q29)</f>
        <v>0</v>
      </c>
    </row>
    <row r="30" spans="1:18" x14ac:dyDescent="0.3">
      <c r="A30" s="1" t="s">
        <v>629</v>
      </c>
      <c r="B30" s="1">
        <f>SUBTOTAL(9,B6:B29)</f>
        <v>26932</v>
      </c>
      <c r="C30" s="1">
        <f>SUBTOTAL(9,C6:C29)</f>
        <v>0</v>
      </c>
      <c r="D30" s="1">
        <f>SUBTOTAL(9,D6:D29)</f>
        <v>79645</v>
      </c>
      <c r="E30" s="1">
        <f>SUBTOTAL(9,E6:E29)</f>
        <v>3614</v>
      </c>
      <c r="F30" s="1">
        <f>SUBTOTAL(9,F6:F29)</f>
        <v>0</v>
      </c>
      <c r="G30" s="1">
        <f>SUBTOTAL(9,G6:G29)</f>
        <v>119634</v>
      </c>
      <c r="H30" s="1">
        <f>SUBTOTAL(9,H6:H29)</f>
        <v>0</v>
      </c>
      <c r="I30" s="1">
        <f>SUBTOTAL(9,I6:I29)</f>
        <v>0</v>
      </c>
      <c r="J30" s="1">
        <f>SUBTOTAL(9,J6:J29)</f>
        <v>16390</v>
      </c>
      <c r="K30" s="1">
        <f>SUBTOTAL(9,K6:K29)</f>
        <v>0</v>
      </c>
      <c r="L30" s="1">
        <f>SUBTOTAL(9,L6:L29)</f>
        <v>0</v>
      </c>
      <c r="M30" s="1">
        <f>SUBTOTAL(9,M6:M29)</f>
        <v>0</v>
      </c>
      <c r="N30" s="1">
        <f>SUBTOTAL(9,N6:N29)</f>
        <v>0</v>
      </c>
      <c r="O30" s="1">
        <f>SUBTOTAL(9,O6:O29)</f>
        <v>0</v>
      </c>
      <c r="P30" s="1">
        <f>SUBTOTAL(9,P6:P29)</f>
        <v>0</v>
      </c>
      <c r="Q30" s="1">
        <f>SUBTOTAL(9,Q6:Q29)</f>
        <v>0</v>
      </c>
      <c r="R30" s="1">
        <f>SUBTOTAL(9,R6:R29)</f>
        <v>246215</v>
      </c>
    </row>
    <row r="31" spans="1:18" x14ac:dyDescent="0.3">
      <c r="A31" s="1" t="s">
        <v>632</v>
      </c>
      <c r="B31" s="1">
        <f t="shared" si="12"/>
        <v>0</v>
      </c>
      <c r="C31" s="1">
        <f t="shared" si="12"/>
        <v>0</v>
      </c>
      <c r="D31" s="1">
        <f t="shared" si="12"/>
        <v>0</v>
      </c>
      <c r="E31" s="1">
        <f t="shared" si="12"/>
        <v>0</v>
      </c>
      <c r="F31" s="1">
        <f t="shared" si="12"/>
        <v>0</v>
      </c>
      <c r="G31" s="1">
        <f t="shared" si="12"/>
        <v>0</v>
      </c>
      <c r="H31" s="1">
        <f t="shared" si="12"/>
        <v>0</v>
      </c>
      <c r="I31" s="1">
        <f t="shared" si="12"/>
        <v>0</v>
      </c>
      <c r="J31" s="1">
        <f t="shared" si="12"/>
        <v>0</v>
      </c>
      <c r="K31" s="1">
        <f t="shared" si="12"/>
        <v>0</v>
      </c>
      <c r="L31" s="1">
        <f t="shared" si="13"/>
        <v>0</v>
      </c>
      <c r="M31" s="1">
        <f t="shared" si="13"/>
        <v>0</v>
      </c>
      <c r="N31" s="1">
        <f t="shared" si="13"/>
        <v>0</v>
      </c>
      <c r="O31" s="1">
        <f t="shared" si="13"/>
        <v>0</v>
      </c>
      <c r="P31" s="1">
        <f t="shared" si="13"/>
        <v>0</v>
      </c>
      <c r="Q31" s="1">
        <f t="shared" si="13"/>
        <v>0</v>
      </c>
      <c r="R31" s="1">
        <f>SUM(B31:Q31)</f>
        <v>0</v>
      </c>
    </row>
    <row r="32" spans="1:18" x14ac:dyDescent="0.3">
      <c r="A32" s="1" t="s">
        <v>631</v>
      </c>
      <c r="B32" s="1">
        <f t="shared" si="12"/>
        <v>0</v>
      </c>
      <c r="C32" s="1">
        <f t="shared" si="12"/>
        <v>0</v>
      </c>
      <c r="D32" s="1">
        <f t="shared" si="12"/>
        <v>0</v>
      </c>
      <c r="E32" s="1">
        <f t="shared" si="12"/>
        <v>0</v>
      </c>
      <c r="F32" s="1">
        <f t="shared" si="12"/>
        <v>0</v>
      </c>
      <c r="G32" s="1">
        <f t="shared" si="12"/>
        <v>0</v>
      </c>
      <c r="H32" s="1">
        <f t="shared" si="12"/>
        <v>0</v>
      </c>
      <c r="I32" s="1">
        <f t="shared" si="12"/>
        <v>0</v>
      </c>
      <c r="J32" s="1">
        <f t="shared" si="12"/>
        <v>0</v>
      </c>
      <c r="K32" s="1">
        <f t="shared" si="12"/>
        <v>0</v>
      </c>
      <c r="L32" s="1">
        <f t="shared" si="13"/>
        <v>0</v>
      </c>
      <c r="M32" s="1">
        <f t="shared" si="13"/>
        <v>0</v>
      </c>
      <c r="N32" s="1">
        <f t="shared" si="13"/>
        <v>0</v>
      </c>
      <c r="O32" s="1">
        <f t="shared" si="13"/>
        <v>0</v>
      </c>
      <c r="P32" s="1">
        <f t="shared" si="13"/>
        <v>0</v>
      </c>
      <c r="Q32" s="1">
        <f t="shared" si="13"/>
        <v>0</v>
      </c>
      <c r="R32" s="1">
        <f>SUM(B32:Q32)</f>
        <v>0</v>
      </c>
    </row>
    <row r="33" spans="1:18" x14ac:dyDescent="0.3">
      <c r="A33" s="1" t="s">
        <v>630</v>
      </c>
      <c r="B33" s="1">
        <f>SUBTOTAL(9,B6:B32)</f>
        <v>26932</v>
      </c>
      <c r="C33" s="1">
        <f>SUBTOTAL(9,C6:C32)</f>
        <v>0</v>
      </c>
      <c r="D33" s="1">
        <f>SUBTOTAL(9,D6:D32)</f>
        <v>79645</v>
      </c>
      <c r="E33" s="1">
        <f>SUBTOTAL(9,E6:E32)</f>
        <v>3614</v>
      </c>
      <c r="F33" s="1">
        <f>SUBTOTAL(9,F6:F32)</f>
        <v>0</v>
      </c>
      <c r="G33" s="1">
        <f>SUBTOTAL(9,G6:G32)</f>
        <v>119634</v>
      </c>
      <c r="H33" s="1">
        <f>SUBTOTAL(9,H6:H32)</f>
        <v>0</v>
      </c>
      <c r="I33" s="1">
        <f>SUBTOTAL(9,I6:I32)</f>
        <v>0</v>
      </c>
      <c r="J33" s="1">
        <f>SUBTOTAL(9,J6:J32)</f>
        <v>16390</v>
      </c>
      <c r="K33" s="1">
        <f>SUBTOTAL(9,K6:K32)</f>
        <v>0</v>
      </c>
      <c r="L33" s="1">
        <f>SUBTOTAL(9,L6:L32)</f>
        <v>0</v>
      </c>
      <c r="M33" s="1">
        <f>SUBTOTAL(9,M6:M32)</f>
        <v>0</v>
      </c>
      <c r="N33" s="1">
        <f>SUBTOTAL(9,N6:N32)</f>
        <v>0</v>
      </c>
      <c r="O33" s="1">
        <f>SUBTOTAL(9,O6:O32)</f>
        <v>0</v>
      </c>
      <c r="P33" s="1">
        <f>SUBTOTAL(9,P6:P32)</f>
        <v>0</v>
      </c>
      <c r="Q33" s="1">
        <f>SUBTOTAL(9,Q6:Q32)</f>
        <v>0</v>
      </c>
      <c r="R33" s="1">
        <f>SUBTOTAL(9,R6:R32)</f>
        <v>246215</v>
      </c>
    </row>
    <row r="35" spans="1:18" s="5" customFormat="1" x14ac:dyDescent="0.3">
      <c r="A35" s="5" t="s">
        <v>225</v>
      </c>
    </row>
    <row r="36" spans="1:18" s="9" customFormat="1" ht="40.5" x14ac:dyDescent="0.25">
      <c r="B36" s="17" t="str">
        <f t="array" ref="B36:F36">TRANSPOSE(A68:A72)</f>
        <v>ECC</v>
      </c>
      <c r="C36" s="17" t="str">
        <v>SCADA</v>
      </c>
      <c r="D36" s="17" t="str">
        <v>T&amp;D Plant</v>
      </c>
      <c r="E36" s="17" t="str">
        <v>Distribution Lines</v>
      </c>
      <c r="F36" s="17" t="str">
        <v>Distribution Network</v>
      </c>
      <c r="G36" s="50"/>
      <c r="H36" s="17"/>
      <c r="I36" s="17"/>
      <c r="J36" s="17"/>
      <c r="K36" s="17"/>
      <c r="L36" s="17"/>
      <c r="M36" s="17"/>
      <c r="N36" s="17"/>
      <c r="O36" s="17"/>
      <c r="P36" s="17"/>
      <c r="Q36" s="17"/>
      <c r="R36" s="17" t="s">
        <v>214</v>
      </c>
    </row>
    <row r="37" spans="1:18" x14ac:dyDescent="0.3">
      <c r="A37" s="1" t="s">
        <v>262</v>
      </c>
    </row>
    <row r="38" spans="1:18" x14ac:dyDescent="0.3">
      <c r="A38" s="3" t="s">
        <v>247</v>
      </c>
      <c r="B38" s="1">
        <f t="shared" ref="B38:K39" si="14">SUMIFS(RR_Vehicle,RR_Reporting,$A38,RR_Function,B$36)</f>
        <v>23370</v>
      </c>
      <c r="C38" s="1">
        <f t="shared" si="14"/>
        <v>0</v>
      </c>
      <c r="D38" s="1">
        <f t="shared" si="14"/>
        <v>0</v>
      </c>
      <c r="E38" s="1">
        <f t="shared" si="14"/>
        <v>0</v>
      </c>
      <c r="F38" s="1">
        <f t="shared" si="14"/>
        <v>0</v>
      </c>
      <c r="G38" s="1">
        <f t="shared" si="14"/>
        <v>0</v>
      </c>
      <c r="H38" s="1">
        <f t="shared" si="14"/>
        <v>0</v>
      </c>
      <c r="I38" s="1">
        <f t="shared" si="14"/>
        <v>0</v>
      </c>
      <c r="J38" s="1">
        <f t="shared" si="14"/>
        <v>0</v>
      </c>
      <c r="K38" s="1">
        <f t="shared" si="14"/>
        <v>0</v>
      </c>
      <c r="L38" s="1">
        <f t="shared" ref="L38:Q39" si="15">SUMIFS(RR_Vehicle,RR_Reporting,$A38,RR_Function,L$36)</f>
        <v>0</v>
      </c>
      <c r="M38" s="1">
        <f t="shared" si="15"/>
        <v>0</v>
      </c>
      <c r="N38" s="1">
        <f t="shared" si="15"/>
        <v>0</v>
      </c>
      <c r="O38" s="1">
        <f t="shared" si="15"/>
        <v>0</v>
      </c>
      <c r="P38" s="1">
        <f t="shared" si="15"/>
        <v>0</v>
      </c>
      <c r="Q38" s="1">
        <f t="shared" si="15"/>
        <v>0</v>
      </c>
      <c r="R38" s="1">
        <f>SUM(B38:Q38)</f>
        <v>23370</v>
      </c>
    </row>
    <row r="39" spans="1:18" x14ac:dyDescent="0.3">
      <c r="A39" s="3" t="s">
        <v>248</v>
      </c>
      <c r="B39" s="1">
        <f t="shared" si="14"/>
        <v>0</v>
      </c>
      <c r="C39" s="1">
        <f t="shared" si="14"/>
        <v>0</v>
      </c>
      <c r="D39" s="1">
        <f t="shared" si="14"/>
        <v>0</v>
      </c>
      <c r="E39" s="1">
        <f t="shared" si="14"/>
        <v>0</v>
      </c>
      <c r="F39" s="1">
        <f t="shared" si="14"/>
        <v>0</v>
      </c>
      <c r="G39" s="1">
        <f t="shared" si="14"/>
        <v>0</v>
      </c>
      <c r="H39" s="1">
        <f t="shared" si="14"/>
        <v>0</v>
      </c>
      <c r="I39" s="1">
        <f t="shared" si="14"/>
        <v>0</v>
      </c>
      <c r="J39" s="1">
        <f t="shared" si="14"/>
        <v>0</v>
      </c>
      <c r="K39" s="1">
        <f t="shared" si="14"/>
        <v>0</v>
      </c>
      <c r="L39" s="1">
        <f t="shared" si="15"/>
        <v>0</v>
      </c>
      <c r="M39" s="1">
        <f t="shared" si="15"/>
        <v>0</v>
      </c>
      <c r="N39" s="1">
        <f t="shared" si="15"/>
        <v>0</v>
      </c>
      <c r="O39" s="1">
        <f t="shared" si="15"/>
        <v>0</v>
      </c>
      <c r="P39" s="1">
        <f t="shared" si="15"/>
        <v>0</v>
      </c>
      <c r="Q39" s="1">
        <f t="shared" si="15"/>
        <v>0</v>
      </c>
      <c r="R39" s="1">
        <f>SUM(B39:Q39)</f>
        <v>0</v>
      </c>
    </row>
    <row r="40" spans="1:18" x14ac:dyDescent="0.3">
      <c r="A40" s="3" t="s">
        <v>249</v>
      </c>
      <c r="B40" s="1">
        <f>SUBTOTAL(9,B38:B39)</f>
        <v>23370</v>
      </c>
      <c r="C40" s="1">
        <f t="shared" ref="C40:R40" si="16">SUBTOTAL(9,C38:C39)</f>
        <v>0</v>
      </c>
      <c r="D40" s="1">
        <f t="shared" si="16"/>
        <v>0</v>
      </c>
      <c r="E40" s="1">
        <f t="shared" si="16"/>
        <v>0</v>
      </c>
      <c r="F40" s="1">
        <f t="shared" si="16"/>
        <v>0</v>
      </c>
      <c r="G40" s="1">
        <f t="shared" si="16"/>
        <v>0</v>
      </c>
      <c r="H40" s="1">
        <f t="shared" si="16"/>
        <v>0</v>
      </c>
      <c r="I40" s="1">
        <f t="shared" si="16"/>
        <v>0</v>
      </c>
      <c r="J40" s="1">
        <f t="shared" si="16"/>
        <v>0</v>
      </c>
      <c r="K40" s="1">
        <f t="shared" si="16"/>
        <v>0</v>
      </c>
      <c r="L40" s="1">
        <f t="shared" si="16"/>
        <v>0</v>
      </c>
      <c r="M40" s="1">
        <f t="shared" si="16"/>
        <v>0</v>
      </c>
      <c r="N40" s="1">
        <f t="shared" si="16"/>
        <v>0</v>
      </c>
      <c r="O40" s="1">
        <f t="shared" si="16"/>
        <v>0</v>
      </c>
      <c r="P40" s="1">
        <f t="shared" si="16"/>
        <v>0</v>
      </c>
      <c r="Q40" s="1">
        <f t="shared" si="16"/>
        <v>0</v>
      </c>
      <c r="R40" s="1">
        <f t="shared" si="16"/>
        <v>23370</v>
      </c>
    </row>
    <row r="41" spans="1:18" x14ac:dyDescent="0.3">
      <c r="A41" s="3" t="s">
        <v>124</v>
      </c>
      <c r="B41" s="1">
        <f t="shared" ref="B41:K45" si="17">SUMIFS(RR_Vehicle,RR_Reporting,$A41,RR_Function,B$36)</f>
        <v>0</v>
      </c>
      <c r="C41" s="1">
        <f t="shared" si="17"/>
        <v>19487</v>
      </c>
      <c r="D41" s="1">
        <f t="shared" si="17"/>
        <v>0</v>
      </c>
      <c r="E41" s="1">
        <f t="shared" si="17"/>
        <v>15223</v>
      </c>
      <c r="F41" s="1">
        <f t="shared" si="17"/>
        <v>201701</v>
      </c>
      <c r="G41" s="1">
        <f t="shared" si="17"/>
        <v>0</v>
      </c>
      <c r="H41" s="1">
        <f t="shared" si="17"/>
        <v>0</v>
      </c>
      <c r="I41" s="1">
        <f t="shared" si="17"/>
        <v>0</v>
      </c>
      <c r="J41" s="1">
        <f t="shared" si="17"/>
        <v>0</v>
      </c>
      <c r="K41" s="1">
        <f t="shared" si="17"/>
        <v>0</v>
      </c>
      <c r="L41" s="1">
        <f t="shared" ref="L41:Q45" si="18">SUMIFS(RR_Vehicle,RR_Reporting,$A41,RR_Function,L$36)</f>
        <v>0</v>
      </c>
      <c r="M41" s="1">
        <f t="shared" si="18"/>
        <v>0</v>
      </c>
      <c r="N41" s="1">
        <f t="shared" si="18"/>
        <v>0</v>
      </c>
      <c r="O41" s="1">
        <f t="shared" si="18"/>
        <v>0</v>
      </c>
      <c r="P41" s="1">
        <f t="shared" si="18"/>
        <v>0</v>
      </c>
      <c r="Q41" s="1">
        <f t="shared" si="18"/>
        <v>0</v>
      </c>
      <c r="R41" s="1">
        <f>SUM(B41:Q41)</f>
        <v>236411</v>
      </c>
    </row>
    <row r="42" spans="1:18" x14ac:dyDescent="0.3">
      <c r="A42" s="3" t="s">
        <v>12</v>
      </c>
      <c r="B42" s="1">
        <f t="shared" si="17"/>
        <v>0</v>
      </c>
      <c r="C42" s="1">
        <f t="shared" si="17"/>
        <v>0</v>
      </c>
      <c r="D42" s="1">
        <f t="shared" si="17"/>
        <v>0</v>
      </c>
      <c r="E42" s="1">
        <f t="shared" si="17"/>
        <v>0</v>
      </c>
      <c r="F42" s="1">
        <f t="shared" si="17"/>
        <v>0</v>
      </c>
      <c r="G42" s="1">
        <f t="shared" si="17"/>
        <v>0</v>
      </c>
      <c r="H42" s="1">
        <f t="shared" si="17"/>
        <v>0</v>
      </c>
      <c r="I42" s="1">
        <f t="shared" si="17"/>
        <v>0</v>
      </c>
      <c r="J42" s="1">
        <f t="shared" si="17"/>
        <v>0</v>
      </c>
      <c r="K42" s="1">
        <f t="shared" si="17"/>
        <v>0</v>
      </c>
      <c r="L42" s="1">
        <f t="shared" si="18"/>
        <v>0</v>
      </c>
      <c r="M42" s="1">
        <f t="shared" si="18"/>
        <v>0</v>
      </c>
      <c r="N42" s="1">
        <f t="shared" si="18"/>
        <v>0</v>
      </c>
      <c r="O42" s="1">
        <f t="shared" si="18"/>
        <v>0</v>
      </c>
      <c r="P42" s="1">
        <f t="shared" si="18"/>
        <v>0</v>
      </c>
      <c r="Q42" s="1">
        <f t="shared" si="18"/>
        <v>0</v>
      </c>
      <c r="R42" s="1">
        <f>SUM(B42:Q42)</f>
        <v>0</v>
      </c>
    </row>
    <row r="43" spans="1:18" x14ac:dyDescent="0.3">
      <c r="A43" s="3" t="s">
        <v>250</v>
      </c>
      <c r="B43" s="1">
        <f t="shared" si="17"/>
        <v>0</v>
      </c>
      <c r="C43" s="1">
        <f t="shared" si="17"/>
        <v>0</v>
      </c>
      <c r="D43" s="1">
        <f t="shared" si="17"/>
        <v>0</v>
      </c>
      <c r="E43" s="1">
        <f t="shared" si="17"/>
        <v>0</v>
      </c>
      <c r="F43" s="1">
        <f t="shared" si="17"/>
        <v>0</v>
      </c>
      <c r="G43" s="1">
        <f t="shared" si="17"/>
        <v>0</v>
      </c>
      <c r="H43" s="1">
        <f t="shared" si="17"/>
        <v>0</v>
      </c>
      <c r="I43" s="1">
        <f t="shared" si="17"/>
        <v>0</v>
      </c>
      <c r="J43" s="1">
        <f t="shared" si="17"/>
        <v>0</v>
      </c>
      <c r="K43" s="1">
        <f t="shared" si="17"/>
        <v>0</v>
      </c>
      <c r="L43" s="1">
        <f t="shared" si="18"/>
        <v>0</v>
      </c>
      <c r="M43" s="1">
        <f t="shared" si="18"/>
        <v>0</v>
      </c>
      <c r="N43" s="1">
        <f t="shared" si="18"/>
        <v>0</v>
      </c>
      <c r="O43" s="1">
        <f t="shared" si="18"/>
        <v>0</v>
      </c>
      <c r="P43" s="1">
        <f t="shared" si="18"/>
        <v>0</v>
      </c>
      <c r="Q43" s="1">
        <f t="shared" si="18"/>
        <v>0</v>
      </c>
      <c r="R43" s="1">
        <f>SUM(B43:Q43)</f>
        <v>0</v>
      </c>
    </row>
    <row r="44" spans="1:18" x14ac:dyDescent="0.3">
      <c r="A44" s="3" t="s">
        <v>251</v>
      </c>
      <c r="B44" s="1">
        <f t="shared" si="17"/>
        <v>0</v>
      </c>
      <c r="C44" s="1">
        <f t="shared" si="17"/>
        <v>0</v>
      </c>
      <c r="D44" s="1">
        <f t="shared" si="17"/>
        <v>0</v>
      </c>
      <c r="E44" s="1">
        <f t="shared" si="17"/>
        <v>0</v>
      </c>
      <c r="F44" s="1">
        <f t="shared" si="17"/>
        <v>0</v>
      </c>
      <c r="G44" s="1">
        <f t="shared" si="17"/>
        <v>0</v>
      </c>
      <c r="H44" s="1">
        <f t="shared" si="17"/>
        <v>0</v>
      </c>
      <c r="I44" s="1">
        <f t="shared" si="17"/>
        <v>0</v>
      </c>
      <c r="J44" s="1">
        <f t="shared" si="17"/>
        <v>0</v>
      </c>
      <c r="K44" s="1">
        <f t="shared" si="17"/>
        <v>0</v>
      </c>
      <c r="L44" s="1">
        <f t="shared" si="18"/>
        <v>0</v>
      </c>
      <c r="M44" s="1">
        <f t="shared" si="18"/>
        <v>0</v>
      </c>
      <c r="N44" s="1">
        <f t="shared" si="18"/>
        <v>0</v>
      </c>
      <c r="O44" s="1">
        <f t="shared" si="18"/>
        <v>0</v>
      </c>
      <c r="P44" s="1">
        <f t="shared" si="18"/>
        <v>0</v>
      </c>
      <c r="Q44" s="1">
        <f t="shared" si="18"/>
        <v>0</v>
      </c>
      <c r="R44" s="1">
        <f>SUM(B44:Q44)</f>
        <v>0</v>
      </c>
    </row>
    <row r="45" spans="1:18" x14ac:dyDescent="0.3">
      <c r="A45" s="3" t="s">
        <v>252</v>
      </c>
      <c r="B45" s="1">
        <f t="shared" si="17"/>
        <v>0</v>
      </c>
      <c r="C45" s="1">
        <f t="shared" si="17"/>
        <v>0</v>
      </c>
      <c r="D45" s="1">
        <f t="shared" si="17"/>
        <v>0</v>
      </c>
      <c r="E45" s="1">
        <f t="shared" si="17"/>
        <v>0</v>
      </c>
      <c r="F45" s="1">
        <f t="shared" si="17"/>
        <v>0</v>
      </c>
      <c r="G45" s="1">
        <f t="shared" si="17"/>
        <v>0</v>
      </c>
      <c r="H45" s="1">
        <f t="shared" si="17"/>
        <v>0</v>
      </c>
      <c r="I45" s="1">
        <f t="shared" si="17"/>
        <v>0</v>
      </c>
      <c r="J45" s="1">
        <f t="shared" si="17"/>
        <v>0</v>
      </c>
      <c r="K45" s="1">
        <f t="shared" si="17"/>
        <v>0</v>
      </c>
      <c r="L45" s="1">
        <f t="shared" si="18"/>
        <v>0</v>
      </c>
      <c r="M45" s="1">
        <f t="shared" si="18"/>
        <v>0</v>
      </c>
      <c r="N45" s="1">
        <f t="shared" si="18"/>
        <v>0</v>
      </c>
      <c r="O45" s="1">
        <f t="shared" si="18"/>
        <v>0</v>
      </c>
      <c r="P45" s="1">
        <f t="shared" si="18"/>
        <v>0</v>
      </c>
      <c r="Q45" s="1">
        <f t="shared" si="18"/>
        <v>0</v>
      </c>
      <c r="R45" s="1">
        <f>SUM(B45:Q45)</f>
        <v>0</v>
      </c>
    </row>
    <row r="46" spans="1:18" x14ac:dyDescent="0.3">
      <c r="A46" s="3" t="s">
        <v>253</v>
      </c>
      <c r="B46" s="1">
        <f t="shared" ref="B46:R46" si="19">SUBTOTAL(9,B37:B45)</f>
        <v>23370</v>
      </c>
      <c r="C46" s="1">
        <f t="shared" si="19"/>
        <v>19487</v>
      </c>
      <c r="D46" s="1">
        <f t="shared" si="19"/>
        <v>0</v>
      </c>
      <c r="E46" s="1">
        <f t="shared" si="19"/>
        <v>15223</v>
      </c>
      <c r="F46" s="1">
        <f t="shared" si="19"/>
        <v>201701</v>
      </c>
      <c r="G46" s="1">
        <f t="shared" si="19"/>
        <v>0</v>
      </c>
      <c r="H46" s="1">
        <f t="shared" si="19"/>
        <v>0</v>
      </c>
      <c r="I46" s="1">
        <f t="shared" si="19"/>
        <v>0</v>
      </c>
      <c r="J46" s="1">
        <f t="shared" si="19"/>
        <v>0</v>
      </c>
      <c r="K46" s="1">
        <f t="shared" si="19"/>
        <v>0</v>
      </c>
      <c r="L46" s="1">
        <f t="shared" si="19"/>
        <v>0</v>
      </c>
      <c r="M46" s="1">
        <f t="shared" si="19"/>
        <v>0</v>
      </c>
      <c r="N46" s="1">
        <f t="shared" si="19"/>
        <v>0</v>
      </c>
      <c r="O46" s="1">
        <f t="shared" si="19"/>
        <v>0</v>
      </c>
      <c r="P46" s="1">
        <f t="shared" si="19"/>
        <v>0</v>
      </c>
      <c r="Q46" s="1">
        <f t="shared" si="19"/>
        <v>0</v>
      </c>
      <c r="R46" s="1">
        <f t="shared" si="19"/>
        <v>259781</v>
      </c>
    </row>
    <row r="47" spans="1:18" x14ac:dyDescent="0.3">
      <c r="A47" s="2" t="s">
        <v>138</v>
      </c>
    </row>
    <row r="48" spans="1:18" x14ac:dyDescent="0.3">
      <c r="A48" s="3" t="s">
        <v>479</v>
      </c>
      <c r="B48" s="1">
        <f t="shared" ref="B48:K49" si="20">SUMIFS(RR_Vehicle,RR_Reporting,$A48,RR_Function,B$36)</f>
        <v>0</v>
      </c>
      <c r="C48" s="1">
        <f t="shared" si="20"/>
        <v>0</v>
      </c>
      <c r="D48" s="1">
        <f t="shared" si="20"/>
        <v>0</v>
      </c>
      <c r="E48" s="1">
        <f t="shared" si="20"/>
        <v>0</v>
      </c>
      <c r="F48" s="1">
        <f t="shared" si="20"/>
        <v>0</v>
      </c>
      <c r="G48" s="1">
        <f t="shared" si="20"/>
        <v>0</v>
      </c>
      <c r="H48" s="1">
        <f t="shared" si="20"/>
        <v>0</v>
      </c>
      <c r="I48" s="1">
        <f t="shared" si="20"/>
        <v>0</v>
      </c>
      <c r="J48" s="1">
        <f t="shared" si="20"/>
        <v>0</v>
      </c>
      <c r="K48" s="1">
        <f t="shared" si="20"/>
        <v>0</v>
      </c>
      <c r="L48" s="1">
        <f t="shared" ref="L48:Q49" si="21">SUMIFS(RR_Vehicle,RR_Reporting,$A48,RR_Function,L$36)</f>
        <v>0</v>
      </c>
      <c r="M48" s="1">
        <f t="shared" si="21"/>
        <v>0</v>
      </c>
      <c r="N48" s="1">
        <f t="shared" si="21"/>
        <v>0</v>
      </c>
      <c r="O48" s="1">
        <f t="shared" si="21"/>
        <v>0</v>
      </c>
      <c r="P48" s="1">
        <f t="shared" si="21"/>
        <v>0</v>
      </c>
      <c r="Q48" s="1">
        <f t="shared" si="21"/>
        <v>0</v>
      </c>
      <c r="R48" s="1">
        <f>SUM(B48:Q48)</f>
        <v>0</v>
      </c>
    </row>
    <row r="49" spans="1:18" x14ac:dyDescent="0.3">
      <c r="A49" s="3" t="s">
        <v>480</v>
      </c>
      <c r="B49" s="1">
        <f t="shared" si="20"/>
        <v>0</v>
      </c>
      <c r="C49" s="1">
        <f t="shared" si="20"/>
        <v>0</v>
      </c>
      <c r="D49" s="1">
        <f t="shared" si="20"/>
        <v>0</v>
      </c>
      <c r="E49" s="1">
        <f t="shared" si="20"/>
        <v>0</v>
      </c>
      <c r="F49" s="1">
        <f t="shared" si="20"/>
        <v>0</v>
      </c>
      <c r="G49" s="1">
        <f t="shared" si="20"/>
        <v>0</v>
      </c>
      <c r="H49" s="1">
        <f t="shared" si="20"/>
        <v>0</v>
      </c>
      <c r="I49" s="1">
        <f t="shared" si="20"/>
        <v>0</v>
      </c>
      <c r="J49" s="1">
        <f t="shared" si="20"/>
        <v>0</v>
      </c>
      <c r="K49" s="1">
        <f t="shared" si="20"/>
        <v>0</v>
      </c>
      <c r="L49" s="1">
        <f t="shared" si="21"/>
        <v>0</v>
      </c>
      <c r="M49" s="1">
        <f t="shared" si="21"/>
        <v>0</v>
      </c>
      <c r="N49" s="1">
        <f t="shared" si="21"/>
        <v>0</v>
      </c>
      <c r="O49" s="1">
        <f t="shared" si="21"/>
        <v>0</v>
      </c>
      <c r="P49" s="1">
        <f t="shared" si="21"/>
        <v>0</v>
      </c>
      <c r="Q49" s="1">
        <f t="shared" si="21"/>
        <v>0</v>
      </c>
      <c r="R49" s="1">
        <f>SUM(B49:Q49)</f>
        <v>0</v>
      </c>
    </row>
    <row r="50" spans="1:18" x14ac:dyDescent="0.3">
      <c r="A50" s="3" t="s">
        <v>254</v>
      </c>
      <c r="B50" s="1">
        <f>SUBTOTAL(9,B47:B49)</f>
        <v>0</v>
      </c>
      <c r="C50" s="1">
        <f t="shared" ref="C50:R50" si="22">SUBTOTAL(9,C47:C49)</f>
        <v>0</v>
      </c>
      <c r="D50" s="1">
        <f t="shared" si="22"/>
        <v>0</v>
      </c>
      <c r="E50" s="1">
        <f t="shared" si="22"/>
        <v>0</v>
      </c>
      <c r="F50" s="1">
        <f t="shared" si="22"/>
        <v>0</v>
      </c>
      <c r="G50" s="1">
        <f t="shared" si="22"/>
        <v>0</v>
      </c>
      <c r="H50" s="1">
        <f t="shared" si="22"/>
        <v>0</v>
      </c>
      <c r="I50" s="1">
        <f t="shared" si="22"/>
        <v>0</v>
      </c>
      <c r="J50" s="1">
        <f t="shared" si="22"/>
        <v>0</v>
      </c>
      <c r="K50" s="1">
        <f t="shared" si="22"/>
        <v>0</v>
      </c>
      <c r="L50" s="1">
        <f t="shared" si="22"/>
        <v>0</v>
      </c>
      <c r="M50" s="1">
        <f t="shared" si="22"/>
        <v>0</v>
      </c>
      <c r="N50" s="1">
        <f t="shared" si="22"/>
        <v>0</v>
      </c>
      <c r="O50" s="1">
        <f t="shared" si="22"/>
        <v>0</v>
      </c>
      <c r="P50" s="1">
        <f t="shared" si="22"/>
        <v>0</v>
      </c>
      <c r="Q50" s="1">
        <f t="shared" si="22"/>
        <v>0</v>
      </c>
      <c r="R50" s="1">
        <f t="shared" si="22"/>
        <v>0</v>
      </c>
    </row>
    <row r="51" spans="1:18" x14ac:dyDescent="0.3">
      <c r="A51" s="1" t="s">
        <v>263</v>
      </c>
      <c r="B51" s="1">
        <f t="shared" ref="B51:R51" si="23">SUBTOTAL(9,B37:B50)</f>
        <v>23370</v>
      </c>
      <c r="C51" s="1">
        <f t="shared" si="23"/>
        <v>19487</v>
      </c>
      <c r="D51" s="1">
        <f t="shared" si="23"/>
        <v>0</v>
      </c>
      <c r="E51" s="1">
        <f t="shared" si="23"/>
        <v>15223</v>
      </c>
      <c r="F51" s="1">
        <f t="shared" si="23"/>
        <v>201701</v>
      </c>
      <c r="G51" s="1">
        <f t="shared" si="23"/>
        <v>0</v>
      </c>
      <c r="H51" s="1">
        <f t="shared" si="23"/>
        <v>0</v>
      </c>
      <c r="I51" s="1">
        <f t="shared" si="23"/>
        <v>0</v>
      </c>
      <c r="J51" s="1">
        <f t="shared" si="23"/>
        <v>0</v>
      </c>
      <c r="K51" s="1">
        <f t="shared" si="23"/>
        <v>0</v>
      </c>
      <c r="L51" s="1">
        <f t="shared" si="23"/>
        <v>0</v>
      </c>
      <c r="M51" s="1">
        <f t="shared" si="23"/>
        <v>0</v>
      </c>
      <c r="N51" s="1">
        <f t="shared" si="23"/>
        <v>0</v>
      </c>
      <c r="O51" s="1">
        <f t="shared" si="23"/>
        <v>0</v>
      </c>
      <c r="P51" s="1">
        <f t="shared" si="23"/>
        <v>0</v>
      </c>
      <c r="Q51" s="1">
        <f t="shared" si="23"/>
        <v>0</v>
      </c>
      <c r="R51" s="1">
        <f t="shared" si="23"/>
        <v>259781</v>
      </c>
    </row>
    <row r="52" spans="1:18" x14ac:dyDescent="0.3">
      <c r="A52" s="1" t="s">
        <v>246</v>
      </c>
      <c r="C52" s="1">
        <f>SUMIFS('6.1'!$L$6:$L$74,Assets_PresHeader,$A52,Assets_BasisFunc,C$36)</f>
        <v>0</v>
      </c>
      <c r="D52" s="1">
        <f>SUMIFS('6.1'!$L$6:$L$74,Assets_PresHeader,$A52,Assets_BasisFunc,D$36)</f>
        <v>0</v>
      </c>
      <c r="E52" s="1">
        <f>SUMIFS('6.1'!$L$6:$L$74,Assets_PresHeader,$A52,Assets_BasisFunc,E$36)</f>
        <v>0</v>
      </c>
      <c r="F52" s="1">
        <f>SUMIFS('6.1'!$L$6:$L$74,Assets_PresHeader,$A52,Assets_BasisFunc,F$36)</f>
        <v>0</v>
      </c>
      <c r="G52" s="1">
        <f>SUMIFS('6.1'!$L$6:$L$74,Assets_PresHeader,$A52,Assets_BasisFunc,G$36)</f>
        <v>0</v>
      </c>
      <c r="H52" s="1">
        <f>SUMIFS('6.1'!$L$6:$L$74,Assets_PresHeader,$A52,Assets_BasisFunc,H$36)</f>
        <v>0</v>
      </c>
      <c r="I52" s="1">
        <f>SUMIFS('6.1'!$L$6:$L$74,Assets_PresHeader,$A52,Assets_BasisFunc,I$36)</f>
        <v>0</v>
      </c>
      <c r="J52" s="1">
        <f>SUMIFS('6.1'!$L$6:$L$74,Assets_PresHeader,$A52,Assets_BasisFunc,J$36)</f>
        <v>0</v>
      </c>
      <c r="K52" s="1">
        <f>SUMIFS('6.1'!$L$6:$L$74,Assets_PresHeader,$A52,Assets_BasisFunc,K$36)</f>
        <v>0</v>
      </c>
      <c r="L52" s="1">
        <f>SUMIFS('6.1'!$L$6:$L$74,Assets_PresHeader,$A52,Assets_BasisFunc,L$36)</f>
        <v>0</v>
      </c>
      <c r="M52" s="1">
        <f>SUMIFS('6.1'!$L$6:$L$74,Assets_PresHeader,$A52,Assets_BasisFunc,M$36)</f>
        <v>0</v>
      </c>
      <c r="N52" s="1">
        <f>SUMIFS('6.1'!$L$6:$L$74,Assets_PresHeader,$A52,Assets_BasisFunc,N$36)</f>
        <v>0</v>
      </c>
      <c r="O52" s="1">
        <f>SUMIFS('6.1'!$L$6:$L$74,Assets_PresHeader,$A52,Assets_BasisFunc,O$36)</f>
        <v>0</v>
      </c>
      <c r="P52" s="1">
        <f>SUMIFS('6.1'!$L$6:$L$74,Assets_PresHeader,$A52,Assets_BasisFunc,P$36)</f>
        <v>0</v>
      </c>
      <c r="Q52" s="1">
        <f>SUMIFS('6.1'!$L$6:$L$74,Assets_PresHeader,$A52,Assets_BasisFunc,Q$36)</f>
        <v>0</v>
      </c>
      <c r="R52" s="1">
        <f>SUM(B52:Q52)</f>
        <v>0</v>
      </c>
    </row>
    <row r="53" spans="1:18" x14ac:dyDescent="0.3">
      <c r="A53" s="3" t="s">
        <v>255</v>
      </c>
      <c r="B53" s="1">
        <f t="shared" ref="B53:K56" si="24">SUMIFS(RR_Vehicle,RR_Reporting,$A53,RR_Function,B$36)</f>
        <v>0</v>
      </c>
      <c r="C53" s="1">
        <f t="shared" si="24"/>
        <v>0</v>
      </c>
      <c r="D53" s="1">
        <f t="shared" si="24"/>
        <v>0</v>
      </c>
      <c r="E53" s="1">
        <f t="shared" si="24"/>
        <v>0</v>
      </c>
      <c r="F53" s="1">
        <f t="shared" si="24"/>
        <v>0</v>
      </c>
      <c r="G53" s="1">
        <f t="shared" si="24"/>
        <v>0</v>
      </c>
      <c r="H53" s="1">
        <f t="shared" si="24"/>
        <v>0</v>
      </c>
      <c r="I53" s="1">
        <f t="shared" si="24"/>
        <v>0</v>
      </c>
      <c r="J53" s="1">
        <f t="shared" si="24"/>
        <v>0</v>
      </c>
      <c r="K53" s="1">
        <f t="shared" si="24"/>
        <v>0</v>
      </c>
      <c r="L53" s="1">
        <f t="shared" ref="L53:Q56" si="25">SUMIFS(RR_Vehicle,RR_Reporting,$A53,RR_Function,L$36)</f>
        <v>0</v>
      </c>
      <c r="M53" s="1">
        <f t="shared" si="25"/>
        <v>0</v>
      </c>
      <c r="N53" s="1">
        <f t="shared" si="25"/>
        <v>0</v>
      </c>
      <c r="O53" s="1">
        <f t="shared" si="25"/>
        <v>0</v>
      </c>
      <c r="P53" s="1">
        <f t="shared" si="25"/>
        <v>0</v>
      </c>
      <c r="Q53" s="1">
        <f t="shared" si="25"/>
        <v>0</v>
      </c>
      <c r="R53" s="1">
        <f>SUM(B53:Q53)</f>
        <v>0</v>
      </c>
    </row>
    <row r="54" spans="1:18" x14ac:dyDescent="0.3">
      <c r="A54" s="3" t="s">
        <v>256</v>
      </c>
      <c r="B54" s="1">
        <f t="shared" si="24"/>
        <v>0</v>
      </c>
      <c r="C54" s="1">
        <f t="shared" si="24"/>
        <v>0</v>
      </c>
      <c r="D54" s="1">
        <f t="shared" si="24"/>
        <v>0</v>
      </c>
      <c r="E54" s="1">
        <f t="shared" si="24"/>
        <v>0</v>
      </c>
      <c r="F54" s="1">
        <f t="shared" si="24"/>
        <v>0</v>
      </c>
      <c r="G54" s="1">
        <f t="shared" si="24"/>
        <v>0</v>
      </c>
      <c r="H54" s="1">
        <f t="shared" si="24"/>
        <v>0</v>
      </c>
      <c r="I54" s="1">
        <f t="shared" si="24"/>
        <v>0</v>
      </c>
      <c r="J54" s="1">
        <f t="shared" si="24"/>
        <v>0</v>
      </c>
      <c r="K54" s="1">
        <f t="shared" si="24"/>
        <v>0</v>
      </c>
      <c r="L54" s="1">
        <f t="shared" si="25"/>
        <v>0</v>
      </c>
      <c r="M54" s="1">
        <f t="shared" si="25"/>
        <v>0</v>
      </c>
      <c r="N54" s="1">
        <f t="shared" si="25"/>
        <v>0</v>
      </c>
      <c r="O54" s="1">
        <f t="shared" si="25"/>
        <v>0</v>
      </c>
      <c r="P54" s="1">
        <f t="shared" si="25"/>
        <v>0</v>
      </c>
      <c r="Q54" s="1">
        <f t="shared" si="25"/>
        <v>0</v>
      </c>
      <c r="R54" s="1">
        <f>SUM(B54:Q54)</f>
        <v>0</v>
      </c>
    </row>
    <row r="55" spans="1:18" x14ac:dyDescent="0.3">
      <c r="A55" s="3" t="s">
        <v>257</v>
      </c>
      <c r="B55" s="1">
        <f t="shared" si="24"/>
        <v>0</v>
      </c>
      <c r="C55" s="1">
        <f t="shared" si="24"/>
        <v>0</v>
      </c>
      <c r="D55" s="1">
        <f t="shared" si="24"/>
        <v>0</v>
      </c>
      <c r="E55" s="1">
        <f t="shared" si="24"/>
        <v>0</v>
      </c>
      <c r="F55" s="1">
        <f t="shared" si="24"/>
        <v>0</v>
      </c>
      <c r="G55" s="1">
        <f t="shared" si="24"/>
        <v>0</v>
      </c>
      <c r="H55" s="1">
        <f t="shared" si="24"/>
        <v>0</v>
      </c>
      <c r="I55" s="1">
        <f t="shared" si="24"/>
        <v>0</v>
      </c>
      <c r="J55" s="1">
        <f t="shared" si="24"/>
        <v>0</v>
      </c>
      <c r="K55" s="1">
        <f t="shared" si="24"/>
        <v>0</v>
      </c>
      <c r="L55" s="1">
        <f t="shared" si="25"/>
        <v>0</v>
      </c>
      <c r="M55" s="1">
        <f t="shared" si="25"/>
        <v>0</v>
      </c>
      <c r="N55" s="1">
        <f t="shared" si="25"/>
        <v>0</v>
      </c>
      <c r="O55" s="1">
        <f t="shared" si="25"/>
        <v>0</v>
      </c>
      <c r="P55" s="1">
        <f t="shared" si="25"/>
        <v>0</v>
      </c>
      <c r="Q55" s="1">
        <f t="shared" si="25"/>
        <v>0</v>
      </c>
      <c r="R55" s="1">
        <f>SUM(B55:Q55)</f>
        <v>0</v>
      </c>
    </row>
    <row r="56" spans="1:18" x14ac:dyDescent="0.3">
      <c r="A56" s="3" t="s">
        <v>258</v>
      </c>
      <c r="B56" s="1">
        <f t="shared" si="24"/>
        <v>0</v>
      </c>
      <c r="C56" s="1">
        <f t="shared" si="24"/>
        <v>0</v>
      </c>
      <c r="D56" s="1">
        <f t="shared" si="24"/>
        <v>0</v>
      </c>
      <c r="E56" s="1">
        <f t="shared" si="24"/>
        <v>0</v>
      </c>
      <c r="F56" s="1">
        <f t="shared" si="24"/>
        <v>0</v>
      </c>
      <c r="G56" s="1">
        <f t="shared" si="24"/>
        <v>0</v>
      </c>
      <c r="H56" s="1">
        <f t="shared" si="24"/>
        <v>0</v>
      </c>
      <c r="I56" s="1">
        <f t="shared" si="24"/>
        <v>0</v>
      </c>
      <c r="J56" s="1">
        <f t="shared" si="24"/>
        <v>0</v>
      </c>
      <c r="K56" s="1">
        <f t="shared" si="24"/>
        <v>0</v>
      </c>
      <c r="L56" s="1">
        <f t="shared" si="25"/>
        <v>0</v>
      </c>
      <c r="M56" s="1">
        <f t="shared" si="25"/>
        <v>0</v>
      </c>
      <c r="N56" s="1">
        <f t="shared" si="25"/>
        <v>0</v>
      </c>
      <c r="O56" s="1">
        <f t="shared" si="25"/>
        <v>0</v>
      </c>
      <c r="P56" s="1">
        <f t="shared" si="25"/>
        <v>0</v>
      </c>
      <c r="Q56" s="1">
        <f t="shared" si="25"/>
        <v>0</v>
      </c>
      <c r="R56" s="1">
        <f>SUM(B56:Q56)</f>
        <v>0</v>
      </c>
    </row>
    <row r="57" spans="1:18" x14ac:dyDescent="0.3">
      <c r="A57" s="3" t="s">
        <v>259</v>
      </c>
      <c r="B57" s="1">
        <f>SUBTOTAL(9,B52:B56)</f>
        <v>0</v>
      </c>
      <c r="C57" s="1">
        <f t="shared" ref="C57:R57" si="26">SUBTOTAL(9,C52:C56)</f>
        <v>0</v>
      </c>
      <c r="D57" s="1">
        <f t="shared" si="26"/>
        <v>0</v>
      </c>
      <c r="E57" s="1">
        <f t="shared" si="26"/>
        <v>0</v>
      </c>
      <c r="F57" s="1">
        <f t="shared" si="26"/>
        <v>0</v>
      </c>
      <c r="G57" s="1">
        <f t="shared" si="26"/>
        <v>0</v>
      </c>
      <c r="H57" s="1">
        <f t="shared" si="26"/>
        <v>0</v>
      </c>
      <c r="I57" s="1">
        <f t="shared" si="26"/>
        <v>0</v>
      </c>
      <c r="J57" s="1">
        <f t="shared" si="26"/>
        <v>0</v>
      </c>
      <c r="K57" s="1">
        <f t="shared" si="26"/>
        <v>0</v>
      </c>
      <c r="L57" s="1">
        <f t="shared" si="26"/>
        <v>0</v>
      </c>
      <c r="M57" s="1">
        <f t="shared" si="26"/>
        <v>0</v>
      </c>
      <c r="N57" s="1">
        <f t="shared" si="26"/>
        <v>0</v>
      </c>
      <c r="O57" s="1">
        <f t="shared" si="26"/>
        <v>0</v>
      </c>
      <c r="P57" s="1">
        <f t="shared" si="26"/>
        <v>0</v>
      </c>
      <c r="Q57" s="1">
        <f t="shared" si="26"/>
        <v>0</v>
      </c>
      <c r="R57" s="1">
        <f t="shared" si="26"/>
        <v>0</v>
      </c>
    </row>
    <row r="58" spans="1:18" x14ac:dyDescent="0.3">
      <c r="A58" s="1" t="s">
        <v>260</v>
      </c>
      <c r="B58" s="1">
        <f>SUBTOTAL(9,B59:B60)</f>
        <v>0</v>
      </c>
      <c r="C58" s="1">
        <f t="shared" ref="C58:R58" si="27">SUBTOTAL(9,C59:C60)</f>
        <v>0</v>
      </c>
      <c r="D58" s="1">
        <f t="shared" si="27"/>
        <v>0</v>
      </c>
      <c r="E58" s="1">
        <f t="shared" si="27"/>
        <v>0</v>
      </c>
      <c r="F58" s="1">
        <f t="shared" si="27"/>
        <v>0</v>
      </c>
      <c r="G58" s="1">
        <f t="shared" si="27"/>
        <v>0</v>
      </c>
      <c r="H58" s="1">
        <f t="shared" si="27"/>
        <v>0</v>
      </c>
      <c r="I58" s="1">
        <f t="shared" si="27"/>
        <v>0</v>
      </c>
      <c r="J58" s="1">
        <f t="shared" si="27"/>
        <v>0</v>
      </c>
      <c r="K58" s="1">
        <f t="shared" si="27"/>
        <v>0</v>
      </c>
      <c r="L58" s="1">
        <f t="shared" si="27"/>
        <v>0</v>
      </c>
      <c r="M58" s="1">
        <f t="shared" si="27"/>
        <v>0</v>
      </c>
      <c r="N58" s="1">
        <f t="shared" si="27"/>
        <v>0</v>
      </c>
      <c r="O58" s="1">
        <f t="shared" si="27"/>
        <v>0</v>
      </c>
      <c r="P58" s="1">
        <f t="shared" si="27"/>
        <v>0</v>
      </c>
      <c r="Q58" s="1">
        <f t="shared" si="27"/>
        <v>0</v>
      </c>
      <c r="R58" s="1">
        <f t="shared" si="27"/>
        <v>0</v>
      </c>
    </row>
    <row r="59" spans="1:18" x14ac:dyDescent="0.3">
      <c r="A59" s="1" t="s">
        <v>261</v>
      </c>
      <c r="B59" s="1">
        <f t="shared" ref="B59:K63" si="28">SUMIFS(RR_Vehicle,RR_Reporting,$A59,RR_Function,B$36)</f>
        <v>0</v>
      </c>
      <c r="C59" s="1">
        <f t="shared" si="28"/>
        <v>0</v>
      </c>
      <c r="D59" s="1">
        <f t="shared" si="28"/>
        <v>0</v>
      </c>
      <c r="E59" s="1">
        <f t="shared" si="28"/>
        <v>0</v>
      </c>
      <c r="F59" s="1">
        <f t="shared" si="28"/>
        <v>0</v>
      </c>
      <c r="G59" s="1">
        <f t="shared" si="28"/>
        <v>0</v>
      </c>
      <c r="H59" s="1">
        <f t="shared" si="28"/>
        <v>0</v>
      </c>
      <c r="I59" s="1">
        <f t="shared" si="28"/>
        <v>0</v>
      </c>
      <c r="J59" s="1">
        <f t="shared" si="28"/>
        <v>0</v>
      </c>
      <c r="K59" s="1">
        <f t="shared" si="28"/>
        <v>0</v>
      </c>
      <c r="L59" s="1">
        <f t="shared" ref="L59:Q63" si="29">SUMIFS(RR_Vehicle,RR_Reporting,$A59,RR_Function,L$36)</f>
        <v>0</v>
      </c>
      <c r="M59" s="1">
        <f t="shared" si="29"/>
        <v>0</v>
      </c>
      <c r="N59" s="1">
        <f t="shared" si="29"/>
        <v>0</v>
      </c>
      <c r="O59" s="1">
        <f t="shared" si="29"/>
        <v>0</v>
      </c>
      <c r="P59" s="1">
        <f t="shared" si="29"/>
        <v>0</v>
      </c>
      <c r="Q59" s="1">
        <f t="shared" si="29"/>
        <v>0</v>
      </c>
      <c r="R59" s="1">
        <f>SUM(B59:Q59)</f>
        <v>0</v>
      </c>
    </row>
    <row r="60" spans="1:18" x14ac:dyDescent="0.3">
      <c r="A60" s="1" t="s">
        <v>606</v>
      </c>
      <c r="B60" s="1">
        <f t="shared" si="28"/>
        <v>0</v>
      </c>
      <c r="C60" s="1">
        <f t="shared" si="28"/>
        <v>0</v>
      </c>
      <c r="D60" s="1">
        <f t="shared" si="28"/>
        <v>0</v>
      </c>
      <c r="E60" s="1">
        <f t="shared" si="28"/>
        <v>0</v>
      </c>
      <c r="F60" s="1">
        <f t="shared" si="28"/>
        <v>0</v>
      </c>
      <c r="G60" s="1">
        <f t="shared" si="28"/>
        <v>0</v>
      </c>
      <c r="H60" s="1">
        <f t="shared" si="28"/>
        <v>0</v>
      </c>
      <c r="I60" s="1">
        <f t="shared" si="28"/>
        <v>0</v>
      </c>
      <c r="J60" s="1">
        <f t="shared" si="28"/>
        <v>0</v>
      </c>
      <c r="K60" s="1">
        <f t="shared" si="28"/>
        <v>0</v>
      </c>
      <c r="L60" s="1">
        <f t="shared" si="29"/>
        <v>0</v>
      </c>
      <c r="M60" s="1">
        <f t="shared" si="29"/>
        <v>0</v>
      </c>
      <c r="N60" s="1">
        <f t="shared" si="29"/>
        <v>0</v>
      </c>
      <c r="O60" s="1">
        <f t="shared" si="29"/>
        <v>0</v>
      </c>
      <c r="P60" s="1">
        <f t="shared" si="29"/>
        <v>0</v>
      </c>
      <c r="Q60" s="1">
        <f t="shared" si="29"/>
        <v>0</v>
      </c>
      <c r="R60" s="1">
        <f>SUM(B60:Q60)</f>
        <v>0</v>
      </c>
    </row>
    <row r="61" spans="1:18" x14ac:dyDescent="0.3">
      <c r="A61" s="1" t="s">
        <v>629</v>
      </c>
      <c r="B61" s="1">
        <f>SUBTOTAL(9,B37:B60)</f>
        <v>23370</v>
      </c>
      <c r="C61" s="1">
        <f t="shared" ref="C61:R61" si="30">SUBTOTAL(9,C37:C60)</f>
        <v>19487</v>
      </c>
      <c r="D61" s="1">
        <f t="shared" si="30"/>
        <v>0</v>
      </c>
      <c r="E61" s="1">
        <f t="shared" si="30"/>
        <v>15223</v>
      </c>
      <c r="F61" s="1">
        <f t="shared" si="30"/>
        <v>201701</v>
      </c>
      <c r="G61" s="1">
        <f t="shared" si="30"/>
        <v>0</v>
      </c>
      <c r="H61" s="1">
        <f t="shared" si="30"/>
        <v>0</v>
      </c>
      <c r="I61" s="1">
        <f t="shared" si="30"/>
        <v>0</v>
      </c>
      <c r="J61" s="1">
        <f t="shared" si="30"/>
        <v>0</v>
      </c>
      <c r="K61" s="1">
        <f t="shared" si="30"/>
        <v>0</v>
      </c>
      <c r="L61" s="1">
        <f t="shared" si="30"/>
        <v>0</v>
      </c>
      <c r="M61" s="1">
        <f t="shared" si="30"/>
        <v>0</v>
      </c>
      <c r="N61" s="1">
        <f t="shared" si="30"/>
        <v>0</v>
      </c>
      <c r="O61" s="1">
        <f t="shared" si="30"/>
        <v>0</v>
      </c>
      <c r="P61" s="1">
        <f t="shared" si="30"/>
        <v>0</v>
      </c>
      <c r="Q61" s="1">
        <f t="shared" si="30"/>
        <v>0</v>
      </c>
      <c r="R61" s="1">
        <f t="shared" si="30"/>
        <v>259781</v>
      </c>
    </row>
    <row r="62" spans="1:18" x14ac:dyDescent="0.3">
      <c r="A62" s="1" t="s">
        <v>632</v>
      </c>
      <c r="B62" s="1">
        <f t="shared" si="28"/>
        <v>0</v>
      </c>
      <c r="C62" s="1">
        <f t="shared" si="28"/>
        <v>0</v>
      </c>
      <c r="D62" s="1">
        <f t="shared" si="28"/>
        <v>0</v>
      </c>
      <c r="E62" s="1">
        <f t="shared" si="28"/>
        <v>0</v>
      </c>
      <c r="F62" s="1">
        <f t="shared" si="28"/>
        <v>0</v>
      </c>
      <c r="G62" s="1">
        <f t="shared" si="28"/>
        <v>0</v>
      </c>
      <c r="H62" s="1">
        <f t="shared" si="28"/>
        <v>0</v>
      </c>
      <c r="I62" s="1">
        <f t="shared" si="28"/>
        <v>0</v>
      </c>
      <c r="J62" s="1">
        <f t="shared" si="28"/>
        <v>0</v>
      </c>
      <c r="K62" s="1">
        <f t="shared" si="28"/>
        <v>0</v>
      </c>
      <c r="L62" s="1">
        <f t="shared" si="29"/>
        <v>0</v>
      </c>
      <c r="M62" s="1">
        <f t="shared" si="29"/>
        <v>0</v>
      </c>
      <c r="N62" s="1">
        <f t="shared" si="29"/>
        <v>0</v>
      </c>
      <c r="O62" s="1">
        <f t="shared" si="29"/>
        <v>0</v>
      </c>
      <c r="P62" s="1">
        <f t="shared" si="29"/>
        <v>0</v>
      </c>
      <c r="Q62" s="1">
        <f t="shared" si="29"/>
        <v>0</v>
      </c>
      <c r="R62" s="1">
        <f>SUM(B62:Q62)</f>
        <v>0</v>
      </c>
    </row>
    <row r="63" spans="1:18" x14ac:dyDescent="0.3">
      <c r="A63" s="1" t="s">
        <v>631</v>
      </c>
      <c r="B63" s="1">
        <f t="shared" si="28"/>
        <v>0</v>
      </c>
      <c r="C63" s="1">
        <f t="shared" si="28"/>
        <v>0</v>
      </c>
      <c r="D63" s="1">
        <f t="shared" si="28"/>
        <v>0</v>
      </c>
      <c r="E63" s="1">
        <f t="shared" si="28"/>
        <v>0</v>
      </c>
      <c r="F63" s="1">
        <f t="shared" si="28"/>
        <v>0</v>
      </c>
      <c r="G63" s="1">
        <f t="shared" si="28"/>
        <v>0</v>
      </c>
      <c r="H63" s="1">
        <f t="shared" si="28"/>
        <v>0</v>
      </c>
      <c r="I63" s="1">
        <f t="shared" si="28"/>
        <v>0</v>
      </c>
      <c r="J63" s="1">
        <f t="shared" si="28"/>
        <v>0</v>
      </c>
      <c r="K63" s="1">
        <f t="shared" si="28"/>
        <v>0</v>
      </c>
      <c r="L63" s="1">
        <f t="shared" si="29"/>
        <v>0</v>
      </c>
      <c r="M63" s="1">
        <f t="shared" si="29"/>
        <v>0</v>
      </c>
      <c r="N63" s="1">
        <f t="shared" si="29"/>
        <v>0</v>
      </c>
      <c r="O63" s="1">
        <f t="shared" si="29"/>
        <v>0</v>
      </c>
      <c r="P63" s="1">
        <f t="shared" si="29"/>
        <v>0</v>
      </c>
      <c r="Q63" s="1">
        <f t="shared" si="29"/>
        <v>0</v>
      </c>
      <c r="R63" s="1">
        <f>SUM(B63:Q63)</f>
        <v>0</v>
      </c>
    </row>
    <row r="64" spans="1:18" x14ac:dyDescent="0.3">
      <c r="A64" s="1" t="s">
        <v>630</v>
      </c>
      <c r="B64" s="1">
        <f t="shared" ref="B64:R64" si="31">SUBTOTAL(9,B37:B63)</f>
        <v>23370</v>
      </c>
      <c r="C64" s="1">
        <f t="shared" si="31"/>
        <v>19487</v>
      </c>
      <c r="D64" s="1">
        <f t="shared" si="31"/>
        <v>0</v>
      </c>
      <c r="E64" s="1">
        <f t="shared" si="31"/>
        <v>15223</v>
      </c>
      <c r="F64" s="1">
        <f t="shared" si="31"/>
        <v>201701</v>
      </c>
      <c r="G64" s="1">
        <f t="shared" si="31"/>
        <v>0</v>
      </c>
      <c r="H64" s="1">
        <f t="shared" si="31"/>
        <v>0</v>
      </c>
      <c r="I64" s="1">
        <f t="shared" si="31"/>
        <v>0</v>
      </c>
      <c r="J64" s="1">
        <f t="shared" si="31"/>
        <v>0</v>
      </c>
      <c r="K64" s="1">
        <f t="shared" si="31"/>
        <v>0</v>
      </c>
      <c r="L64" s="1">
        <f t="shared" si="31"/>
        <v>0</v>
      </c>
      <c r="M64" s="1">
        <f t="shared" si="31"/>
        <v>0</v>
      </c>
      <c r="N64" s="1">
        <f t="shared" si="31"/>
        <v>0</v>
      </c>
      <c r="O64" s="1">
        <f t="shared" si="31"/>
        <v>0</v>
      </c>
      <c r="P64" s="1">
        <f t="shared" si="31"/>
        <v>0</v>
      </c>
      <c r="Q64" s="1">
        <f t="shared" si="31"/>
        <v>0</v>
      </c>
      <c r="R64" s="1">
        <f t="shared" si="31"/>
        <v>259781</v>
      </c>
    </row>
    <row r="66" spans="1:18" x14ac:dyDescent="0.3">
      <c r="A66" s="1" t="s">
        <v>229</v>
      </c>
    </row>
    <row r="67" spans="1:18" s="9" customFormat="1" ht="54" x14ac:dyDescent="0.25">
      <c r="B67" s="17" t="str">
        <f t="array" ref="B67:Q67">TRANSPOSE(List_Functions)</f>
        <v>Generation</v>
      </c>
      <c r="C67" s="17" t="str">
        <v>Purchased Power</v>
      </c>
      <c r="D67" s="17" t="str">
        <v>Transmission</v>
      </c>
      <c r="E67" s="17" t="str">
        <v>Substations</v>
      </c>
      <c r="F67" s="17" t="str">
        <v>Primary Lines</v>
      </c>
      <c r="G67" s="17" t="str">
        <v>Transformers</v>
      </c>
      <c r="H67" s="17" t="str">
        <v>Secondary Lines</v>
      </c>
      <c r="I67" s="17" t="str">
        <v>Service Lines</v>
      </c>
      <c r="J67" s="17" t="str">
        <v>Meter Assets</v>
      </c>
      <c r="K67" s="17" t="str">
        <v>Meter Reading</v>
      </c>
      <c r="L67" s="17" t="str">
        <v>Billing</v>
      </c>
      <c r="M67" s="17" t="str">
        <v>Remittance &amp; Collection</v>
      </c>
      <c r="N67" s="17" t="str">
        <v>Uncollectibles &amp; Damage Claims</v>
      </c>
      <c r="O67" s="17" t="str">
        <v>Service Connections</v>
      </c>
      <c r="P67" s="17" t="str">
        <v>Late Payments</v>
      </c>
      <c r="Q67" s="17" t="str">
        <v>Lighting</v>
      </c>
      <c r="R67" s="17" t="s">
        <v>214</v>
      </c>
    </row>
    <row r="68" spans="1:18" x14ac:dyDescent="0.3">
      <c r="A68" s="1" t="s">
        <v>200</v>
      </c>
      <c r="B68" s="30">
        <f t="shared" ref="B68:Q72" si="32">VLOOKUP($A68,Table_FunctionAllocators,COLUMN(),FALSE)</f>
        <v>8.3333333333333356E-2</v>
      </c>
      <c r="C68" s="30">
        <f t="shared" si="32"/>
        <v>0.16666666666666671</v>
      </c>
      <c r="D68" s="30">
        <f t="shared" si="32"/>
        <v>0.25000000000000006</v>
      </c>
      <c r="E68" s="30">
        <f t="shared" si="32"/>
        <v>0.25000000000000006</v>
      </c>
      <c r="F68" s="30">
        <f t="shared" si="32"/>
        <v>8.3333333333333356E-2</v>
      </c>
      <c r="G68" s="30">
        <f t="shared" si="32"/>
        <v>8.3333333333333356E-2</v>
      </c>
      <c r="H68" s="30">
        <f t="shared" si="32"/>
        <v>8.3333333333333356E-2</v>
      </c>
      <c r="I68" s="30">
        <f t="shared" si="32"/>
        <v>0</v>
      </c>
      <c r="J68" s="30">
        <f t="shared" si="32"/>
        <v>0</v>
      </c>
      <c r="K68" s="30">
        <f t="shared" si="32"/>
        <v>0</v>
      </c>
      <c r="L68" s="30">
        <f t="shared" si="32"/>
        <v>0</v>
      </c>
      <c r="M68" s="30">
        <f t="shared" si="32"/>
        <v>0</v>
      </c>
      <c r="N68" s="30">
        <f t="shared" si="32"/>
        <v>0</v>
      </c>
      <c r="O68" s="30">
        <f t="shared" si="32"/>
        <v>0</v>
      </c>
      <c r="P68" s="30">
        <f t="shared" si="32"/>
        <v>0</v>
      </c>
      <c r="Q68" s="30">
        <f t="shared" si="32"/>
        <v>0</v>
      </c>
      <c r="R68" s="30">
        <f>SUM(B68:Q68)</f>
        <v>1.0000000000000002</v>
      </c>
    </row>
    <row r="69" spans="1:18" x14ac:dyDescent="0.3">
      <c r="A69" s="1" t="s">
        <v>201</v>
      </c>
      <c r="B69" s="30">
        <f t="shared" si="32"/>
        <v>0.25000000000000006</v>
      </c>
      <c r="C69" s="30">
        <f t="shared" si="32"/>
        <v>0</v>
      </c>
      <c r="D69" s="30">
        <f t="shared" si="32"/>
        <v>0.25000000000000006</v>
      </c>
      <c r="E69" s="30">
        <f t="shared" si="32"/>
        <v>0.25000000000000006</v>
      </c>
      <c r="F69" s="30">
        <f t="shared" si="32"/>
        <v>8.3333333333333356E-2</v>
      </c>
      <c r="G69" s="30">
        <f t="shared" si="32"/>
        <v>8.3333333333333356E-2</v>
      </c>
      <c r="H69" s="30">
        <f t="shared" si="32"/>
        <v>8.3333333333333356E-2</v>
      </c>
      <c r="I69" s="30">
        <f t="shared" si="32"/>
        <v>0</v>
      </c>
      <c r="J69" s="30">
        <f t="shared" si="32"/>
        <v>0</v>
      </c>
      <c r="K69" s="30">
        <f t="shared" si="32"/>
        <v>0</v>
      </c>
      <c r="L69" s="30">
        <f t="shared" ref="L69:Q72" si="33">VLOOKUP($A69,Table_FunctionAllocators,COLUMN(),FALSE)</f>
        <v>0</v>
      </c>
      <c r="M69" s="30">
        <f t="shared" si="33"/>
        <v>0</v>
      </c>
      <c r="N69" s="30">
        <f t="shared" si="33"/>
        <v>0</v>
      </c>
      <c r="O69" s="30">
        <f t="shared" si="33"/>
        <v>0</v>
      </c>
      <c r="P69" s="30">
        <f t="shared" si="33"/>
        <v>0</v>
      </c>
      <c r="Q69" s="30">
        <f t="shared" si="33"/>
        <v>0</v>
      </c>
      <c r="R69" s="30">
        <f>SUM(B69:Q69)</f>
        <v>1.0000000000000002</v>
      </c>
    </row>
    <row r="70" spans="1:18" x14ac:dyDescent="0.3">
      <c r="A70" s="1" t="s">
        <v>208</v>
      </c>
      <c r="B70" s="30">
        <f t="shared" si="32"/>
        <v>0</v>
      </c>
      <c r="C70" s="30">
        <f t="shared" si="32"/>
        <v>0</v>
      </c>
      <c r="D70" s="30">
        <f t="shared" si="32"/>
        <v>0.21141959316939007</v>
      </c>
      <c r="E70" s="30">
        <f t="shared" si="32"/>
        <v>8.0216370176262028E-2</v>
      </c>
      <c r="F70" s="30">
        <f t="shared" si="32"/>
        <v>0.26952200648450569</v>
      </c>
      <c r="G70" s="30">
        <f t="shared" si="32"/>
        <v>0.16831887897827269</v>
      </c>
      <c r="H70" s="30">
        <f t="shared" si="32"/>
        <v>9.1413546973513976E-2</v>
      </c>
      <c r="I70" s="30">
        <f t="shared" si="32"/>
        <v>0.13542361551303328</v>
      </c>
      <c r="J70" s="30">
        <f t="shared" si="32"/>
        <v>2.7628307452129089E-2</v>
      </c>
      <c r="K70" s="30">
        <f t="shared" si="32"/>
        <v>0</v>
      </c>
      <c r="L70" s="30">
        <f t="shared" si="33"/>
        <v>0</v>
      </c>
      <c r="M70" s="30">
        <f t="shared" si="33"/>
        <v>0</v>
      </c>
      <c r="N70" s="30">
        <f t="shared" si="33"/>
        <v>0</v>
      </c>
      <c r="O70" s="30">
        <f t="shared" si="33"/>
        <v>0</v>
      </c>
      <c r="P70" s="30">
        <f t="shared" si="33"/>
        <v>0</v>
      </c>
      <c r="Q70" s="30">
        <f t="shared" si="33"/>
        <v>1.6057681252893231E-2</v>
      </c>
      <c r="R70" s="30">
        <f>SUM(B70:Q70)</f>
        <v>1.0000000000000002</v>
      </c>
    </row>
    <row r="71" spans="1:18" x14ac:dyDescent="0.3">
      <c r="A71" s="1" t="s">
        <v>191</v>
      </c>
      <c r="B71" s="30">
        <f t="shared" si="32"/>
        <v>0</v>
      </c>
      <c r="C71" s="30">
        <f t="shared" si="32"/>
        <v>0</v>
      </c>
      <c r="D71" s="30">
        <f t="shared" si="32"/>
        <v>0</v>
      </c>
      <c r="E71" s="30">
        <f t="shared" si="32"/>
        <v>0</v>
      </c>
      <c r="F71" s="30">
        <f t="shared" si="32"/>
        <v>0.52622341571925935</v>
      </c>
      <c r="G71" s="30">
        <f t="shared" si="32"/>
        <v>0</v>
      </c>
      <c r="H71" s="30">
        <f t="shared" si="32"/>
        <v>0.17540780523975311</v>
      </c>
      <c r="I71" s="30">
        <f t="shared" si="32"/>
        <v>0.26674038100146935</v>
      </c>
      <c r="J71" s="30">
        <f t="shared" si="32"/>
        <v>0</v>
      </c>
      <c r="K71" s="30">
        <f t="shared" si="32"/>
        <v>0</v>
      </c>
      <c r="L71" s="30">
        <f t="shared" si="33"/>
        <v>0</v>
      </c>
      <c r="M71" s="30">
        <f t="shared" si="33"/>
        <v>0</v>
      </c>
      <c r="N71" s="30">
        <f t="shared" si="33"/>
        <v>0</v>
      </c>
      <c r="O71" s="30">
        <f t="shared" si="33"/>
        <v>0</v>
      </c>
      <c r="P71" s="30">
        <f t="shared" si="33"/>
        <v>0</v>
      </c>
      <c r="Q71" s="30">
        <f t="shared" si="33"/>
        <v>3.1628398039518231E-2</v>
      </c>
      <c r="R71" s="30">
        <f>SUM(B71:Q71)</f>
        <v>1</v>
      </c>
    </row>
    <row r="72" spans="1:18" x14ac:dyDescent="0.3">
      <c r="A72" s="1" t="s">
        <v>207</v>
      </c>
      <c r="B72" s="30">
        <f t="shared" si="32"/>
        <v>0</v>
      </c>
      <c r="C72" s="30">
        <f t="shared" si="32"/>
        <v>0</v>
      </c>
      <c r="D72" s="30">
        <f t="shared" si="32"/>
        <v>0</v>
      </c>
      <c r="E72" s="30">
        <f t="shared" si="32"/>
        <v>0.12285669081634128</v>
      </c>
      <c r="F72" s="30">
        <f t="shared" si="32"/>
        <v>0.44877541210313276</v>
      </c>
      <c r="G72" s="30">
        <f t="shared" si="32"/>
        <v>0.27877609304614837</v>
      </c>
      <c r="H72" s="30">
        <f t="shared" si="32"/>
        <v>0.14959180403437758</v>
      </c>
      <c r="I72" s="30">
        <f t="shared" si="32"/>
        <v>0</v>
      </c>
      <c r="J72" s="30">
        <f t="shared" si="32"/>
        <v>0</v>
      </c>
      <c r="K72" s="30">
        <f t="shared" si="32"/>
        <v>0</v>
      </c>
      <c r="L72" s="30">
        <f t="shared" si="33"/>
        <v>0</v>
      </c>
      <c r="M72" s="30">
        <f t="shared" si="33"/>
        <v>0</v>
      </c>
      <c r="N72" s="30">
        <f t="shared" si="33"/>
        <v>0</v>
      </c>
      <c r="O72" s="30">
        <f t="shared" si="33"/>
        <v>0</v>
      </c>
      <c r="P72" s="30">
        <f t="shared" si="33"/>
        <v>0</v>
      </c>
      <c r="Q72" s="30">
        <f t="shared" si="33"/>
        <v>0</v>
      </c>
      <c r="R72" s="30">
        <f>SUM(B72:Q72)</f>
        <v>1</v>
      </c>
    </row>
    <row r="74" spans="1:18" x14ac:dyDescent="0.3">
      <c r="A74" s="1" t="s">
        <v>237</v>
      </c>
    </row>
    <row r="75" spans="1:18" s="9" customFormat="1" ht="54" x14ac:dyDescent="0.25">
      <c r="B75" s="17" t="str">
        <f t="array" ref="B75:Q75">TRANSPOSE(List_Functions)</f>
        <v>Generation</v>
      </c>
      <c r="C75" s="17" t="str">
        <v>Purchased Power</v>
      </c>
      <c r="D75" s="17" t="str">
        <v>Transmission</v>
      </c>
      <c r="E75" s="17" t="str">
        <v>Substations</v>
      </c>
      <c r="F75" s="17" t="str">
        <v>Primary Lines</v>
      </c>
      <c r="G75" s="17" t="str">
        <v>Transformers</v>
      </c>
      <c r="H75" s="17" t="str">
        <v>Secondary Lines</v>
      </c>
      <c r="I75" s="17" t="str">
        <v>Service Lines</v>
      </c>
      <c r="J75" s="17" t="str">
        <v>Meter Assets</v>
      </c>
      <c r="K75" s="17" t="str">
        <v>Meter Reading</v>
      </c>
      <c r="L75" s="17" t="str">
        <v>Billing</v>
      </c>
      <c r="M75" s="17" t="str">
        <v>Remittance &amp; Collection</v>
      </c>
      <c r="N75" s="17" t="str">
        <v>Uncollectibles &amp; Damage Claims</v>
      </c>
      <c r="O75" s="17" t="str">
        <v>Service Connections</v>
      </c>
      <c r="P75" s="17" t="str">
        <v>Late Payments</v>
      </c>
      <c r="Q75" s="17" t="str">
        <v>Lighting</v>
      </c>
      <c r="R75" s="17" t="s">
        <v>214</v>
      </c>
    </row>
    <row r="76" spans="1:18" x14ac:dyDescent="0.3">
      <c r="A76" s="1" t="s">
        <v>262</v>
      </c>
    </row>
    <row r="77" spans="1:18" x14ac:dyDescent="0.3">
      <c r="A77" s="3" t="s">
        <v>247</v>
      </c>
      <c r="B77" s="1">
        <f t="array" ref="B77:Q77">MMULT(B38:F38,$B$68:$Q$72)</f>
        <v>1947.5000000000005</v>
      </c>
      <c r="C77" s="1">
        <v>3895.0000000000009</v>
      </c>
      <c r="D77" s="1">
        <v>5842.5000000000009</v>
      </c>
      <c r="E77" s="1">
        <v>5842.5000000000009</v>
      </c>
      <c r="F77" s="1">
        <v>1947.5000000000005</v>
      </c>
      <c r="G77" s="1">
        <v>1947.5000000000005</v>
      </c>
      <c r="H77" s="1">
        <v>1947.5000000000005</v>
      </c>
      <c r="I77" s="1">
        <v>0</v>
      </c>
      <c r="J77" s="1">
        <v>0</v>
      </c>
      <c r="K77" s="1">
        <v>0</v>
      </c>
      <c r="L77" s="1">
        <v>0</v>
      </c>
      <c r="M77" s="1">
        <v>0</v>
      </c>
      <c r="N77" s="1">
        <v>0</v>
      </c>
      <c r="O77" s="1">
        <v>0</v>
      </c>
      <c r="P77" s="1">
        <v>0</v>
      </c>
      <c r="Q77" s="1">
        <v>0</v>
      </c>
      <c r="R77" s="1">
        <f>SUM(B77:Q77)</f>
        <v>23370.000000000004</v>
      </c>
    </row>
    <row r="78" spans="1:18" x14ac:dyDescent="0.3">
      <c r="A78" s="3" t="s">
        <v>248</v>
      </c>
      <c r="B78" s="1">
        <f t="array" ref="B78:Q78">MMULT(B39:F39,$B$68:$Q$72)</f>
        <v>0</v>
      </c>
      <c r="C78" s="1">
        <v>0</v>
      </c>
      <c r="D78" s="1">
        <v>0</v>
      </c>
      <c r="E78" s="1">
        <v>0</v>
      </c>
      <c r="F78" s="1">
        <v>0</v>
      </c>
      <c r="G78" s="1">
        <v>0</v>
      </c>
      <c r="H78" s="1">
        <v>0</v>
      </c>
      <c r="I78" s="1">
        <v>0</v>
      </c>
      <c r="J78" s="1">
        <v>0</v>
      </c>
      <c r="K78" s="1">
        <v>0</v>
      </c>
      <c r="L78" s="1">
        <v>0</v>
      </c>
      <c r="M78" s="1">
        <v>0</v>
      </c>
      <c r="N78" s="1">
        <v>0</v>
      </c>
      <c r="O78" s="1">
        <v>0</v>
      </c>
      <c r="P78" s="1">
        <v>0</v>
      </c>
      <c r="Q78" s="1">
        <v>0</v>
      </c>
      <c r="R78" s="1">
        <f>SUM(B78:Q78)</f>
        <v>0</v>
      </c>
    </row>
    <row r="79" spans="1:18" x14ac:dyDescent="0.3">
      <c r="A79" s="3" t="s">
        <v>249</v>
      </c>
      <c r="B79" s="1">
        <f>SUBTOTAL(9,B77:B78)</f>
        <v>1947.5000000000005</v>
      </c>
      <c r="C79" s="1">
        <f t="shared" ref="C79:R79" si="34">SUBTOTAL(9,C77:C78)</f>
        <v>3895.0000000000009</v>
      </c>
      <c r="D79" s="1">
        <f t="shared" si="34"/>
        <v>5842.5000000000009</v>
      </c>
      <c r="E79" s="1">
        <f t="shared" si="34"/>
        <v>5842.5000000000009</v>
      </c>
      <c r="F79" s="1">
        <f t="shared" si="34"/>
        <v>1947.5000000000005</v>
      </c>
      <c r="G79" s="1">
        <f t="shared" si="34"/>
        <v>1947.5000000000005</v>
      </c>
      <c r="H79" s="1">
        <f t="shared" si="34"/>
        <v>1947.5000000000005</v>
      </c>
      <c r="I79" s="1">
        <f t="shared" si="34"/>
        <v>0</v>
      </c>
      <c r="J79" s="1">
        <f t="shared" si="34"/>
        <v>0</v>
      </c>
      <c r="K79" s="1">
        <f t="shared" si="34"/>
        <v>0</v>
      </c>
      <c r="L79" s="1">
        <f t="shared" si="34"/>
        <v>0</v>
      </c>
      <c r="M79" s="1">
        <f t="shared" si="34"/>
        <v>0</v>
      </c>
      <c r="N79" s="1">
        <f t="shared" si="34"/>
        <v>0</v>
      </c>
      <c r="O79" s="1">
        <f t="shared" si="34"/>
        <v>0</v>
      </c>
      <c r="P79" s="1">
        <f t="shared" si="34"/>
        <v>0</v>
      </c>
      <c r="Q79" s="1">
        <f t="shared" si="34"/>
        <v>0</v>
      </c>
      <c r="R79" s="1">
        <f t="shared" si="34"/>
        <v>23370.000000000004</v>
      </c>
    </row>
    <row r="80" spans="1:18" x14ac:dyDescent="0.3">
      <c r="A80" s="3" t="s">
        <v>124</v>
      </c>
      <c r="B80" s="1">
        <f t="array" ref="B80:Q80">MMULT(B41:F41,$B$68:$Q$72)</f>
        <v>4871.7500000000009</v>
      </c>
      <c r="C80" s="1">
        <v>0</v>
      </c>
      <c r="D80" s="1">
        <v>4871.7500000000009</v>
      </c>
      <c r="E80" s="1">
        <v>29652.067394346854</v>
      </c>
      <c r="F80" s="1">
        <v>100153.06512077493</v>
      </c>
      <c r="G80" s="1">
        <v>57853.333410167834</v>
      </c>
      <c r="H80" s="1">
        <v>34466.966151369423</v>
      </c>
      <c r="I80" s="1">
        <v>4060.588819985368</v>
      </c>
      <c r="J80" s="1">
        <v>0</v>
      </c>
      <c r="K80" s="1">
        <v>0</v>
      </c>
      <c r="L80" s="1">
        <v>0</v>
      </c>
      <c r="M80" s="1">
        <v>0</v>
      </c>
      <c r="N80" s="1">
        <v>0</v>
      </c>
      <c r="O80" s="1">
        <v>0</v>
      </c>
      <c r="P80" s="1">
        <v>0</v>
      </c>
      <c r="Q80" s="1">
        <v>481.47910335558601</v>
      </c>
      <c r="R80" s="1">
        <f>SUM(B80:Q80)</f>
        <v>236410.99999999997</v>
      </c>
    </row>
    <row r="81" spans="1:18" x14ac:dyDescent="0.3">
      <c r="A81" s="3" t="s">
        <v>12</v>
      </c>
      <c r="B81" s="1">
        <f t="array" ref="B81:Q81">MMULT(B42:F42,$B$68:$Q$72)</f>
        <v>0</v>
      </c>
      <c r="C81" s="1">
        <v>0</v>
      </c>
      <c r="D81" s="1">
        <v>0</v>
      </c>
      <c r="E81" s="1">
        <v>0</v>
      </c>
      <c r="F81" s="1">
        <v>0</v>
      </c>
      <c r="G81" s="1">
        <v>0</v>
      </c>
      <c r="H81" s="1">
        <v>0</v>
      </c>
      <c r="I81" s="1">
        <v>0</v>
      </c>
      <c r="J81" s="1">
        <v>0</v>
      </c>
      <c r="K81" s="1">
        <v>0</v>
      </c>
      <c r="L81" s="1">
        <v>0</v>
      </c>
      <c r="M81" s="1">
        <v>0</v>
      </c>
      <c r="N81" s="1">
        <v>0</v>
      </c>
      <c r="O81" s="1">
        <v>0</v>
      </c>
      <c r="P81" s="1">
        <v>0</v>
      </c>
      <c r="Q81" s="1">
        <v>0</v>
      </c>
      <c r="R81" s="1">
        <f>SUM(B81:Q81)</f>
        <v>0</v>
      </c>
    </row>
    <row r="82" spans="1:18" x14ac:dyDescent="0.3">
      <c r="A82" s="3" t="s">
        <v>250</v>
      </c>
      <c r="B82" s="1">
        <f t="array" ref="B82:Q82">MMULT(B43:F43,$B$68:$Q$72)</f>
        <v>0</v>
      </c>
      <c r="C82" s="1">
        <v>0</v>
      </c>
      <c r="D82" s="1">
        <v>0</v>
      </c>
      <c r="E82" s="1">
        <v>0</v>
      </c>
      <c r="F82" s="1">
        <v>0</v>
      </c>
      <c r="G82" s="1">
        <v>0</v>
      </c>
      <c r="H82" s="1">
        <v>0</v>
      </c>
      <c r="I82" s="1">
        <v>0</v>
      </c>
      <c r="J82" s="1">
        <v>0</v>
      </c>
      <c r="K82" s="1">
        <v>0</v>
      </c>
      <c r="L82" s="1">
        <v>0</v>
      </c>
      <c r="M82" s="1">
        <v>0</v>
      </c>
      <c r="N82" s="1">
        <v>0</v>
      </c>
      <c r="O82" s="1">
        <v>0</v>
      </c>
      <c r="P82" s="1">
        <v>0</v>
      </c>
      <c r="Q82" s="1">
        <v>0</v>
      </c>
      <c r="R82" s="1">
        <f>SUM(B82:Q82)</f>
        <v>0</v>
      </c>
    </row>
    <row r="83" spans="1:18" x14ac:dyDescent="0.3">
      <c r="A83" s="3" t="s">
        <v>251</v>
      </c>
      <c r="B83" s="1">
        <f t="array" ref="B83:Q83">MMULT(B44:F44,$B$68:$Q$72)</f>
        <v>0</v>
      </c>
      <c r="C83" s="1">
        <v>0</v>
      </c>
      <c r="D83" s="1">
        <v>0</v>
      </c>
      <c r="E83" s="1">
        <v>0</v>
      </c>
      <c r="F83" s="1">
        <v>0</v>
      </c>
      <c r="G83" s="1">
        <v>0</v>
      </c>
      <c r="H83" s="1">
        <v>0</v>
      </c>
      <c r="I83" s="1">
        <v>0</v>
      </c>
      <c r="J83" s="1">
        <v>0</v>
      </c>
      <c r="K83" s="1">
        <v>0</v>
      </c>
      <c r="L83" s="1">
        <v>0</v>
      </c>
      <c r="M83" s="1">
        <v>0</v>
      </c>
      <c r="N83" s="1">
        <v>0</v>
      </c>
      <c r="O83" s="1">
        <v>0</v>
      </c>
      <c r="P83" s="1">
        <v>0</v>
      </c>
      <c r="Q83" s="1">
        <v>0</v>
      </c>
      <c r="R83" s="1">
        <f>SUM(B83:Q83)</f>
        <v>0</v>
      </c>
    </row>
    <row r="84" spans="1:18" x14ac:dyDescent="0.3">
      <c r="A84" s="3" t="s">
        <v>252</v>
      </c>
      <c r="B84" s="1">
        <f t="array" ref="B84:Q84">MMULT(B45:F45,$B$68:$Q$72)</f>
        <v>0</v>
      </c>
      <c r="C84" s="1">
        <v>0</v>
      </c>
      <c r="D84" s="1">
        <v>0</v>
      </c>
      <c r="E84" s="1">
        <v>0</v>
      </c>
      <c r="F84" s="1">
        <v>0</v>
      </c>
      <c r="G84" s="1">
        <v>0</v>
      </c>
      <c r="H84" s="1">
        <v>0</v>
      </c>
      <c r="I84" s="1">
        <v>0</v>
      </c>
      <c r="J84" s="1">
        <v>0</v>
      </c>
      <c r="K84" s="1">
        <v>0</v>
      </c>
      <c r="L84" s="1">
        <v>0</v>
      </c>
      <c r="M84" s="1">
        <v>0</v>
      </c>
      <c r="N84" s="1">
        <v>0</v>
      </c>
      <c r="O84" s="1">
        <v>0</v>
      </c>
      <c r="P84" s="1">
        <v>0</v>
      </c>
      <c r="Q84" s="1">
        <v>0</v>
      </c>
      <c r="R84" s="1">
        <f>SUM(B84:Q84)</f>
        <v>0</v>
      </c>
    </row>
    <row r="85" spans="1:18" x14ac:dyDescent="0.3">
      <c r="A85" s="3" t="s">
        <v>253</v>
      </c>
      <c r="B85" s="1">
        <f t="shared" ref="B85:R85" si="35">SUBTOTAL(9,B76:B84)</f>
        <v>6819.2500000000018</v>
      </c>
      <c r="C85" s="1">
        <f t="shared" si="35"/>
        <v>3895.0000000000009</v>
      </c>
      <c r="D85" s="1">
        <f t="shared" si="35"/>
        <v>10714.250000000002</v>
      </c>
      <c r="E85" s="1">
        <f t="shared" si="35"/>
        <v>35494.567394346857</v>
      </c>
      <c r="F85" s="1">
        <f t="shared" si="35"/>
        <v>102100.56512077493</v>
      </c>
      <c r="G85" s="1">
        <f t="shared" si="35"/>
        <v>59800.833410167834</v>
      </c>
      <c r="H85" s="1">
        <f t="shared" si="35"/>
        <v>36414.466151369423</v>
      </c>
      <c r="I85" s="1">
        <f t="shared" si="35"/>
        <v>4060.588819985368</v>
      </c>
      <c r="J85" s="1">
        <f t="shared" si="35"/>
        <v>0</v>
      </c>
      <c r="K85" s="1">
        <f t="shared" si="35"/>
        <v>0</v>
      </c>
      <c r="L85" s="1">
        <f t="shared" si="35"/>
        <v>0</v>
      </c>
      <c r="M85" s="1">
        <f t="shared" si="35"/>
        <v>0</v>
      </c>
      <c r="N85" s="1">
        <f t="shared" si="35"/>
        <v>0</v>
      </c>
      <c r="O85" s="1">
        <f t="shared" si="35"/>
        <v>0</v>
      </c>
      <c r="P85" s="1">
        <f t="shared" si="35"/>
        <v>0</v>
      </c>
      <c r="Q85" s="1">
        <f t="shared" si="35"/>
        <v>481.47910335558601</v>
      </c>
      <c r="R85" s="1">
        <f t="shared" si="35"/>
        <v>259780.99999999997</v>
      </c>
    </row>
    <row r="86" spans="1:18" x14ac:dyDescent="0.3">
      <c r="A86" s="2" t="s">
        <v>138</v>
      </c>
    </row>
    <row r="87" spans="1:18" x14ac:dyDescent="0.3">
      <c r="A87" s="3" t="s">
        <v>479</v>
      </c>
      <c r="B87" s="1">
        <f t="array" ref="B87:Q87">MMULT(B48:F48,$B$68:$Q$72)</f>
        <v>0</v>
      </c>
      <c r="C87" s="1">
        <v>0</v>
      </c>
      <c r="D87" s="1">
        <v>0</v>
      </c>
      <c r="E87" s="1">
        <v>0</v>
      </c>
      <c r="F87" s="1">
        <v>0</v>
      </c>
      <c r="G87" s="1">
        <v>0</v>
      </c>
      <c r="H87" s="1">
        <v>0</v>
      </c>
      <c r="I87" s="1">
        <v>0</v>
      </c>
      <c r="J87" s="1">
        <v>0</v>
      </c>
      <c r="K87" s="1">
        <v>0</v>
      </c>
      <c r="L87" s="1">
        <v>0</v>
      </c>
      <c r="M87" s="1">
        <v>0</v>
      </c>
      <c r="N87" s="1">
        <v>0</v>
      </c>
      <c r="O87" s="1">
        <v>0</v>
      </c>
      <c r="P87" s="1">
        <v>0</v>
      </c>
      <c r="Q87" s="1">
        <v>0</v>
      </c>
      <c r="R87" s="1">
        <f>SUM(B87:Q87)</f>
        <v>0</v>
      </c>
    </row>
    <row r="88" spans="1:18" x14ac:dyDescent="0.3">
      <c r="A88" s="3" t="s">
        <v>480</v>
      </c>
      <c r="B88" s="1">
        <f t="array" ref="B88:Q88">MMULT(B49:F49,$B$68:$Q$72)</f>
        <v>0</v>
      </c>
      <c r="C88" s="1">
        <v>0</v>
      </c>
      <c r="D88" s="1">
        <v>0</v>
      </c>
      <c r="E88" s="1">
        <v>0</v>
      </c>
      <c r="F88" s="1">
        <v>0</v>
      </c>
      <c r="G88" s="1">
        <v>0</v>
      </c>
      <c r="H88" s="1">
        <v>0</v>
      </c>
      <c r="I88" s="1">
        <v>0</v>
      </c>
      <c r="J88" s="1">
        <v>0</v>
      </c>
      <c r="K88" s="1">
        <v>0</v>
      </c>
      <c r="L88" s="1">
        <v>0</v>
      </c>
      <c r="M88" s="1">
        <v>0</v>
      </c>
      <c r="N88" s="1">
        <v>0</v>
      </c>
      <c r="O88" s="1">
        <v>0</v>
      </c>
      <c r="P88" s="1">
        <v>0</v>
      </c>
      <c r="Q88" s="1">
        <v>0</v>
      </c>
      <c r="R88" s="1">
        <f>SUM(B88:Q88)</f>
        <v>0</v>
      </c>
    </row>
    <row r="89" spans="1:18" x14ac:dyDescent="0.3">
      <c r="A89" s="3" t="s">
        <v>254</v>
      </c>
      <c r="B89" s="1">
        <f t="shared" ref="B89:R89" si="36">SUBTOTAL(9,B86:B88)</f>
        <v>0</v>
      </c>
      <c r="C89" s="1">
        <f t="shared" si="36"/>
        <v>0</v>
      </c>
      <c r="D89" s="1">
        <f t="shared" si="36"/>
        <v>0</v>
      </c>
      <c r="E89" s="1">
        <f t="shared" si="36"/>
        <v>0</v>
      </c>
      <c r="F89" s="1">
        <f t="shared" si="36"/>
        <v>0</v>
      </c>
      <c r="G89" s="1">
        <f t="shared" si="36"/>
        <v>0</v>
      </c>
      <c r="H89" s="1">
        <f t="shared" si="36"/>
        <v>0</v>
      </c>
      <c r="I89" s="1">
        <f t="shared" si="36"/>
        <v>0</v>
      </c>
      <c r="J89" s="1">
        <f t="shared" si="36"/>
        <v>0</v>
      </c>
      <c r="K89" s="1">
        <f t="shared" si="36"/>
        <v>0</v>
      </c>
      <c r="L89" s="1">
        <f t="shared" si="36"/>
        <v>0</v>
      </c>
      <c r="M89" s="1">
        <f t="shared" si="36"/>
        <v>0</v>
      </c>
      <c r="N89" s="1">
        <f t="shared" si="36"/>
        <v>0</v>
      </c>
      <c r="O89" s="1">
        <f t="shared" si="36"/>
        <v>0</v>
      </c>
      <c r="P89" s="1">
        <f t="shared" si="36"/>
        <v>0</v>
      </c>
      <c r="Q89" s="1">
        <f t="shared" si="36"/>
        <v>0</v>
      </c>
      <c r="R89" s="1">
        <f t="shared" si="36"/>
        <v>0</v>
      </c>
    </row>
    <row r="90" spans="1:18" x14ac:dyDescent="0.3">
      <c r="A90" s="1" t="s">
        <v>263</v>
      </c>
      <c r="B90" s="1">
        <f t="shared" ref="B90:R90" si="37">SUBTOTAL(9,B76:B89)</f>
        <v>6819.2500000000018</v>
      </c>
      <c r="C90" s="1">
        <f t="shared" si="37"/>
        <v>3895.0000000000009</v>
      </c>
      <c r="D90" s="1">
        <f t="shared" si="37"/>
        <v>10714.250000000002</v>
      </c>
      <c r="E90" s="1">
        <f t="shared" si="37"/>
        <v>35494.567394346857</v>
      </c>
      <c r="F90" s="1">
        <f t="shared" si="37"/>
        <v>102100.56512077493</v>
      </c>
      <c r="G90" s="1">
        <f t="shared" si="37"/>
        <v>59800.833410167834</v>
      </c>
      <c r="H90" s="1">
        <f t="shared" si="37"/>
        <v>36414.466151369423</v>
      </c>
      <c r="I90" s="1">
        <f t="shared" si="37"/>
        <v>4060.588819985368</v>
      </c>
      <c r="J90" s="1">
        <f t="shared" si="37"/>
        <v>0</v>
      </c>
      <c r="K90" s="1">
        <f t="shared" si="37"/>
        <v>0</v>
      </c>
      <c r="L90" s="1">
        <f t="shared" si="37"/>
        <v>0</v>
      </c>
      <c r="M90" s="1">
        <f t="shared" si="37"/>
        <v>0</v>
      </c>
      <c r="N90" s="1">
        <f t="shared" si="37"/>
        <v>0</v>
      </c>
      <c r="O90" s="1">
        <f t="shared" si="37"/>
        <v>0</v>
      </c>
      <c r="P90" s="1">
        <f t="shared" si="37"/>
        <v>0</v>
      </c>
      <c r="Q90" s="1">
        <f t="shared" si="37"/>
        <v>481.47910335558601</v>
      </c>
      <c r="R90" s="1">
        <f t="shared" si="37"/>
        <v>259780.99999999997</v>
      </c>
    </row>
    <row r="91" spans="1:18" x14ac:dyDescent="0.3">
      <c r="A91" s="1" t="s">
        <v>246</v>
      </c>
      <c r="R91" s="1">
        <f>SUM(B91:Q91)</f>
        <v>0</v>
      </c>
    </row>
    <row r="92" spans="1:18" x14ac:dyDescent="0.3">
      <c r="A92" s="3" t="s">
        <v>255</v>
      </c>
      <c r="B92" s="1">
        <f t="array" ref="B92:Q92">MMULT(B53:F53,$B$68:$Q$72)</f>
        <v>0</v>
      </c>
      <c r="C92" s="1">
        <v>0</v>
      </c>
      <c r="D92" s="1">
        <v>0</v>
      </c>
      <c r="E92" s="1">
        <v>0</v>
      </c>
      <c r="F92" s="1">
        <v>0</v>
      </c>
      <c r="G92" s="1">
        <v>0</v>
      </c>
      <c r="H92" s="1">
        <v>0</v>
      </c>
      <c r="I92" s="1">
        <v>0</v>
      </c>
      <c r="J92" s="1">
        <v>0</v>
      </c>
      <c r="K92" s="1">
        <v>0</v>
      </c>
      <c r="L92" s="1">
        <v>0</v>
      </c>
      <c r="M92" s="1">
        <v>0</v>
      </c>
      <c r="N92" s="1">
        <v>0</v>
      </c>
      <c r="O92" s="1">
        <v>0</v>
      </c>
      <c r="P92" s="1">
        <v>0</v>
      </c>
      <c r="Q92" s="1">
        <v>0</v>
      </c>
      <c r="R92" s="1">
        <f>SUM(B92:Q92)</f>
        <v>0</v>
      </c>
    </row>
    <row r="93" spans="1:18" x14ac:dyDescent="0.3">
      <c r="A93" s="3" t="s">
        <v>256</v>
      </c>
      <c r="B93" s="1">
        <f t="array" ref="B93:Q93">MMULT(B54:F54,$B$68:$Q$72)</f>
        <v>0</v>
      </c>
      <c r="C93" s="1">
        <v>0</v>
      </c>
      <c r="D93" s="1">
        <v>0</v>
      </c>
      <c r="E93" s="1">
        <v>0</v>
      </c>
      <c r="F93" s="1">
        <v>0</v>
      </c>
      <c r="G93" s="1">
        <v>0</v>
      </c>
      <c r="H93" s="1">
        <v>0</v>
      </c>
      <c r="I93" s="1">
        <v>0</v>
      </c>
      <c r="J93" s="1">
        <v>0</v>
      </c>
      <c r="K93" s="1">
        <v>0</v>
      </c>
      <c r="L93" s="1">
        <v>0</v>
      </c>
      <c r="M93" s="1">
        <v>0</v>
      </c>
      <c r="N93" s="1">
        <v>0</v>
      </c>
      <c r="O93" s="1">
        <v>0</v>
      </c>
      <c r="P93" s="1">
        <v>0</v>
      </c>
      <c r="Q93" s="1">
        <v>0</v>
      </c>
      <c r="R93" s="1">
        <f>SUM(B93:Q93)</f>
        <v>0</v>
      </c>
    </row>
    <row r="94" spans="1:18" x14ac:dyDescent="0.3">
      <c r="A94" s="3" t="s">
        <v>257</v>
      </c>
      <c r="B94" s="1">
        <f t="array" ref="B94:Q94">MMULT(B55:F55,$B$68:$Q$72)</f>
        <v>0</v>
      </c>
      <c r="C94" s="1">
        <v>0</v>
      </c>
      <c r="D94" s="1">
        <v>0</v>
      </c>
      <c r="E94" s="1">
        <v>0</v>
      </c>
      <c r="F94" s="1">
        <v>0</v>
      </c>
      <c r="G94" s="1">
        <v>0</v>
      </c>
      <c r="H94" s="1">
        <v>0</v>
      </c>
      <c r="I94" s="1">
        <v>0</v>
      </c>
      <c r="J94" s="1">
        <v>0</v>
      </c>
      <c r="K94" s="1">
        <v>0</v>
      </c>
      <c r="L94" s="1">
        <v>0</v>
      </c>
      <c r="M94" s="1">
        <v>0</v>
      </c>
      <c r="N94" s="1">
        <v>0</v>
      </c>
      <c r="O94" s="1">
        <v>0</v>
      </c>
      <c r="P94" s="1">
        <v>0</v>
      </c>
      <c r="Q94" s="1">
        <v>0</v>
      </c>
      <c r="R94" s="1">
        <f>SUM(B94:Q94)</f>
        <v>0</v>
      </c>
    </row>
    <row r="95" spans="1:18" x14ac:dyDescent="0.3">
      <c r="A95" s="3" t="s">
        <v>258</v>
      </c>
      <c r="B95" s="1">
        <f t="array" ref="B95:Q95">MMULT(B56:F56,$B$68:$Q$72)</f>
        <v>0</v>
      </c>
      <c r="C95" s="1">
        <v>0</v>
      </c>
      <c r="D95" s="1">
        <v>0</v>
      </c>
      <c r="E95" s="1">
        <v>0</v>
      </c>
      <c r="F95" s="1">
        <v>0</v>
      </c>
      <c r="G95" s="1">
        <v>0</v>
      </c>
      <c r="H95" s="1">
        <v>0</v>
      </c>
      <c r="I95" s="1">
        <v>0</v>
      </c>
      <c r="J95" s="1">
        <v>0</v>
      </c>
      <c r="K95" s="1">
        <v>0</v>
      </c>
      <c r="L95" s="1">
        <v>0</v>
      </c>
      <c r="M95" s="1">
        <v>0</v>
      </c>
      <c r="N95" s="1">
        <v>0</v>
      </c>
      <c r="O95" s="1">
        <v>0</v>
      </c>
      <c r="P95" s="1">
        <v>0</v>
      </c>
      <c r="Q95" s="1">
        <v>0</v>
      </c>
      <c r="R95" s="1">
        <f>SUM(B95:Q95)</f>
        <v>0</v>
      </c>
    </row>
    <row r="96" spans="1:18" x14ac:dyDescent="0.3">
      <c r="A96" s="3" t="s">
        <v>259</v>
      </c>
      <c r="B96" s="1">
        <f t="shared" ref="B96:R96" si="38">SUBTOTAL(9,B91:B95)</f>
        <v>0</v>
      </c>
      <c r="C96" s="1">
        <f t="shared" si="38"/>
        <v>0</v>
      </c>
      <c r="D96" s="1">
        <f t="shared" si="38"/>
        <v>0</v>
      </c>
      <c r="E96" s="1">
        <f t="shared" si="38"/>
        <v>0</v>
      </c>
      <c r="F96" s="1">
        <f t="shared" si="38"/>
        <v>0</v>
      </c>
      <c r="G96" s="1">
        <f t="shared" si="38"/>
        <v>0</v>
      </c>
      <c r="H96" s="1">
        <f t="shared" si="38"/>
        <v>0</v>
      </c>
      <c r="I96" s="1">
        <f t="shared" si="38"/>
        <v>0</v>
      </c>
      <c r="J96" s="1">
        <f t="shared" si="38"/>
        <v>0</v>
      </c>
      <c r="K96" s="1">
        <f t="shared" si="38"/>
        <v>0</v>
      </c>
      <c r="L96" s="1">
        <f t="shared" si="38"/>
        <v>0</v>
      </c>
      <c r="M96" s="1">
        <f t="shared" si="38"/>
        <v>0</v>
      </c>
      <c r="N96" s="1">
        <f t="shared" si="38"/>
        <v>0</v>
      </c>
      <c r="O96" s="1">
        <f t="shared" si="38"/>
        <v>0</v>
      </c>
      <c r="P96" s="1">
        <f t="shared" si="38"/>
        <v>0</v>
      </c>
      <c r="Q96" s="1">
        <f t="shared" si="38"/>
        <v>0</v>
      </c>
      <c r="R96" s="1">
        <f t="shared" si="38"/>
        <v>0</v>
      </c>
    </row>
    <row r="97" spans="1:19" x14ac:dyDescent="0.3">
      <c r="A97" s="1" t="s">
        <v>260</v>
      </c>
      <c r="B97" s="1">
        <f>SUBTOTAL(9,B98:B99)</f>
        <v>0</v>
      </c>
      <c r="C97" s="1">
        <f t="shared" ref="C97:R97" si="39">SUBTOTAL(9,C98:C99)</f>
        <v>0</v>
      </c>
      <c r="D97" s="1">
        <f t="shared" si="39"/>
        <v>0</v>
      </c>
      <c r="E97" s="1">
        <f t="shared" si="39"/>
        <v>0</v>
      </c>
      <c r="F97" s="1">
        <f t="shared" si="39"/>
        <v>0</v>
      </c>
      <c r="G97" s="1">
        <f t="shared" si="39"/>
        <v>0</v>
      </c>
      <c r="H97" s="1">
        <f t="shared" si="39"/>
        <v>0</v>
      </c>
      <c r="I97" s="1">
        <f t="shared" si="39"/>
        <v>0</v>
      </c>
      <c r="J97" s="1">
        <f t="shared" si="39"/>
        <v>0</v>
      </c>
      <c r="K97" s="1">
        <f t="shared" si="39"/>
        <v>0</v>
      </c>
      <c r="L97" s="1">
        <f t="shared" si="39"/>
        <v>0</v>
      </c>
      <c r="M97" s="1">
        <f t="shared" si="39"/>
        <v>0</v>
      </c>
      <c r="N97" s="1">
        <f t="shared" si="39"/>
        <v>0</v>
      </c>
      <c r="O97" s="1">
        <f t="shared" si="39"/>
        <v>0</v>
      </c>
      <c r="P97" s="1">
        <f t="shared" si="39"/>
        <v>0</v>
      </c>
      <c r="Q97" s="1">
        <f t="shared" si="39"/>
        <v>0</v>
      </c>
      <c r="R97" s="1">
        <f t="shared" si="39"/>
        <v>0</v>
      </c>
    </row>
    <row r="98" spans="1:19" x14ac:dyDescent="0.3">
      <c r="A98" s="1" t="s">
        <v>261</v>
      </c>
      <c r="B98" s="1">
        <f t="array" ref="B98:Q98">MMULT(B59:F59,$B$68:$Q$72)</f>
        <v>0</v>
      </c>
      <c r="C98" s="1">
        <v>0</v>
      </c>
      <c r="D98" s="1">
        <v>0</v>
      </c>
      <c r="E98" s="1">
        <v>0</v>
      </c>
      <c r="F98" s="1">
        <v>0</v>
      </c>
      <c r="G98" s="1">
        <v>0</v>
      </c>
      <c r="H98" s="1">
        <v>0</v>
      </c>
      <c r="I98" s="1">
        <v>0</v>
      </c>
      <c r="J98" s="1">
        <v>0</v>
      </c>
      <c r="K98" s="1">
        <v>0</v>
      </c>
      <c r="L98" s="1">
        <v>0</v>
      </c>
      <c r="M98" s="1">
        <v>0</v>
      </c>
      <c r="N98" s="1">
        <v>0</v>
      </c>
      <c r="O98" s="1">
        <v>0</v>
      </c>
      <c r="P98" s="1">
        <v>0</v>
      </c>
      <c r="Q98" s="1">
        <v>0</v>
      </c>
      <c r="R98" s="1">
        <f>SUM(B98:Q98)</f>
        <v>0</v>
      </c>
    </row>
    <row r="99" spans="1:19" x14ac:dyDescent="0.3">
      <c r="A99" s="1" t="s">
        <v>606</v>
      </c>
      <c r="B99" s="1">
        <f t="array" ref="B99:Q99">MMULT(B60:F60,$B$68:$Q$72)</f>
        <v>0</v>
      </c>
      <c r="C99" s="1">
        <v>0</v>
      </c>
      <c r="D99" s="1">
        <v>0</v>
      </c>
      <c r="E99" s="1">
        <v>0</v>
      </c>
      <c r="F99" s="1">
        <v>0</v>
      </c>
      <c r="G99" s="1">
        <v>0</v>
      </c>
      <c r="H99" s="1">
        <v>0</v>
      </c>
      <c r="I99" s="1">
        <v>0</v>
      </c>
      <c r="J99" s="1">
        <v>0</v>
      </c>
      <c r="K99" s="1">
        <v>0</v>
      </c>
      <c r="L99" s="1">
        <v>0</v>
      </c>
      <c r="M99" s="1">
        <v>0</v>
      </c>
      <c r="N99" s="1">
        <v>0</v>
      </c>
      <c r="O99" s="1">
        <v>0</v>
      </c>
      <c r="P99" s="1">
        <v>0</v>
      </c>
      <c r="Q99" s="1">
        <v>0</v>
      </c>
      <c r="R99" s="1">
        <f>SUM(B99:Q99)</f>
        <v>0</v>
      </c>
    </row>
    <row r="100" spans="1:19" x14ac:dyDescent="0.3">
      <c r="A100" s="1" t="s">
        <v>629</v>
      </c>
      <c r="B100" s="1">
        <f>SUBTOTAL(9,B76:B99)</f>
        <v>6819.2500000000018</v>
      </c>
      <c r="C100" s="1">
        <f t="shared" ref="C100:R100" si="40">SUBTOTAL(9,C76:C99)</f>
        <v>3895.0000000000009</v>
      </c>
      <c r="D100" s="1">
        <f t="shared" si="40"/>
        <v>10714.250000000002</v>
      </c>
      <c r="E100" s="1">
        <f t="shared" si="40"/>
        <v>35494.567394346857</v>
      </c>
      <c r="F100" s="1">
        <f t="shared" si="40"/>
        <v>102100.56512077493</v>
      </c>
      <c r="G100" s="1">
        <f t="shared" si="40"/>
        <v>59800.833410167834</v>
      </c>
      <c r="H100" s="1">
        <f t="shared" si="40"/>
        <v>36414.466151369423</v>
      </c>
      <c r="I100" s="1">
        <f t="shared" si="40"/>
        <v>4060.588819985368</v>
      </c>
      <c r="J100" s="1">
        <f t="shared" si="40"/>
        <v>0</v>
      </c>
      <c r="K100" s="1">
        <f t="shared" si="40"/>
        <v>0</v>
      </c>
      <c r="L100" s="1">
        <f t="shared" si="40"/>
        <v>0</v>
      </c>
      <c r="M100" s="1">
        <f t="shared" si="40"/>
        <v>0</v>
      </c>
      <c r="N100" s="1">
        <f t="shared" si="40"/>
        <v>0</v>
      </c>
      <c r="O100" s="1">
        <f t="shared" si="40"/>
        <v>0</v>
      </c>
      <c r="P100" s="1">
        <f t="shared" si="40"/>
        <v>0</v>
      </c>
      <c r="Q100" s="1">
        <f t="shared" si="40"/>
        <v>481.47910335558601</v>
      </c>
      <c r="R100" s="1">
        <f t="shared" si="40"/>
        <v>259780.99999999997</v>
      </c>
    </row>
    <row r="101" spans="1:19" x14ac:dyDescent="0.3">
      <c r="A101" s="1" t="s">
        <v>632</v>
      </c>
      <c r="B101" s="1">
        <f t="array" ref="B101:Q101">MMULT(B62:F62,$B$68:$Q$72)</f>
        <v>0</v>
      </c>
      <c r="C101" s="1">
        <v>0</v>
      </c>
      <c r="D101" s="1">
        <v>0</v>
      </c>
      <c r="E101" s="1">
        <v>0</v>
      </c>
      <c r="F101" s="1">
        <v>0</v>
      </c>
      <c r="G101" s="1">
        <v>0</v>
      </c>
      <c r="H101" s="1">
        <v>0</v>
      </c>
      <c r="I101" s="1">
        <v>0</v>
      </c>
      <c r="J101" s="1">
        <v>0</v>
      </c>
      <c r="K101" s="1">
        <v>0</v>
      </c>
      <c r="L101" s="1">
        <v>0</v>
      </c>
      <c r="M101" s="1">
        <v>0</v>
      </c>
      <c r="N101" s="1">
        <v>0</v>
      </c>
      <c r="O101" s="1">
        <v>0</v>
      </c>
      <c r="P101" s="1">
        <v>0</v>
      </c>
      <c r="Q101" s="1">
        <v>0</v>
      </c>
      <c r="R101" s="1">
        <f>SUM(B101:Q101)</f>
        <v>0</v>
      </c>
    </row>
    <row r="102" spans="1:19" x14ac:dyDescent="0.3">
      <c r="A102" s="1" t="s">
        <v>631</v>
      </c>
      <c r="B102" s="1">
        <f t="array" ref="B102:Q102">MMULT(B63:F63,$B$68:$Q$72)</f>
        <v>0</v>
      </c>
      <c r="C102" s="1">
        <v>0</v>
      </c>
      <c r="D102" s="1">
        <v>0</v>
      </c>
      <c r="E102" s="1">
        <v>0</v>
      </c>
      <c r="F102" s="1">
        <v>0</v>
      </c>
      <c r="G102" s="1">
        <v>0</v>
      </c>
      <c r="H102" s="1">
        <v>0</v>
      </c>
      <c r="I102" s="1">
        <v>0</v>
      </c>
      <c r="J102" s="1">
        <v>0</v>
      </c>
      <c r="K102" s="1">
        <v>0</v>
      </c>
      <c r="L102" s="1">
        <v>0</v>
      </c>
      <c r="M102" s="1">
        <v>0</v>
      </c>
      <c r="N102" s="1">
        <v>0</v>
      </c>
      <c r="O102" s="1">
        <v>0</v>
      </c>
      <c r="P102" s="1">
        <v>0</v>
      </c>
      <c r="Q102" s="1">
        <v>0</v>
      </c>
      <c r="R102" s="1">
        <f>SUM(B102:Q102)</f>
        <v>0</v>
      </c>
    </row>
    <row r="103" spans="1:19" x14ac:dyDescent="0.3">
      <c r="A103" s="1" t="s">
        <v>630</v>
      </c>
      <c r="B103" s="1">
        <f t="shared" ref="B103:R103" si="41">SUBTOTAL(9,B76:B102)</f>
        <v>6819.2500000000018</v>
      </c>
      <c r="C103" s="1">
        <f t="shared" si="41"/>
        <v>3895.0000000000009</v>
      </c>
      <c r="D103" s="1">
        <f t="shared" si="41"/>
        <v>10714.250000000002</v>
      </c>
      <c r="E103" s="1">
        <f t="shared" si="41"/>
        <v>35494.567394346857</v>
      </c>
      <c r="F103" s="1">
        <f t="shared" si="41"/>
        <v>102100.56512077493</v>
      </c>
      <c r="G103" s="1">
        <f t="shared" si="41"/>
        <v>59800.833410167834</v>
      </c>
      <c r="H103" s="1">
        <f t="shared" si="41"/>
        <v>36414.466151369423</v>
      </c>
      <c r="I103" s="1">
        <f t="shared" si="41"/>
        <v>4060.588819985368</v>
      </c>
      <c r="J103" s="1">
        <f t="shared" si="41"/>
        <v>0</v>
      </c>
      <c r="K103" s="1">
        <f t="shared" si="41"/>
        <v>0</v>
      </c>
      <c r="L103" s="1">
        <f t="shared" si="41"/>
        <v>0</v>
      </c>
      <c r="M103" s="1">
        <f t="shared" si="41"/>
        <v>0</v>
      </c>
      <c r="N103" s="1">
        <f t="shared" si="41"/>
        <v>0</v>
      </c>
      <c r="O103" s="1">
        <f t="shared" si="41"/>
        <v>0</v>
      </c>
      <c r="P103" s="1">
        <f t="shared" si="41"/>
        <v>0</v>
      </c>
      <c r="Q103" s="1">
        <f t="shared" si="41"/>
        <v>481.47910335558601</v>
      </c>
      <c r="R103" s="1">
        <f t="shared" si="41"/>
        <v>259780.99999999997</v>
      </c>
    </row>
    <row r="105" spans="1:19" x14ac:dyDescent="0.3">
      <c r="A105" s="1" t="s">
        <v>214</v>
      </c>
    </row>
    <row r="106" spans="1:19" s="9" customFormat="1" ht="54" x14ac:dyDescent="0.25">
      <c r="B106" s="17" t="str">
        <f t="array" ref="B106:Q106">TRANSPOSE(List_Functions)</f>
        <v>Generation</v>
      </c>
      <c r="C106" s="17" t="str">
        <v>Purchased Power</v>
      </c>
      <c r="D106" s="17" t="str">
        <v>Transmission</v>
      </c>
      <c r="E106" s="17" t="str">
        <v>Substations</v>
      </c>
      <c r="F106" s="17" t="str">
        <v>Primary Lines</v>
      </c>
      <c r="G106" s="17" t="str">
        <v>Transformers</v>
      </c>
      <c r="H106" s="17" t="str">
        <v>Secondary Lines</v>
      </c>
      <c r="I106" s="17" t="str">
        <v>Service Lines</v>
      </c>
      <c r="J106" s="17" t="str">
        <v>Meter Assets</v>
      </c>
      <c r="K106" s="17" t="str">
        <v>Meter Reading</v>
      </c>
      <c r="L106" s="17" t="str">
        <v>Billing</v>
      </c>
      <c r="M106" s="17" t="str">
        <v>Remittance &amp; Collection</v>
      </c>
      <c r="N106" s="17" t="str">
        <v>Uncollectibles &amp; Damage Claims</v>
      </c>
      <c r="O106" s="17" t="str">
        <v>Service Connections</v>
      </c>
      <c r="P106" s="17" t="str">
        <v>Late Payments</v>
      </c>
      <c r="Q106" s="17" t="str">
        <v>Lighting</v>
      </c>
      <c r="R106" s="17" t="s">
        <v>214</v>
      </c>
      <c r="S106" s="17" t="s">
        <v>680</v>
      </c>
    </row>
    <row r="107" spans="1:19" x14ac:dyDescent="0.3">
      <c r="A107" s="1" t="s">
        <v>262</v>
      </c>
    </row>
    <row r="108" spans="1:19" x14ac:dyDescent="0.3">
      <c r="A108" s="3" t="s">
        <v>247</v>
      </c>
      <c r="B108" s="1">
        <f>SUM(B7,B77)</f>
        <v>28879.5</v>
      </c>
      <c r="C108" s="1">
        <f>SUM(C7,C77)</f>
        <v>3895.0000000000009</v>
      </c>
      <c r="D108" s="1">
        <f>SUM(D7,D77)</f>
        <v>8105.5000000000009</v>
      </c>
      <c r="E108" s="1">
        <f>SUM(E7,E77)</f>
        <v>5842.5000000000009</v>
      </c>
      <c r="F108" s="1">
        <f>SUM(F7,F77)</f>
        <v>1947.5000000000005</v>
      </c>
      <c r="G108" s="1">
        <f>SUM(G7,G77)</f>
        <v>1947.5000000000005</v>
      </c>
      <c r="H108" s="1">
        <f>SUM(H7,H77)</f>
        <v>1947.5000000000005</v>
      </c>
      <c r="I108" s="1">
        <f>SUM(I7,I77)</f>
        <v>0</v>
      </c>
      <c r="J108" s="1">
        <f>SUM(J7,J77)</f>
        <v>0</v>
      </c>
      <c r="K108" s="1">
        <f>SUM(K7,K77)</f>
        <v>0</v>
      </c>
      <c r="L108" s="1">
        <f>SUM(L7,L77)</f>
        <v>0</v>
      </c>
      <c r="M108" s="1">
        <f>SUM(M7,M77)</f>
        <v>0</v>
      </c>
      <c r="N108" s="1">
        <f>SUM(N7,N77)</f>
        <v>0</v>
      </c>
      <c r="O108" s="1">
        <f>SUM(O7,O77)</f>
        <v>0</v>
      </c>
      <c r="P108" s="1">
        <f>SUM(P7,P77)</f>
        <v>0</v>
      </c>
      <c r="Q108" s="1">
        <f>SUM(Q7,Q77)</f>
        <v>0</v>
      </c>
      <c r="R108" s="1">
        <f>SUM(B108:Q108)</f>
        <v>52565</v>
      </c>
      <c r="S108" s="1">
        <f>SUMIFS(RR_Vehicle,RR_Reporting,$A108)</f>
        <v>52565</v>
      </c>
    </row>
    <row r="109" spans="1:19" x14ac:dyDescent="0.3">
      <c r="A109" s="3" t="s">
        <v>248</v>
      </c>
      <c r="B109" s="1">
        <f>SUM(B8,B78)</f>
        <v>0</v>
      </c>
      <c r="C109" s="1">
        <f>SUM(C8,C78)</f>
        <v>0</v>
      </c>
      <c r="D109" s="1">
        <f>SUM(D8,D78)</f>
        <v>0</v>
      </c>
      <c r="E109" s="1">
        <f>SUM(E8,E78)</f>
        <v>0</v>
      </c>
      <c r="F109" s="1">
        <f>SUM(F8,F78)</f>
        <v>0</v>
      </c>
      <c r="G109" s="1">
        <f>SUM(G8,G78)</f>
        <v>0</v>
      </c>
      <c r="H109" s="1">
        <f>SUM(H8,H78)</f>
        <v>0</v>
      </c>
      <c r="I109" s="1">
        <f>SUM(I8,I78)</f>
        <v>0</v>
      </c>
      <c r="J109" s="1">
        <f>SUM(J8,J78)</f>
        <v>0</v>
      </c>
      <c r="K109" s="1">
        <f>SUM(K8,K78)</f>
        <v>0</v>
      </c>
      <c r="L109" s="1">
        <f>SUM(L8,L78)</f>
        <v>0</v>
      </c>
      <c r="M109" s="1">
        <f>SUM(M8,M78)</f>
        <v>0</v>
      </c>
      <c r="N109" s="1">
        <f>SUM(N8,N78)</f>
        <v>0</v>
      </c>
      <c r="O109" s="1">
        <f>SUM(O8,O78)</f>
        <v>0</v>
      </c>
      <c r="P109" s="1">
        <f>SUM(P8,P78)</f>
        <v>0</v>
      </c>
      <c r="Q109" s="1">
        <f>SUM(Q8,Q78)</f>
        <v>0</v>
      </c>
      <c r="R109" s="1">
        <f>SUM(B109:Q109)</f>
        <v>0</v>
      </c>
      <c r="S109" s="1">
        <f>SUMIFS(RR_Vehicle,RR_Reporting,$A109)</f>
        <v>0</v>
      </c>
    </row>
    <row r="110" spans="1:19" x14ac:dyDescent="0.3">
      <c r="A110" s="3" t="s">
        <v>249</v>
      </c>
      <c r="B110" s="1">
        <f>SUBTOTAL(9,B108:B109)</f>
        <v>28879.5</v>
      </c>
      <c r="C110" s="1">
        <f t="shared" ref="C110:Q110" si="42">SUBTOTAL(9,C108:C109)</f>
        <v>3895.0000000000009</v>
      </c>
      <c r="D110" s="1">
        <f t="shared" si="42"/>
        <v>8105.5000000000009</v>
      </c>
      <c r="E110" s="1">
        <f t="shared" si="42"/>
        <v>5842.5000000000009</v>
      </c>
      <c r="F110" s="1">
        <f t="shared" si="42"/>
        <v>1947.5000000000005</v>
      </c>
      <c r="G110" s="1">
        <f t="shared" si="42"/>
        <v>1947.5000000000005</v>
      </c>
      <c r="H110" s="1">
        <f t="shared" si="42"/>
        <v>1947.5000000000005</v>
      </c>
      <c r="I110" s="1">
        <f t="shared" si="42"/>
        <v>0</v>
      </c>
      <c r="J110" s="1">
        <f t="shared" si="42"/>
        <v>0</v>
      </c>
      <c r="K110" s="1">
        <f t="shared" si="42"/>
        <v>0</v>
      </c>
      <c r="L110" s="1">
        <f t="shared" si="42"/>
        <v>0</v>
      </c>
      <c r="M110" s="1">
        <f t="shared" si="42"/>
        <v>0</v>
      </c>
      <c r="N110" s="1">
        <f t="shared" si="42"/>
        <v>0</v>
      </c>
      <c r="O110" s="1">
        <f t="shared" si="42"/>
        <v>0</v>
      </c>
      <c r="P110" s="1">
        <f t="shared" si="42"/>
        <v>0</v>
      </c>
      <c r="Q110" s="1">
        <f t="shared" si="42"/>
        <v>0</v>
      </c>
    </row>
    <row r="111" spans="1:19" x14ac:dyDescent="0.3">
      <c r="A111" s="3" t="s">
        <v>124</v>
      </c>
      <c r="B111" s="1">
        <f>SUM(B10,B80)</f>
        <v>4871.7500000000009</v>
      </c>
      <c r="C111" s="1">
        <f>SUM(C10,C80)</f>
        <v>0</v>
      </c>
      <c r="D111" s="1">
        <f>SUM(D10,D80)</f>
        <v>4871.7500000000009</v>
      </c>
      <c r="E111" s="1">
        <f>SUM(E10,E80)</f>
        <v>33266.067394346857</v>
      </c>
      <c r="F111" s="1">
        <f>SUM(F10,F80)</f>
        <v>100153.06512077493</v>
      </c>
      <c r="G111" s="1">
        <f>SUM(G10,G80)</f>
        <v>177487.33341016783</v>
      </c>
      <c r="H111" s="1">
        <f>SUM(H10,H80)</f>
        <v>34466.966151369423</v>
      </c>
      <c r="I111" s="1">
        <f>SUM(I10,I80)</f>
        <v>4060.588819985368</v>
      </c>
      <c r="J111" s="1">
        <f>SUM(J10,J80)</f>
        <v>16390</v>
      </c>
      <c r="K111" s="1">
        <f>SUM(K10,K80)</f>
        <v>0</v>
      </c>
      <c r="L111" s="1">
        <f>SUM(L10,L80)</f>
        <v>0</v>
      </c>
      <c r="M111" s="1">
        <f>SUM(M10,M80)</f>
        <v>0</v>
      </c>
      <c r="N111" s="1">
        <f>SUM(N10,N80)</f>
        <v>0</v>
      </c>
      <c r="O111" s="1">
        <f>SUM(O10,O80)</f>
        <v>0</v>
      </c>
      <c r="P111" s="1">
        <f>SUM(P10,P80)</f>
        <v>0</v>
      </c>
      <c r="Q111" s="1">
        <f>SUM(Q10,Q80)</f>
        <v>481.47910335558601</v>
      </c>
      <c r="R111" s="1">
        <f>SUM(B111:Q111)</f>
        <v>376049.00000000006</v>
      </c>
      <c r="S111" s="1">
        <f>SUMIFS(RR_Vehicle,RR_Reporting,$A111)</f>
        <v>376049</v>
      </c>
    </row>
    <row r="112" spans="1:19" x14ac:dyDescent="0.3">
      <c r="A112" s="3" t="s">
        <v>12</v>
      </c>
      <c r="B112" s="1">
        <f>SUM(B11,B81)</f>
        <v>0</v>
      </c>
      <c r="C112" s="1">
        <f>SUM(C11,C81)</f>
        <v>0</v>
      </c>
      <c r="D112" s="1">
        <f>SUM(D11,D81)</f>
        <v>77382</v>
      </c>
      <c r="E112" s="1">
        <f>SUM(E11,E81)</f>
        <v>0</v>
      </c>
      <c r="F112" s="1">
        <f>SUM(F11,F81)</f>
        <v>0</v>
      </c>
      <c r="G112" s="1">
        <f>SUM(G11,G81)</f>
        <v>0</v>
      </c>
      <c r="H112" s="1">
        <f>SUM(H11,H81)</f>
        <v>0</v>
      </c>
      <c r="I112" s="1">
        <f>SUM(I11,I81)</f>
        <v>0</v>
      </c>
      <c r="J112" s="1">
        <f>SUM(J11,J81)</f>
        <v>0</v>
      </c>
      <c r="K112" s="1">
        <f>SUM(K11,K81)</f>
        <v>0</v>
      </c>
      <c r="L112" s="1">
        <f>SUM(L11,L81)</f>
        <v>0</v>
      </c>
      <c r="M112" s="1">
        <f>SUM(M11,M81)</f>
        <v>0</v>
      </c>
      <c r="N112" s="1">
        <f>SUM(N11,N81)</f>
        <v>0</v>
      </c>
      <c r="O112" s="1">
        <f>SUM(O11,O81)</f>
        <v>0</v>
      </c>
      <c r="P112" s="1">
        <f>SUM(P11,P81)</f>
        <v>0</v>
      </c>
      <c r="Q112" s="1">
        <f>SUM(Q11,Q81)</f>
        <v>0</v>
      </c>
      <c r="R112" s="1">
        <f>SUM(B112:Q112)</f>
        <v>77382</v>
      </c>
      <c r="S112" s="1">
        <f>SUMIFS(RR_Vehicle,RR_Reporting,$A112)</f>
        <v>77382</v>
      </c>
    </row>
    <row r="113" spans="1:19" x14ac:dyDescent="0.3">
      <c r="A113" s="3" t="s">
        <v>250</v>
      </c>
      <c r="B113" s="1">
        <f>SUM(B12,B82)</f>
        <v>0</v>
      </c>
      <c r="C113" s="1">
        <f>SUM(C12,C82)</f>
        <v>0</v>
      </c>
      <c r="D113" s="1">
        <f>SUM(D12,D82)</f>
        <v>0</v>
      </c>
      <c r="E113" s="1">
        <f>SUM(E12,E82)</f>
        <v>0</v>
      </c>
      <c r="F113" s="1">
        <f>SUM(F12,F82)</f>
        <v>0</v>
      </c>
      <c r="G113" s="1">
        <f>SUM(G12,G82)</f>
        <v>0</v>
      </c>
      <c r="H113" s="1">
        <f>SUM(H12,H82)</f>
        <v>0</v>
      </c>
      <c r="I113" s="1">
        <f>SUM(I12,I82)</f>
        <v>0</v>
      </c>
      <c r="J113" s="1">
        <f>SUM(J12,J82)</f>
        <v>0</v>
      </c>
      <c r="K113" s="1">
        <f>SUM(K12,K82)</f>
        <v>0</v>
      </c>
      <c r="L113" s="1">
        <f>SUM(L12,L82)</f>
        <v>0</v>
      </c>
      <c r="M113" s="1">
        <f>SUM(M12,M82)</f>
        <v>0</v>
      </c>
      <c r="N113" s="1">
        <f>SUM(N12,N82)</f>
        <v>0</v>
      </c>
      <c r="O113" s="1">
        <f>SUM(O12,O82)</f>
        <v>0</v>
      </c>
      <c r="P113" s="1">
        <f>SUM(P12,P82)</f>
        <v>0</v>
      </c>
      <c r="Q113" s="1">
        <f>SUM(Q12,Q82)</f>
        <v>0</v>
      </c>
      <c r="R113" s="1">
        <f>SUM(B113:Q113)</f>
        <v>0</v>
      </c>
      <c r="S113" s="1">
        <f>SUMIFS(RR_Vehicle,RR_Reporting,$A113)</f>
        <v>0</v>
      </c>
    </row>
    <row r="114" spans="1:19" x14ac:dyDescent="0.3">
      <c r="A114" s="3" t="s">
        <v>251</v>
      </c>
      <c r="B114" s="1">
        <f>SUM(B13,B83)</f>
        <v>0</v>
      </c>
      <c r="C114" s="1">
        <f>SUM(C13,C83)</f>
        <v>0</v>
      </c>
      <c r="D114" s="1">
        <f>SUM(D13,D83)</f>
        <v>0</v>
      </c>
      <c r="E114" s="1">
        <f>SUM(E13,E83)</f>
        <v>0</v>
      </c>
      <c r="F114" s="1">
        <f>SUM(F13,F83)</f>
        <v>0</v>
      </c>
      <c r="G114" s="1">
        <f>SUM(G13,G83)</f>
        <v>0</v>
      </c>
      <c r="H114" s="1">
        <f>SUM(H13,H83)</f>
        <v>0</v>
      </c>
      <c r="I114" s="1">
        <f>SUM(I13,I83)</f>
        <v>0</v>
      </c>
      <c r="J114" s="1">
        <f>SUM(J13,J83)</f>
        <v>0</v>
      </c>
      <c r="K114" s="1">
        <f>SUM(K13,K83)</f>
        <v>0</v>
      </c>
      <c r="L114" s="1">
        <f>SUM(L13,L83)</f>
        <v>0</v>
      </c>
      <c r="M114" s="1">
        <f>SUM(M13,M83)</f>
        <v>0</v>
      </c>
      <c r="N114" s="1">
        <f>SUM(N13,N83)</f>
        <v>0</v>
      </c>
      <c r="O114" s="1">
        <f>SUM(O13,O83)</f>
        <v>0</v>
      </c>
      <c r="P114" s="1">
        <f>SUM(P13,P83)</f>
        <v>0</v>
      </c>
      <c r="Q114" s="1">
        <f>SUM(Q13,Q83)</f>
        <v>0</v>
      </c>
      <c r="R114" s="1">
        <f>SUM(B114:Q114)</f>
        <v>0</v>
      </c>
      <c r="S114" s="1">
        <f>SUMIFS(RR_Vehicle,RR_Reporting,$A114)</f>
        <v>0</v>
      </c>
    </row>
    <row r="115" spans="1:19" x14ac:dyDescent="0.3">
      <c r="A115" s="3" t="s">
        <v>252</v>
      </c>
      <c r="B115" s="1">
        <f>SUM(B14,B84)</f>
        <v>0</v>
      </c>
      <c r="C115" s="1">
        <f>SUM(C14,C84)</f>
        <v>0</v>
      </c>
      <c r="D115" s="1">
        <f>SUM(D14,D84)</f>
        <v>0</v>
      </c>
      <c r="E115" s="1">
        <f>SUM(E14,E84)</f>
        <v>0</v>
      </c>
      <c r="F115" s="1">
        <f>SUM(F14,F84)</f>
        <v>0</v>
      </c>
      <c r="G115" s="1">
        <f>SUM(G14,G84)</f>
        <v>0</v>
      </c>
      <c r="H115" s="1">
        <f>SUM(H14,H84)</f>
        <v>0</v>
      </c>
      <c r="I115" s="1">
        <f>SUM(I14,I84)</f>
        <v>0</v>
      </c>
      <c r="J115" s="1">
        <f>SUM(J14,J84)</f>
        <v>0</v>
      </c>
      <c r="K115" s="1">
        <f>SUM(K14,K84)</f>
        <v>0</v>
      </c>
      <c r="L115" s="1">
        <f>SUM(L14,L84)</f>
        <v>0</v>
      </c>
      <c r="M115" s="1">
        <f>SUM(M14,M84)</f>
        <v>0</v>
      </c>
      <c r="N115" s="1">
        <f>SUM(N14,N84)</f>
        <v>0</v>
      </c>
      <c r="O115" s="1">
        <f>SUM(O14,O84)</f>
        <v>0</v>
      </c>
      <c r="P115" s="1">
        <f>SUM(P14,P84)</f>
        <v>0</v>
      </c>
      <c r="Q115" s="1">
        <f>SUM(Q14,Q84)</f>
        <v>0</v>
      </c>
      <c r="R115" s="1">
        <f>SUM(B115:Q115)</f>
        <v>0</v>
      </c>
      <c r="S115" s="1">
        <f>SUMIFS(RR_Vehicle,RR_Reporting,$A115)</f>
        <v>0</v>
      </c>
    </row>
    <row r="116" spans="1:19" x14ac:dyDescent="0.3">
      <c r="A116" s="3" t="s">
        <v>253</v>
      </c>
      <c r="B116" s="1">
        <f t="shared" ref="B116:Q116" si="43">SUBTOTAL(9,B107:B115)</f>
        <v>33751.25</v>
      </c>
      <c r="C116" s="1">
        <f t="shared" si="43"/>
        <v>3895.0000000000009</v>
      </c>
      <c r="D116" s="1">
        <f t="shared" si="43"/>
        <v>90359.25</v>
      </c>
      <c r="E116" s="1">
        <f t="shared" si="43"/>
        <v>39108.567394346857</v>
      </c>
      <c r="F116" s="1">
        <f t="shared" si="43"/>
        <v>102100.56512077493</v>
      </c>
      <c r="G116" s="1">
        <f t="shared" si="43"/>
        <v>179434.83341016783</v>
      </c>
      <c r="H116" s="1">
        <f t="shared" si="43"/>
        <v>36414.466151369423</v>
      </c>
      <c r="I116" s="1">
        <f t="shared" si="43"/>
        <v>4060.588819985368</v>
      </c>
      <c r="J116" s="1">
        <f t="shared" si="43"/>
        <v>16390</v>
      </c>
      <c r="K116" s="1">
        <f t="shared" si="43"/>
        <v>0</v>
      </c>
      <c r="L116" s="1">
        <f t="shared" si="43"/>
        <v>0</v>
      </c>
      <c r="M116" s="1">
        <f t="shared" si="43"/>
        <v>0</v>
      </c>
      <c r="N116" s="1">
        <f t="shared" si="43"/>
        <v>0</v>
      </c>
      <c r="O116" s="1">
        <f t="shared" si="43"/>
        <v>0</v>
      </c>
      <c r="P116" s="1">
        <f t="shared" si="43"/>
        <v>0</v>
      </c>
      <c r="Q116" s="1">
        <f t="shared" si="43"/>
        <v>481.47910335558601</v>
      </c>
    </row>
    <row r="117" spans="1:19" x14ac:dyDescent="0.3">
      <c r="A117" s="2" t="s">
        <v>138</v>
      </c>
    </row>
    <row r="118" spans="1:19" x14ac:dyDescent="0.3">
      <c r="A118" s="3" t="s">
        <v>479</v>
      </c>
      <c r="B118" s="1">
        <f t="shared" ref="B118:Q118" si="44">SUM(B17,B87)</f>
        <v>0</v>
      </c>
      <c r="C118" s="1">
        <f t="shared" si="44"/>
        <v>0</v>
      </c>
      <c r="D118" s="1">
        <f t="shared" si="44"/>
        <v>0</v>
      </c>
      <c r="E118" s="1">
        <f t="shared" si="44"/>
        <v>0</v>
      </c>
      <c r="F118" s="1">
        <f t="shared" si="44"/>
        <v>0</v>
      </c>
      <c r="G118" s="1">
        <f t="shared" si="44"/>
        <v>0</v>
      </c>
      <c r="H118" s="1">
        <f t="shared" si="44"/>
        <v>0</v>
      </c>
      <c r="I118" s="1">
        <f t="shared" si="44"/>
        <v>0</v>
      </c>
      <c r="J118" s="1">
        <f t="shared" si="44"/>
        <v>0</v>
      </c>
      <c r="K118" s="1">
        <f t="shared" si="44"/>
        <v>0</v>
      </c>
      <c r="L118" s="1">
        <f t="shared" si="44"/>
        <v>0</v>
      </c>
      <c r="M118" s="1">
        <f t="shared" si="44"/>
        <v>0</v>
      </c>
      <c r="N118" s="1">
        <f t="shared" si="44"/>
        <v>0</v>
      </c>
      <c r="O118" s="1">
        <f t="shared" si="44"/>
        <v>0</v>
      </c>
      <c r="P118" s="1">
        <f t="shared" si="44"/>
        <v>0</v>
      </c>
      <c r="Q118" s="1">
        <f t="shared" si="44"/>
        <v>0</v>
      </c>
      <c r="R118" s="1">
        <f>SUM(B118:Q118)</f>
        <v>0</v>
      </c>
      <c r="S118" s="1">
        <f>SUMIFS(RR_Vehicle,RR_Reporting,$A118)</f>
        <v>0</v>
      </c>
    </row>
    <row r="119" spans="1:19" x14ac:dyDescent="0.3">
      <c r="A119" s="3" t="s">
        <v>480</v>
      </c>
      <c r="B119" s="1">
        <f t="shared" ref="B119:Q119" si="45">SUM(B18,B88)</f>
        <v>0</v>
      </c>
      <c r="C119" s="1">
        <f t="shared" si="45"/>
        <v>0</v>
      </c>
      <c r="D119" s="1">
        <f t="shared" si="45"/>
        <v>0</v>
      </c>
      <c r="E119" s="1">
        <f t="shared" si="45"/>
        <v>0</v>
      </c>
      <c r="F119" s="1">
        <f t="shared" si="45"/>
        <v>0</v>
      </c>
      <c r="G119" s="1">
        <f t="shared" si="45"/>
        <v>0</v>
      </c>
      <c r="H119" s="1">
        <f t="shared" si="45"/>
        <v>0</v>
      </c>
      <c r="I119" s="1">
        <f t="shared" si="45"/>
        <v>0</v>
      </c>
      <c r="J119" s="1">
        <f t="shared" si="45"/>
        <v>0</v>
      </c>
      <c r="K119" s="1">
        <f t="shared" si="45"/>
        <v>0</v>
      </c>
      <c r="L119" s="1">
        <f t="shared" si="45"/>
        <v>0</v>
      </c>
      <c r="M119" s="1">
        <f t="shared" si="45"/>
        <v>0</v>
      </c>
      <c r="N119" s="1">
        <f t="shared" si="45"/>
        <v>0</v>
      </c>
      <c r="O119" s="1">
        <f t="shared" si="45"/>
        <v>0</v>
      </c>
      <c r="P119" s="1">
        <f t="shared" si="45"/>
        <v>0</v>
      </c>
      <c r="Q119" s="1">
        <f t="shared" si="45"/>
        <v>0</v>
      </c>
      <c r="R119" s="1">
        <f>SUM(B119:Q119)</f>
        <v>0</v>
      </c>
      <c r="S119" s="1">
        <f>SUMIFS(RR_Vehicle,RR_Reporting,$A119)</f>
        <v>0</v>
      </c>
    </row>
    <row r="120" spans="1:19" x14ac:dyDescent="0.3">
      <c r="A120" s="3" t="s">
        <v>254</v>
      </c>
      <c r="B120" s="1">
        <f t="shared" ref="B120:R120" si="46">SUBTOTAL(9,B117:B119)</f>
        <v>0</v>
      </c>
      <c r="C120" s="1">
        <f t="shared" si="46"/>
        <v>0</v>
      </c>
      <c r="D120" s="1">
        <f t="shared" si="46"/>
        <v>0</v>
      </c>
      <c r="E120" s="1">
        <f t="shared" si="46"/>
        <v>0</v>
      </c>
      <c r="F120" s="1">
        <f t="shared" si="46"/>
        <v>0</v>
      </c>
      <c r="G120" s="1">
        <f t="shared" si="46"/>
        <v>0</v>
      </c>
      <c r="H120" s="1">
        <f t="shared" si="46"/>
        <v>0</v>
      </c>
      <c r="I120" s="1">
        <f t="shared" si="46"/>
        <v>0</v>
      </c>
      <c r="J120" s="1">
        <f t="shared" si="46"/>
        <v>0</v>
      </c>
      <c r="K120" s="1">
        <f t="shared" si="46"/>
        <v>0</v>
      </c>
      <c r="L120" s="1">
        <f t="shared" si="46"/>
        <v>0</v>
      </c>
      <c r="M120" s="1">
        <f t="shared" si="46"/>
        <v>0</v>
      </c>
      <c r="N120" s="1">
        <f t="shared" si="46"/>
        <v>0</v>
      </c>
      <c r="O120" s="1">
        <f t="shared" si="46"/>
        <v>0</v>
      </c>
      <c r="P120" s="1">
        <f t="shared" si="46"/>
        <v>0</v>
      </c>
      <c r="Q120" s="1">
        <f t="shared" si="46"/>
        <v>0</v>
      </c>
      <c r="R120" s="1">
        <f t="shared" si="46"/>
        <v>0</v>
      </c>
      <c r="S120" s="1">
        <f>SUMIFS(RR_Vehicle,RR_Reporting,$A120)</f>
        <v>0</v>
      </c>
    </row>
    <row r="121" spans="1:19" x14ac:dyDescent="0.3">
      <c r="A121" s="1" t="s">
        <v>263</v>
      </c>
      <c r="B121" s="1">
        <f t="shared" ref="B121:R121" si="47">SUBTOTAL(9,B107:B120)</f>
        <v>33751.25</v>
      </c>
      <c r="C121" s="1">
        <f t="shared" si="47"/>
        <v>3895.0000000000009</v>
      </c>
      <c r="D121" s="1">
        <f t="shared" si="47"/>
        <v>90359.25</v>
      </c>
      <c r="E121" s="1">
        <f t="shared" si="47"/>
        <v>39108.567394346857</v>
      </c>
      <c r="F121" s="1">
        <f t="shared" si="47"/>
        <v>102100.56512077493</v>
      </c>
      <c r="G121" s="1">
        <f t="shared" si="47"/>
        <v>179434.83341016783</v>
      </c>
      <c r="H121" s="1">
        <f t="shared" si="47"/>
        <v>36414.466151369423</v>
      </c>
      <c r="I121" s="1">
        <f t="shared" si="47"/>
        <v>4060.588819985368</v>
      </c>
      <c r="J121" s="1">
        <f t="shared" si="47"/>
        <v>16390</v>
      </c>
      <c r="K121" s="1">
        <f t="shared" si="47"/>
        <v>0</v>
      </c>
      <c r="L121" s="1">
        <f t="shared" si="47"/>
        <v>0</v>
      </c>
      <c r="M121" s="1">
        <f t="shared" si="47"/>
        <v>0</v>
      </c>
      <c r="N121" s="1">
        <f t="shared" si="47"/>
        <v>0</v>
      </c>
      <c r="O121" s="1">
        <f t="shared" si="47"/>
        <v>0</v>
      </c>
      <c r="P121" s="1">
        <f t="shared" si="47"/>
        <v>0</v>
      </c>
      <c r="Q121" s="1">
        <f t="shared" si="47"/>
        <v>481.47910335558601</v>
      </c>
      <c r="R121" s="1">
        <f t="shared" si="47"/>
        <v>505996.00000000006</v>
      </c>
    </row>
    <row r="122" spans="1:19" x14ac:dyDescent="0.3">
      <c r="A122" s="1" t="s">
        <v>246</v>
      </c>
    </row>
    <row r="123" spans="1:19" x14ac:dyDescent="0.3">
      <c r="A123" s="3" t="s">
        <v>255</v>
      </c>
      <c r="B123" s="1">
        <f t="shared" ref="B123:Q123" si="48">SUM(B22,B92)</f>
        <v>0</v>
      </c>
      <c r="C123" s="1">
        <f t="shared" si="48"/>
        <v>0</v>
      </c>
      <c r="D123" s="1">
        <f t="shared" si="48"/>
        <v>0</v>
      </c>
      <c r="E123" s="1">
        <f t="shared" si="48"/>
        <v>0</v>
      </c>
      <c r="F123" s="1">
        <f t="shared" si="48"/>
        <v>0</v>
      </c>
      <c r="G123" s="1">
        <f t="shared" si="48"/>
        <v>0</v>
      </c>
      <c r="H123" s="1">
        <f t="shared" si="48"/>
        <v>0</v>
      </c>
      <c r="I123" s="1">
        <f t="shared" si="48"/>
        <v>0</v>
      </c>
      <c r="J123" s="1">
        <f t="shared" si="48"/>
        <v>0</v>
      </c>
      <c r="K123" s="1">
        <f t="shared" si="48"/>
        <v>0</v>
      </c>
      <c r="L123" s="1">
        <f t="shared" si="48"/>
        <v>0</v>
      </c>
      <c r="M123" s="1">
        <f t="shared" si="48"/>
        <v>0</v>
      </c>
      <c r="N123" s="1">
        <f t="shared" si="48"/>
        <v>0</v>
      </c>
      <c r="O123" s="1">
        <f t="shared" si="48"/>
        <v>0</v>
      </c>
      <c r="P123" s="1">
        <f t="shared" si="48"/>
        <v>0</v>
      </c>
      <c r="Q123" s="1">
        <f t="shared" si="48"/>
        <v>0</v>
      </c>
      <c r="R123" s="1">
        <f>SUM(B123:Q123)</f>
        <v>0</v>
      </c>
      <c r="S123" s="1">
        <f t="shared" ref="S123:S130" si="49">SUMIFS(RR_Vehicle,RR_Reporting,$A123)</f>
        <v>0</v>
      </c>
    </row>
    <row r="124" spans="1:19" x14ac:dyDescent="0.3">
      <c r="A124" s="3" t="s">
        <v>256</v>
      </c>
      <c r="B124" s="1">
        <f t="shared" ref="B124:Q124" si="50">SUM(B23,B93)</f>
        <v>0</v>
      </c>
      <c r="C124" s="1">
        <f t="shared" si="50"/>
        <v>0</v>
      </c>
      <c r="D124" s="1">
        <f t="shared" si="50"/>
        <v>0</v>
      </c>
      <c r="E124" s="1">
        <f t="shared" si="50"/>
        <v>0</v>
      </c>
      <c r="F124" s="1">
        <f t="shared" si="50"/>
        <v>0</v>
      </c>
      <c r="G124" s="1">
        <f t="shared" si="50"/>
        <v>0</v>
      </c>
      <c r="H124" s="1">
        <f t="shared" si="50"/>
        <v>0</v>
      </c>
      <c r="I124" s="1">
        <f t="shared" si="50"/>
        <v>0</v>
      </c>
      <c r="J124" s="1">
        <f t="shared" si="50"/>
        <v>0</v>
      </c>
      <c r="K124" s="1">
        <f t="shared" si="50"/>
        <v>0</v>
      </c>
      <c r="L124" s="1">
        <f t="shared" si="50"/>
        <v>0</v>
      </c>
      <c r="M124" s="1">
        <f t="shared" si="50"/>
        <v>0</v>
      </c>
      <c r="N124" s="1">
        <f t="shared" si="50"/>
        <v>0</v>
      </c>
      <c r="O124" s="1">
        <f t="shared" si="50"/>
        <v>0</v>
      </c>
      <c r="P124" s="1">
        <f t="shared" si="50"/>
        <v>0</v>
      </c>
      <c r="Q124" s="1">
        <f t="shared" si="50"/>
        <v>0</v>
      </c>
      <c r="R124" s="1">
        <f>SUM(B124:Q124)</f>
        <v>0</v>
      </c>
      <c r="S124" s="1">
        <f t="shared" si="49"/>
        <v>0</v>
      </c>
    </row>
    <row r="125" spans="1:19" x14ac:dyDescent="0.3">
      <c r="A125" s="3" t="s">
        <v>257</v>
      </c>
      <c r="B125" s="1">
        <f t="shared" ref="B125:Q125" si="51">SUM(B24,B94)</f>
        <v>0</v>
      </c>
      <c r="C125" s="1">
        <f t="shared" si="51"/>
        <v>0</v>
      </c>
      <c r="D125" s="1">
        <f t="shared" si="51"/>
        <v>0</v>
      </c>
      <c r="E125" s="1">
        <f t="shared" si="51"/>
        <v>0</v>
      </c>
      <c r="F125" s="1">
        <f t="shared" si="51"/>
        <v>0</v>
      </c>
      <c r="G125" s="1">
        <f t="shared" si="51"/>
        <v>0</v>
      </c>
      <c r="H125" s="1">
        <f t="shared" si="51"/>
        <v>0</v>
      </c>
      <c r="I125" s="1">
        <f t="shared" si="51"/>
        <v>0</v>
      </c>
      <c r="J125" s="1">
        <f t="shared" si="51"/>
        <v>0</v>
      </c>
      <c r="K125" s="1">
        <f t="shared" si="51"/>
        <v>0</v>
      </c>
      <c r="L125" s="1">
        <f t="shared" si="51"/>
        <v>0</v>
      </c>
      <c r="M125" s="1">
        <f t="shared" si="51"/>
        <v>0</v>
      </c>
      <c r="N125" s="1">
        <f t="shared" si="51"/>
        <v>0</v>
      </c>
      <c r="O125" s="1">
        <f t="shared" si="51"/>
        <v>0</v>
      </c>
      <c r="P125" s="1">
        <f t="shared" si="51"/>
        <v>0</v>
      </c>
      <c r="Q125" s="1">
        <f t="shared" si="51"/>
        <v>0</v>
      </c>
      <c r="R125" s="1">
        <f>SUM(B125:Q125)</f>
        <v>0</v>
      </c>
      <c r="S125" s="1">
        <f t="shared" si="49"/>
        <v>0</v>
      </c>
    </row>
    <row r="126" spans="1:19" x14ac:dyDescent="0.3">
      <c r="A126" s="3" t="s">
        <v>258</v>
      </c>
      <c r="B126" s="1">
        <f t="shared" ref="B126:Q126" si="52">SUM(B25,B95)</f>
        <v>0</v>
      </c>
      <c r="C126" s="1">
        <f t="shared" si="52"/>
        <v>0</v>
      </c>
      <c r="D126" s="1">
        <f t="shared" si="52"/>
        <v>0</v>
      </c>
      <c r="E126" s="1">
        <f t="shared" si="52"/>
        <v>0</v>
      </c>
      <c r="F126" s="1">
        <f t="shared" si="52"/>
        <v>0</v>
      </c>
      <c r="G126" s="1">
        <f t="shared" si="52"/>
        <v>0</v>
      </c>
      <c r="H126" s="1">
        <f t="shared" si="52"/>
        <v>0</v>
      </c>
      <c r="I126" s="1">
        <f t="shared" si="52"/>
        <v>0</v>
      </c>
      <c r="J126" s="1">
        <f t="shared" si="52"/>
        <v>0</v>
      </c>
      <c r="K126" s="1">
        <f t="shared" si="52"/>
        <v>0</v>
      </c>
      <c r="L126" s="1">
        <f t="shared" si="52"/>
        <v>0</v>
      </c>
      <c r="M126" s="1">
        <f t="shared" si="52"/>
        <v>0</v>
      </c>
      <c r="N126" s="1">
        <f t="shared" si="52"/>
        <v>0</v>
      </c>
      <c r="O126" s="1">
        <f t="shared" si="52"/>
        <v>0</v>
      </c>
      <c r="P126" s="1">
        <f t="shared" si="52"/>
        <v>0</v>
      </c>
      <c r="Q126" s="1">
        <f t="shared" si="52"/>
        <v>0</v>
      </c>
      <c r="R126" s="1">
        <f>SUM(B126:Q126)</f>
        <v>0</v>
      </c>
      <c r="S126" s="1">
        <f t="shared" si="49"/>
        <v>0</v>
      </c>
    </row>
    <row r="127" spans="1:19" x14ac:dyDescent="0.3">
      <c r="A127" s="3" t="s">
        <v>259</v>
      </c>
      <c r="B127" s="1">
        <f t="shared" ref="B127:R127" si="53">SUBTOTAL(9,B122:B126)</f>
        <v>0</v>
      </c>
      <c r="C127" s="1">
        <f t="shared" si="53"/>
        <v>0</v>
      </c>
      <c r="D127" s="1">
        <f t="shared" si="53"/>
        <v>0</v>
      </c>
      <c r="E127" s="1">
        <f t="shared" si="53"/>
        <v>0</v>
      </c>
      <c r="F127" s="1">
        <f t="shared" si="53"/>
        <v>0</v>
      </c>
      <c r="G127" s="1">
        <f t="shared" si="53"/>
        <v>0</v>
      </c>
      <c r="H127" s="1">
        <f t="shared" si="53"/>
        <v>0</v>
      </c>
      <c r="I127" s="1">
        <f t="shared" si="53"/>
        <v>0</v>
      </c>
      <c r="J127" s="1">
        <f t="shared" si="53"/>
        <v>0</v>
      </c>
      <c r="K127" s="1">
        <f t="shared" si="53"/>
        <v>0</v>
      </c>
      <c r="L127" s="1">
        <f t="shared" si="53"/>
        <v>0</v>
      </c>
      <c r="M127" s="1">
        <f t="shared" si="53"/>
        <v>0</v>
      </c>
      <c r="N127" s="1">
        <f t="shared" si="53"/>
        <v>0</v>
      </c>
      <c r="O127" s="1">
        <f t="shared" si="53"/>
        <v>0</v>
      </c>
      <c r="P127" s="1">
        <f t="shared" si="53"/>
        <v>0</v>
      </c>
      <c r="Q127" s="1">
        <f t="shared" si="53"/>
        <v>0</v>
      </c>
      <c r="R127" s="1">
        <f t="shared" si="53"/>
        <v>0</v>
      </c>
      <c r="S127" s="1">
        <f t="shared" si="49"/>
        <v>0</v>
      </c>
    </row>
    <row r="128" spans="1:19" x14ac:dyDescent="0.3">
      <c r="A128" s="1" t="s">
        <v>260</v>
      </c>
      <c r="B128" s="1">
        <f>SUBTOTAL(9,B129:B130)</f>
        <v>0</v>
      </c>
      <c r="C128" s="1">
        <f t="shared" ref="C128:R128" si="54">SUBTOTAL(9,C129:C130)</f>
        <v>0</v>
      </c>
      <c r="D128" s="1">
        <f t="shared" si="54"/>
        <v>0</v>
      </c>
      <c r="E128" s="1">
        <f t="shared" si="54"/>
        <v>0</v>
      </c>
      <c r="F128" s="1">
        <f t="shared" si="54"/>
        <v>0</v>
      </c>
      <c r="G128" s="1">
        <f t="shared" si="54"/>
        <v>0</v>
      </c>
      <c r="H128" s="1">
        <f t="shared" si="54"/>
        <v>0</v>
      </c>
      <c r="I128" s="1">
        <f t="shared" si="54"/>
        <v>0</v>
      </c>
      <c r="J128" s="1">
        <f t="shared" si="54"/>
        <v>0</v>
      </c>
      <c r="K128" s="1">
        <f t="shared" si="54"/>
        <v>0</v>
      </c>
      <c r="L128" s="1">
        <f t="shared" si="54"/>
        <v>0</v>
      </c>
      <c r="M128" s="1">
        <f t="shared" si="54"/>
        <v>0</v>
      </c>
      <c r="N128" s="1">
        <f t="shared" si="54"/>
        <v>0</v>
      </c>
      <c r="O128" s="1">
        <f t="shared" si="54"/>
        <v>0</v>
      </c>
      <c r="P128" s="1">
        <f t="shared" si="54"/>
        <v>0</v>
      </c>
      <c r="Q128" s="1">
        <f t="shared" si="54"/>
        <v>0</v>
      </c>
      <c r="R128" s="1">
        <f t="shared" si="54"/>
        <v>0</v>
      </c>
      <c r="S128" s="1">
        <f t="shared" si="49"/>
        <v>0</v>
      </c>
    </row>
    <row r="129" spans="1:19" x14ac:dyDescent="0.3">
      <c r="A129" s="1" t="s">
        <v>261</v>
      </c>
      <c r="B129" s="1">
        <f t="shared" ref="B129:Q129" si="55">SUM(B28,B98)</f>
        <v>0</v>
      </c>
      <c r="C129" s="1">
        <f t="shared" si="55"/>
        <v>0</v>
      </c>
      <c r="D129" s="1">
        <f t="shared" si="55"/>
        <v>0</v>
      </c>
      <c r="E129" s="1">
        <f t="shared" si="55"/>
        <v>0</v>
      </c>
      <c r="F129" s="1">
        <f t="shared" si="55"/>
        <v>0</v>
      </c>
      <c r="G129" s="1">
        <f t="shared" si="55"/>
        <v>0</v>
      </c>
      <c r="H129" s="1">
        <f t="shared" si="55"/>
        <v>0</v>
      </c>
      <c r="I129" s="1">
        <f t="shared" si="55"/>
        <v>0</v>
      </c>
      <c r="J129" s="1">
        <f t="shared" si="55"/>
        <v>0</v>
      </c>
      <c r="K129" s="1">
        <f t="shared" si="55"/>
        <v>0</v>
      </c>
      <c r="L129" s="1">
        <f t="shared" si="55"/>
        <v>0</v>
      </c>
      <c r="M129" s="1">
        <f t="shared" si="55"/>
        <v>0</v>
      </c>
      <c r="N129" s="1">
        <f t="shared" si="55"/>
        <v>0</v>
      </c>
      <c r="O129" s="1">
        <f t="shared" si="55"/>
        <v>0</v>
      </c>
      <c r="P129" s="1">
        <f t="shared" si="55"/>
        <v>0</v>
      </c>
      <c r="Q129" s="1">
        <f t="shared" si="55"/>
        <v>0</v>
      </c>
      <c r="R129" s="1">
        <f>SUM(B129:Q129)</f>
        <v>0</v>
      </c>
      <c r="S129" s="1">
        <f t="shared" si="49"/>
        <v>0</v>
      </c>
    </row>
    <row r="130" spans="1:19" x14ac:dyDescent="0.3">
      <c r="A130" s="1" t="s">
        <v>606</v>
      </c>
      <c r="B130" s="1">
        <f t="shared" ref="B130:Q130" si="56">SUM(B29,B99)</f>
        <v>0</v>
      </c>
      <c r="C130" s="1">
        <f t="shared" si="56"/>
        <v>0</v>
      </c>
      <c r="D130" s="1">
        <f t="shared" si="56"/>
        <v>0</v>
      </c>
      <c r="E130" s="1">
        <f t="shared" si="56"/>
        <v>0</v>
      </c>
      <c r="F130" s="1">
        <f t="shared" si="56"/>
        <v>0</v>
      </c>
      <c r="G130" s="1">
        <f t="shared" si="56"/>
        <v>0</v>
      </c>
      <c r="H130" s="1">
        <f t="shared" si="56"/>
        <v>0</v>
      </c>
      <c r="I130" s="1">
        <f t="shared" si="56"/>
        <v>0</v>
      </c>
      <c r="J130" s="1">
        <f t="shared" si="56"/>
        <v>0</v>
      </c>
      <c r="K130" s="1">
        <f t="shared" si="56"/>
        <v>0</v>
      </c>
      <c r="L130" s="1">
        <f t="shared" si="56"/>
        <v>0</v>
      </c>
      <c r="M130" s="1">
        <f t="shared" si="56"/>
        <v>0</v>
      </c>
      <c r="N130" s="1">
        <f t="shared" si="56"/>
        <v>0</v>
      </c>
      <c r="O130" s="1">
        <f t="shared" si="56"/>
        <v>0</v>
      </c>
      <c r="P130" s="1">
        <f t="shared" si="56"/>
        <v>0</v>
      </c>
      <c r="Q130" s="1">
        <f t="shared" si="56"/>
        <v>0</v>
      </c>
      <c r="R130" s="1">
        <f>SUM(B130:Q130)</f>
        <v>0</v>
      </c>
      <c r="S130" s="1">
        <f t="shared" si="49"/>
        <v>0</v>
      </c>
    </row>
    <row r="131" spans="1:19" x14ac:dyDescent="0.3">
      <c r="A131" s="1" t="s">
        <v>629</v>
      </c>
      <c r="B131" s="1">
        <f>SUBTOTAL(9,B107:B130)</f>
        <v>33751.25</v>
      </c>
      <c r="C131" s="1">
        <f t="shared" ref="C131:R131" si="57">SUBTOTAL(9,C107:C130)</f>
        <v>3895.0000000000009</v>
      </c>
      <c r="D131" s="1">
        <f t="shared" si="57"/>
        <v>90359.25</v>
      </c>
      <c r="E131" s="1">
        <f t="shared" si="57"/>
        <v>39108.567394346857</v>
      </c>
      <c r="F131" s="1">
        <f t="shared" si="57"/>
        <v>102100.56512077493</v>
      </c>
      <c r="G131" s="1">
        <f t="shared" si="57"/>
        <v>179434.83341016783</v>
      </c>
      <c r="H131" s="1">
        <f t="shared" si="57"/>
        <v>36414.466151369423</v>
      </c>
      <c r="I131" s="1">
        <f t="shared" si="57"/>
        <v>4060.588819985368</v>
      </c>
      <c r="J131" s="1">
        <f t="shared" si="57"/>
        <v>16390</v>
      </c>
      <c r="K131" s="1">
        <f t="shared" si="57"/>
        <v>0</v>
      </c>
      <c r="L131" s="1">
        <f t="shared" si="57"/>
        <v>0</v>
      </c>
      <c r="M131" s="1">
        <f t="shared" si="57"/>
        <v>0</v>
      </c>
      <c r="N131" s="1">
        <f t="shared" si="57"/>
        <v>0</v>
      </c>
      <c r="O131" s="1">
        <f t="shared" si="57"/>
        <v>0</v>
      </c>
      <c r="P131" s="1">
        <f t="shared" si="57"/>
        <v>0</v>
      </c>
      <c r="Q131" s="1">
        <f t="shared" si="57"/>
        <v>481.47910335558601</v>
      </c>
      <c r="R131" s="1">
        <f t="shared" si="57"/>
        <v>505996.00000000006</v>
      </c>
    </row>
    <row r="132" spans="1:19" x14ac:dyDescent="0.3">
      <c r="A132" s="1" t="s">
        <v>632</v>
      </c>
      <c r="B132" s="1">
        <f t="shared" ref="B132:Q132" si="58">SUM(B31,B101)</f>
        <v>0</v>
      </c>
      <c r="C132" s="1">
        <f t="shared" si="58"/>
        <v>0</v>
      </c>
      <c r="D132" s="1">
        <f t="shared" si="58"/>
        <v>0</v>
      </c>
      <c r="E132" s="1">
        <f t="shared" si="58"/>
        <v>0</v>
      </c>
      <c r="F132" s="1">
        <f t="shared" si="58"/>
        <v>0</v>
      </c>
      <c r="G132" s="1">
        <f t="shared" si="58"/>
        <v>0</v>
      </c>
      <c r="H132" s="1">
        <f t="shared" si="58"/>
        <v>0</v>
      </c>
      <c r="I132" s="1">
        <f t="shared" si="58"/>
        <v>0</v>
      </c>
      <c r="J132" s="1">
        <f t="shared" si="58"/>
        <v>0</v>
      </c>
      <c r="K132" s="1">
        <f t="shared" si="58"/>
        <v>0</v>
      </c>
      <c r="L132" s="1">
        <f t="shared" si="58"/>
        <v>0</v>
      </c>
      <c r="M132" s="1">
        <f t="shared" si="58"/>
        <v>0</v>
      </c>
      <c r="N132" s="1">
        <f t="shared" si="58"/>
        <v>0</v>
      </c>
      <c r="O132" s="1">
        <f t="shared" si="58"/>
        <v>0</v>
      </c>
      <c r="P132" s="1">
        <f t="shared" si="58"/>
        <v>0</v>
      </c>
      <c r="Q132" s="1">
        <f t="shared" si="58"/>
        <v>0</v>
      </c>
      <c r="R132" s="1">
        <f>SUM(B132:Q132)</f>
        <v>0</v>
      </c>
      <c r="S132" s="1">
        <f>SUMIFS(RR_Vehicle,RR_Reporting,$A132)</f>
        <v>0</v>
      </c>
    </row>
    <row r="133" spans="1:19" x14ac:dyDescent="0.3">
      <c r="A133" s="1" t="s">
        <v>631</v>
      </c>
      <c r="B133" s="1">
        <f t="shared" ref="B133:Q133" si="59">SUM(B32,B102)</f>
        <v>0</v>
      </c>
      <c r="C133" s="1">
        <f t="shared" si="59"/>
        <v>0</v>
      </c>
      <c r="D133" s="1">
        <f t="shared" si="59"/>
        <v>0</v>
      </c>
      <c r="E133" s="1">
        <f t="shared" si="59"/>
        <v>0</v>
      </c>
      <c r="F133" s="1">
        <f t="shared" si="59"/>
        <v>0</v>
      </c>
      <c r="G133" s="1">
        <f t="shared" si="59"/>
        <v>0</v>
      </c>
      <c r="H133" s="1">
        <f t="shared" si="59"/>
        <v>0</v>
      </c>
      <c r="I133" s="1">
        <f t="shared" si="59"/>
        <v>0</v>
      </c>
      <c r="J133" s="1">
        <f t="shared" si="59"/>
        <v>0</v>
      </c>
      <c r="K133" s="1">
        <f t="shared" si="59"/>
        <v>0</v>
      </c>
      <c r="L133" s="1">
        <f t="shared" si="59"/>
        <v>0</v>
      </c>
      <c r="M133" s="1">
        <f t="shared" si="59"/>
        <v>0</v>
      </c>
      <c r="N133" s="1">
        <f t="shared" si="59"/>
        <v>0</v>
      </c>
      <c r="O133" s="1">
        <f t="shared" si="59"/>
        <v>0</v>
      </c>
      <c r="P133" s="1">
        <f t="shared" si="59"/>
        <v>0</v>
      </c>
      <c r="Q133" s="1">
        <f t="shared" si="59"/>
        <v>0</v>
      </c>
      <c r="R133" s="1">
        <f>SUM(B133:Q133)</f>
        <v>0</v>
      </c>
      <c r="S133" s="1">
        <f>SUMIFS(RR_Vehicle,RR_Reporting,$A133)</f>
        <v>0</v>
      </c>
    </row>
    <row r="134" spans="1:19" x14ac:dyDescent="0.3">
      <c r="A134" s="1" t="s">
        <v>630</v>
      </c>
      <c r="B134" s="1">
        <f t="shared" ref="B134:R134" si="60">SUBTOTAL(9,B107:B133)</f>
        <v>33751.25</v>
      </c>
      <c r="C134" s="1">
        <f t="shared" si="60"/>
        <v>3895.0000000000009</v>
      </c>
      <c r="D134" s="1">
        <f t="shared" si="60"/>
        <v>90359.25</v>
      </c>
      <c r="E134" s="1">
        <f t="shared" si="60"/>
        <v>39108.567394346857</v>
      </c>
      <c r="F134" s="1">
        <f t="shared" si="60"/>
        <v>102100.56512077493</v>
      </c>
      <c r="G134" s="1">
        <f t="shared" si="60"/>
        <v>179434.83341016783</v>
      </c>
      <c r="H134" s="1">
        <f t="shared" si="60"/>
        <v>36414.466151369423</v>
      </c>
      <c r="I134" s="1">
        <f t="shared" si="60"/>
        <v>4060.588819985368</v>
      </c>
      <c r="J134" s="1">
        <f t="shared" si="60"/>
        <v>16390</v>
      </c>
      <c r="K134" s="1">
        <f t="shared" si="60"/>
        <v>0</v>
      </c>
      <c r="L134" s="1">
        <f t="shared" si="60"/>
        <v>0</v>
      </c>
      <c r="M134" s="1">
        <f t="shared" si="60"/>
        <v>0</v>
      </c>
      <c r="N134" s="1">
        <f t="shared" si="60"/>
        <v>0</v>
      </c>
      <c r="O134" s="1">
        <f t="shared" si="60"/>
        <v>0</v>
      </c>
      <c r="P134" s="1">
        <f t="shared" si="60"/>
        <v>0</v>
      </c>
      <c r="Q134" s="1">
        <f t="shared" si="60"/>
        <v>481.47910335558601</v>
      </c>
      <c r="R134" s="1">
        <f t="shared" si="60"/>
        <v>505996.00000000006</v>
      </c>
    </row>
    <row r="136" spans="1:19" x14ac:dyDescent="0.3">
      <c r="A136" s="1" t="s">
        <v>230</v>
      </c>
    </row>
    <row r="137" spans="1:19" x14ac:dyDescent="0.3">
      <c r="A137" s="1" t="s">
        <v>231</v>
      </c>
      <c r="B137" s="1">
        <f>R33</f>
        <v>246215</v>
      </c>
    </row>
    <row r="138" spans="1:19" x14ac:dyDescent="0.3">
      <c r="A138" s="1" t="s">
        <v>225</v>
      </c>
      <c r="B138" s="1">
        <f>R64</f>
        <v>259781</v>
      </c>
      <c r="C138" s="1" t="b">
        <f>ROUND(SUM(B137:B138),0)=ROUND(B140,0)</f>
        <v>1</v>
      </c>
    </row>
    <row r="139" spans="1:19" x14ac:dyDescent="0.3">
      <c r="A139" s="1" t="s">
        <v>232</v>
      </c>
      <c r="B139" s="1">
        <f>R103</f>
        <v>259780.99999999997</v>
      </c>
      <c r="C139" s="1" t="b">
        <f>ROUND(B138,0)=ROUND(B139,0)</f>
        <v>1</v>
      </c>
    </row>
    <row r="140" spans="1:19" x14ac:dyDescent="0.3">
      <c r="A140" s="1" t="s">
        <v>233</v>
      </c>
      <c r="B140" s="1">
        <f>SUM(RR_Vehicle)</f>
        <v>505996</v>
      </c>
    </row>
    <row r="141" spans="1:19" x14ac:dyDescent="0.3">
      <c r="A141" s="1" t="s">
        <v>234</v>
      </c>
      <c r="B141" s="1">
        <f>SUM(B134:Q134)</f>
        <v>505996.00000000012</v>
      </c>
      <c r="C141" s="1" t="b">
        <f>ROUND(B140,0)=ROUND(B141,0)</f>
        <v>1</v>
      </c>
    </row>
  </sheetData>
  <printOptions horizontalCentered="1" gridLines="1"/>
  <pageMargins left="0.19685039370078741" right="0.19685039370078741" top="0.98425196850393704" bottom="0.59055118110236227" header="0.19685039370078741" footer="0.19685039370078741"/>
  <pageSetup scale="60"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34" max="17" man="1"/>
    <brk id="73" max="17" man="1"/>
    <brk id="104"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S290"/>
  <sheetViews>
    <sheetView view="pageBreakPreview" topLeftCell="A227" zoomScale="40" zoomScaleNormal="100" zoomScaleSheetLayoutView="40" workbookViewId="0">
      <selection activeCell="E21" sqref="E21"/>
    </sheetView>
  </sheetViews>
  <sheetFormatPr defaultColWidth="8.7109375" defaultRowHeight="13.5" x14ac:dyDescent="0.3"/>
  <cols>
    <col min="1" max="1" width="25.7109375" style="1" customWidth="1"/>
    <col min="2" max="2" width="9.7109375" style="1" customWidth="1"/>
    <col min="3" max="18" width="7.7109375" style="1" customWidth="1"/>
    <col min="19" max="16384" width="8.7109375" style="1"/>
  </cols>
  <sheetData>
    <row r="1" spans="1:18" x14ac:dyDescent="0.3">
      <c r="A1" s="1" t="s">
        <v>613</v>
      </c>
    </row>
    <row r="2" spans="1:18" x14ac:dyDescent="0.3">
      <c r="A2" s="1" t="s">
        <v>243</v>
      </c>
    </row>
    <row r="4" spans="1:18" s="5" customFormat="1" x14ac:dyDescent="0.3">
      <c r="A4" s="5" t="s">
        <v>224</v>
      </c>
    </row>
    <row r="5" spans="1:18" s="9" customFormat="1" ht="54" x14ac:dyDescent="0.25">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x14ac:dyDescent="0.3">
      <c r="A6" s="1" t="s">
        <v>129</v>
      </c>
    </row>
    <row r="7" spans="1:18" x14ac:dyDescent="0.3">
      <c r="A7" s="3" t="s">
        <v>172</v>
      </c>
      <c r="B7" s="1">
        <f>SUMIFS('6.1'!$L$6:$L$74,Assets_PresHeader,$A7,Assets_BasisFunc,B$5)</f>
        <v>32211917</v>
      </c>
      <c r="C7" s="1">
        <f>SUMIFS('6.1'!$L$6:$L$74,Assets_PresHeader,$A7,Assets_BasisFunc,C$5)</f>
        <v>0</v>
      </c>
      <c r="D7" s="1">
        <f>SUMIFS('6.1'!$L$6:$L$74,Assets_PresHeader,$A7,Assets_BasisFunc,D$5)</f>
        <v>0</v>
      </c>
      <c r="E7" s="1">
        <f>SUMIFS('6.1'!$L$6:$L$74,Assets_PresHeader,$A7,Assets_BasisFunc,E$5)</f>
        <v>0</v>
      </c>
      <c r="F7" s="1">
        <f>SUMIFS('6.1'!$L$6:$L$74,Assets_PresHeader,$A7,Assets_BasisFunc,F$5)</f>
        <v>0</v>
      </c>
      <c r="G7" s="1">
        <f>SUMIFS('6.1'!$L$6:$L$74,Assets_PresHeader,$A7,Assets_BasisFunc,G$5)</f>
        <v>0</v>
      </c>
      <c r="H7" s="1">
        <f>SUMIFS('6.1'!$L$6:$L$74,Assets_PresHeader,$A7,Assets_BasisFunc,H$5)</f>
        <v>0</v>
      </c>
      <c r="I7" s="1">
        <f>SUMIFS('6.1'!$L$6:$L$74,Assets_PresHeader,$A7,Assets_BasisFunc,I$5)</f>
        <v>0</v>
      </c>
      <c r="J7" s="1">
        <f>SUMIFS('6.1'!$L$6:$L$74,Assets_PresHeader,$A7,Assets_BasisFunc,J$5)</f>
        <v>0</v>
      </c>
      <c r="K7" s="1">
        <f>SUMIFS('6.1'!$L$6:$L$74,Assets_PresHeader,$A7,Assets_BasisFunc,K$5)</f>
        <v>0</v>
      </c>
      <c r="L7" s="1">
        <f>SUMIFS('6.1'!$L$6:$L$74,Assets_PresHeader,$A7,Assets_BasisFunc,L$5)</f>
        <v>0</v>
      </c>
      <c r="M7" s="1">
        <f>SUMIFS('6.1'!$L$6:$L$74,Assets_PresHeader,$A7,Assets_BasisFunc,M$5)</f>
        <v>0</v>
      </c>
      <c r="N7" s="1">
        <f>SUMIFS('6.1'!$L$6:$L$74,Assets_PresHeader,$A7,Assets_BasisFunc,N$5)</f>
        <v>0</v>
      </c>
      <c r="O7" s="1">
        <f>SUMIFS('6.1'!$L$6:$L$74,Assets_PresHeader,$A7,Assets_BasisFunc,O$5)</f>
        <v>0</v>
      </c>
      <c r="P7" s="1">
        <f>SUMIFS('6.1'!$L$6:$L$74,Assets_PresHeader,$A7,Assets_BasisFunc,P$5)</f>
        <v>0</v>
      </c>
      <c r="Q7" s="1">
        <f>SUMIFS('6.1'!$L$6:$L$74,Assets_PresHeader,$A7,Assets_BasisFunc,Q$5)</f>
        <v>0</v>
      </c>
      <c r="R7" s="1">
        <f>SUM(B7:Q7)</f>
        <v>32211917</v>
      </c>
    </row>
    <row r="8" spans="1:18" x14ac:dyDescent="0.3">
      <c r="A8" s="3" t="s">
        <v>173</v>
      </c>
    </row>
    <row r="9" spans="1:18" x14ac:dyDescent="0.3">
      <c r="A9" s="4" t="s">
        <v>13</v>
      </c>
      <c r="B9" s="1">
        <f>SUMIFS('6.1'!$L$6:$L$74,Assets_PresHeader,$A9,Assets_BasisFunc,B$5)</f>
        <v>0</v>
      </c>
      <c r="C9" s="1">
        <f>SUMIFS('6.1'!$L$6:$L$74,Assets_PresHeader,$A9,Assets_BasisFunc,C$5)</f>
        <v>0</v>
      </c>
      <c r="D9" s="1">
        <f>SUMIFS('6.1'!$L$6:$L$74,Assets_PresHeader,$A9,Assets_BasisFunc,D$5)</f>
        <v>985026.5</v>
      </c>
      <c r="E9" s="1">
        <f>SUMIFS('6.1'!$L$6:$L$74,Assets_PresHeader,$A9,Assets_BasisFunc,E$5)</f>
        <v>4278428.5</v>
      </c>
      <c r="F9" s="1">
        <f>SUMIFS('6.1'!$L$6:$L$74,Assets_PresHeader,$A9,Assets_BasisFunc,F$5)</f>
        <v>0</v>
      </c>
      <c r="G9" s="1">
        <f>SUMIFS('6.1'!$L$6:$L$74,Assets_PresHeader,$A9,Assets_BasisFunc,G$5)</f>
        <v>0</v>
      </c>
      <c r="H9" s="1">
        <f>SUMIFS('6.1'!$L$6:$L$74,Assets_PresHeader,$A9,Assets_BasisFunc,H$5)</f>
        <v>0</v>
      </c>
      <c r="I9" s="1">
        <f>SUMIFS('6.1'!$L$6:$L$74,Assets_PresHeader,$A9,Assets_BasisFunc,I$5)</f>
        <v>0</v>
      </c>
      <c r="J9" s="1">
        <f>SUMIFS('6.1'!$L$6:$L$74,Assets_PresHeader,$A9,Assets_BasisFunc,J$5)</f>
        <v>0</v>
      </c>
      <c r="K9" s="1">
        <f>SUMIFS('6.1'!$L$6:$L$74,Assets_PresHeader,$A9,Assets_BasisFunc,K$5)</f>
        <v>0</v>
      </c>
      <c r="L9" s="1">
        <f>SUMIFS('6.1'!$L$6:$L$74,Assets_PresHeader,$A9,Assets_BasisFunc,L$5)</f>
        <v>0</v>
      </c>
      <c r="M9" s="1">
        <f>SUMIFS('6.1'!$L$6:$L$74,Assets_PresHeader,$A9,Assets_BasisFunc,M$5)</f>
        <v>0</v>
      </c>
      <c r="N9" s="1">
        <f>SUMIFS('6.1'!$L$6:$L$74,Assets_PresHeader,$A9,Assets_BasisFunc,N$5)</f>
        <v>0</v>
      </c>
      <c r="O9" s="1">
        <f>SUMIFS('6.1'!$L$6:$L$74,Assets_PresHeader,$A9,Assets_BasisFunc,O$5)</f>
        <v>0</v>
      </c>
      <c r="P9" s="1">
        <f>SUMIFS('6.1'!$L$6:$L$74,Assets_PresHeader,$A9,Assets_BasisFunc,P$5)</f>
        <v>0</v>
      </c>
      <c r="Q9" s="1">
        <f>SUMIFS('6.1'!$L$6:$L$74,Assets_PresHeader,$A9,Assets_BasisFunc,Q$5)</f>
        <v>0</v>
      </c>
      <c r="R9" s="1">
        <f>SUM(B9:Q9)</f>
        <v>5263455</v>
      </c>
    </row>
    <row r="10" spans="1:18" x14ac:dyDescent="0.3">
      <c r="A10" s="4" t="s">
        <v>140</v>
      </c>
      <c r="B10" s="1">
        <f>SUMIFS('6.1'!$L$6:$L$74,Assets_PresHeader,$A10,Assets_BasisFunc,B$5)</f>
        <v>0</v>
      </c>
      <c r="C10" s="1">
        <f>SUMIFS('6.1'!$L$6:$L$74,Assets_PresHeader,$A10,Assets_BasisFunc,C$5)</f>
        <v>0</v>
      </c>
      <c r="D10" s="1">
        <f>SUMIFS('6.1'!$L$6:$L$74,Assets_PresHeader,$A10,Assets_BasisFunc,D$5)</f>
        <v>58404771</v>
      </c>
      <c r="E10" s="1">
        <f>SUMIFS('6.1'!$L$6:$L$74,Assets_PresHeader,$A10,Assets_BasisFunc,E$5)</f>
        <v>0</v>
      </c>
      <c r="F10" s="1">
        <f>SUMIFS('6.1'!$L$6:$L$74,Assets_PresHeader,$A10,Assets_BasisFunc,F$5)</f>
        <v>0</v>
      </c>
      <c r="G10" s="1">
        <f>SUMIFS('6.1'!$L$6:$L$74,Assets_PresHeader,$A10,Assets_BasisFunc,G$5)</f>
        <v>75710095.5</v>
      </c>
      <c r="H10" s="1">
        <f>SUMIFS('6.1'!$L$6:$L$74,Assets_PresHeader,$A10,Assets_BasisFunc,H$5)</f>
        <v>0</v>
      </c>
      <c r="I10" s="1">
        <f>SUMIFS('6.1'!$L$6:$L$74,Assets_PresHeader,$A10,Assets_BasisFunc,I$5)</f>
        <v>44322477.5</v>
      </c>
      <c r="J10" s="1">
        <f>SUMIFS('6.1'!$L$6:$L$74,Assets_PresHeader,$A10,Assets_BasisFunc,J$5)</f>
        <v>0</v>
      </c>
      <c r="K10" s="1">
        <f>SUMIFS('6.1'!$L$6:$L$74,Assets_PresHeader,$A10,Assets_BasisFunc,K$5)</f>
        <v>0</v>
      </c>
      <c r="L10" s="1">
        <f>SUMIFS('6.1'!$L$6:$L$74,Assets_PresHeader,$A10,Assets_BasisFunc,L$5)</f>
        <v>0</v>
      </c>
      <c r="M10" s="1">
        <f>SUMIFS('6.1'!$L$6:$L$74,Assets_PresHeader,$A10,Assets_BasisFunc,M$5)</f>
        <v>0</v>
      </c>
      <c r="N10" s="1">
        <f>SUMIFS('6.1'!$L$6:$L$74,Assets_PresHeader,$A10,Assets_BasisFunc,N$5)</f>
        <v>0</v>
      </c>
      <c r="O10" s="1">
        <f>SUMIFS('6.1'!$L$6:$L$74,Assets_PresHeader,$A10,Assets_BasisFunc,O$5)</f>
        <v>0</v>
      </c>
      <c r="P10" s="1">
        <f>SUMIFS('6.1'!$L$6:$L$74,Assets_PresHeader,$A10,Assets_BasisFunc,P$5)</f>
        <v>0</v>
      </c>
      <c r="Q10" s="1">
        <f>SUMIFS('6.1'!$L$6:$L$74,Assets_PresHeader,$A10,Assets_BasisFunc,Q$5)</f>
        <v>0</v>
      </c>
      <c r="R10" s="1">
        <f>SUM(B10:Q10)</f>
        <v>178437344</v>
      </c>
    </row>
    <row r="11" spans="1:18" x14ac:dyDescent="0.3">
      <c r="A11" s="4" t="s">
        <v>141</v>
      </c>
      <c r="B11" s="1">
        <f>SUMIFS('6.1'!$L$6:$L$74,Assets_PresHeader,$A11,Assets_BasisFunc,B$5)</f>
        <v>0</v>
      </c>
      <c r="C11" s="1">
        <f>SUMIFS('6.1'!$L$6:$L$74,Assets_PresHeader,$A11,Assets_BasisFunc,C$5)</f>
        <v>0</v>
      </c>
      <c r="D11" s="1">
        <f>SUMIFS('6.1'!$L$6:$L$74,Assets_PresHeader,$A11,Assets_BasisFunc,D$5)</f>
        <v>0</v>
      </c>
      <c r="E11" s="1">
        <f>SUMIFS('6.1'!$L$6:$L$74,Assets_PresHeader,$A11,Assets_BasisFunc,E$5)</f>
        <v>0</v>
      </c>
      <c r="F11" s="1">
        <f>SUMIFS('6.1'!$L$6:$L$74,Assets_PresHeader,$A11,Assets_BasisFunc,F$5)</f>
        <v>0</v>
      </c>
      <c r="G11" s="1">
        <f>SUMIFS('6.1'!$L$6:$L$74,Assets_PresHeader,$A11,Assets_BasisFunc,G$5)</f>
        <v>0</v>
      </c>
      <c r="H11" s="1">
        <f>SUMIFS('6.1'!$L$6:$L$74,Assets_PresHeader,$A11,Assets_BasisFunc,H$5)</f>
        <v>0</v>
      </c>
      <c r="I11" s="1">
        <f>SUMIFS('6.1'!$L$6:$L$74,Assets_PresHeader,$A11,Assets_BasisFunc,I$5)</f>
        <v>0</v>
      </c>
      <c r="J11" s="1">
        <f>SUMIFS('6.1'!$L$6:$L$74,Assets_PresHeader,$A11,Assets_BasisFunc,J$5)</f>
        <v>0</v>
      </c>
      <c r="K11" s="1">
        <f>SUMIFS('6.1'!$L$6:$L$74,Assets_PresHeader,$A11,Assets_BasisFunc,K$5)</f>
        <v>0</v>
      </c>
      <c r="L11" s="1">
        <f>SUMIFS('6.1'!$L$6:$L$74,Assets_PresHeader,$A11,Assets_BasisFunc,L$5)</f>
        <v>0</v>
      </c>
      <c r="M11" s="1">
        <f>SUMIFS('6.1'!$L$6:$L$74,Assets_PresHeader,$A11,Assets_BasisFunc,M$5)</f>
        <v>0</v>
      </c>
      <c r="N11" s="1">
        <f>SUMIFS('6.1'!$L$6:$L$74,Assets_PresHeader,$A11,Assets_BasisFunc,N$5)</f>
        <v>0</v>
      </c>
      <c r="O11" s="1">
        <f>SUMIFS('6.1'!$L$6:$L$74,Assets_PresHeader,$A11,Assets_BasisFunc,O$5)</f>
        <v>0</v>
      </c>
      <c r="P11" s="1">
        <f>SUMIFS('6.1'!$L$6:$L$74,Assets_PresHeader,$A11,Assets_BasisFunc,P$5)</f>
        <v>0</v>
      </c>
      <c r="Q11" s="1">
        <f>SUMIFS('6.1'!$L$6:$L$74,Assets_PresHeader,$A11,Assets_BasisFunc,Q$5)</f>
        <v>0</v>
      </c>
      <c r="R11" s="1">
        <f>SUM(B11:Q11)</f>
        <v>0</v>
      </c>
    </row>
    <row r="12" spans="1:18" x14ac:dyDescent="0.3">
      <c r="A12" s="4" t="s">
        <v>142</v>
      </c>
      <c r="B12" s="1">
        <f>SUMIFS('6.1'!$L$6:$L$74,Assets_PresHeader,$A12,Assets_BasisFunc,B$5)</f>
        <v>0</v>
      </c>
      <c r="C12" s="1">
        <f>SUMIFS('6.1'!$L$6:$L$74,Assets_PresHeader,$A12,Assets_BasisFunc,C$5)</f>
        <v>0</v>
      </c>
      <c r="D12" s="1">
        <f>SUMIFS('6.1'!$L$6:$L$74,Assets_PresHeader,$A12,Assets_BasisFunc,D$5)</f>
        <v>0</v>
      </c>
      <c r="E12" s="1">
        <f>SUMIFS('6.1'!$L$6:$L$74,Assets_PresHeader,$A12,Assets_BasisFunc,E$5)</f>
        <v>0</v>
      </c>
      <c r="F12" s="1">
        <f>SUMIFS('6.1'!$L$6:$L$74,Assets_PresHeader,$A12,Assets_BasisFunc,F$5)</f>
        <v>0</v>
      </c>
      <c r="G12" s="1">
        <f>SUMIFS('6.1'!$L$6:$L$74,Assets_PresHeader,$A12,Assets_BasisFunc,G$5)</f>
        <v>0</v>
      </c>
      <c r="H12" s="1">
        <f>SUMIFS('6.1'!$L$6:$L$74,Assets_PresHeader,$A12,Assets_BasisFunc,H$5)</f>
        <v>0</v>
      </c>
      <c r="I12" s="1">
        <f>SUMIFS('6.1'!$L$6:$L$74,Assets_PresHeader,$A12,Assets_BasisFunc,I$5)</f>
        <v>0</v>
      </c>
      <c r="J12" s="1">
        <f>SUMIFS('6.1'!$L$6:$L$74,Assets_PresHeader,$A12,Assets_BasisFunc,J$5)</f>
        <v>12313454.5</v>
      </c>
      <c r="K12" s="1">
        <f>SUMIFS('6.1'!$L$6:$L$74,Assets_PresHeader,$A12,Assets_BasisFunc,K$5)</f>
        <v>0</v>
      </c>
      <c r="L12" s="1">
        <f>SUMIFS('6.1'!$L$6:$L$74,Assets_PresHeader,$A12,Assets_BasisFunc,L$5)</f>
        <v>0</v>
      </c>
      <c r="M12" s="1">
        <f>SUMIFS('6.1'!$L$6:$L$74,Assets_PresHeader,$A12,Assets_BasisFunc,M$5)</f>
        <v>0</v>
      </c>
      <c r="N12" s="1">
        <f>SUMIFS('6.1'!$L$6:$L$74,Assets_PresHeader,$A12,Assets_BasisFunc,N$5)</f>
        <v>0</v>
      </c>
      <c r="O12" s="1">
        <f>SUMIFS('6.1'!$L$6:$L$74,Assets_PresHeader,$A12,Assets_BasisFunc,O$5)</f>
        <v>0</v>
      </c>
      <c r="P12" s="1">
        <f>SUMIFS('6.1'!$L$6:$L$74,Assets_PresHeader,$A12,Assets_BasisFunc,P$5)</f>
        <v>0</v>
      </c>
      <c r="Q12" s="1">
        <f>SUMIFS('6.1'!$L$6:$L$74,Assets_PresHeader,$A12,Assets_BasisFunc,Q$5)</f>
        <v>0</v>
      </c>
      <c r="R12" s="1">
        <f>SUM(B12:Q12)</f>
        <v>12313454.5</v>
      </c>
    </row>
    <row r="13" spans="1:18" x14ac:dyDescent="0.3">
      <c r="A13" s="4" t="s">
        <v>143</v>
      </c>
      <c r="B13" s="1">
        <f>SUMIFS('6.1'!$L$6:$L$74,Assets_PresHeader,$A13,Assets_BasisFunc,B$5)</f>
        <v>0</v>
      </c>
      <c r="C13" s="1">
        <f>SUMIFS('6.1'!$L$6:$L$74,Assets_PresHeader,$A13,Assets_BasisFunc,C$5)</f>
        <v>0</v>
      </c>
      <c r="D13" s="1">
        <f>SUMIFS('6.1'!$L$6:$L$74,Assets_PresHeader,$A13,Assets_BasisFunc,D$5)</f>
        <v>0</v>
      </c>
      <c r="E13" s="1">
        <f>SUMIFS('6.1'!$L$6:$L$74,Assets_PresHeader,$A13,Assets_BasisFunc,E$5)</f>
        <v>0</v>
      </c>
      <c r="F13" s="1">
        <f>SUMIFS('6.1'!$L$6:$L$74,Assets_PresHeader,$A13,Assets_BasisFunc,F$5)</f>
        <v>0</v>
      </c>
      <c r="G13" s="1">
        <f>SUMIFS('6.1'!$L$6:$L$74,Assets_PresHeader,$A13,Assets_BasisFunc,G$5)</f>
        <v>0</v>
      </c>
      <c r="H13" s="1">
        <f>SUMIFS('6.1'!$L$6:$L$74,Assets_PresHeader,$A13,Assets_BasisFunc,H$5)</f>
        <v>0</v>
      </c>
      <c r="I13" s="1">
        <f>SUMIFS('6.1'!$L$6:$L$74,Assets_PresHeader,$A13,Assets_BasisFunc,I$5)</f>
        <v>0</v>
      </c>
      <c r="J13" s="1">
        <f>SUMIFS('6.1'!$L$6:$L$74,Assets_PresHeader,$A13,Assets_BasisFunc,J$5)</f>
        <v>0</v>
      </c>
      <c r="K13" s="1">
        <f>SUMIFS('6.1'!$L$6:$L$74,Assets_PresHeader,$A13,Assets_BasisFunc,K$5)</f>
        <v>0</v>
      </c>
      <c r="L13" s="1">
        <f>SUMIFS('6.1'!$L$6:$L$74,Assets_PresHeader,$A13,Assets_BasisFunc,L$5)</f>
        <v>0</v>
      </c>
      <c r="M13" s="1">
        <f>SUMIFS('6.1'!$L$6:$L$74,Assets_PresHeader,$A13,Assets_BasisFunc,M$5)</f>
        <v>0</v>
      </c>
      <c r="N13" s="1">
        <f>SUMIFS('6.1'!$L$6:$L$74,Assets_PresHeader,$A13,Assets_BasisFunc,N$5)</f>
        <v>0</v>
      </c>
      <c r="O13" s="1">
        <f>SUMIFS('6.1'!$L$6:$L$74,Assets_PresHeader,$A13,Assets_BasisFunc,O$5)</f>
        <v>0</v>
      </c>
      <c r="P13" s="1">
        <f>SUMIFS('6.1'!$L$6:$L$74,Assets_PresHeader,$A13,Assets_BasisFunc,P$5)</f>
        <v>0</v>
      </c>
      <c r="Q13" s="1">
        <f>SUMIFS('6.1'!$L$6:$L$74,Assets_PresHeader,$A13,Assets_BasisFunc,Q$5)</f>
        <v>8177072</v>
      </c>
      <c r="R13" s="1">
        <f>SUM(B13:Q13)</f>
        <v>8177072</v>
      </c>
    </row>
    <row r="14" spans="1:18" x14ac:dyDescent="0.3">
      <c r="A14" s="4" t="s">
        <v>174</v>
      </c>
      <c r="B14" s="1">
        <f t="shared" ref="B14:Q14" si="0">SUBTOTAL(9,B8:B13)</f>
        <v>0</v>
      </c>
      <c r="C14" s="1">
        <f t="shared" si="0"/>
        <v>0</v>
      </c>
      <c r="D14" s="1">
        <f t="shared" si="0"/>
        <v>59389797.5</v>
      </c>
      <c r="E14" s="1">
        <f t="shared" si="0"/>
        <v>4278428.5</v>
      </c>
      <c r="F14" s="1">
        <f t="shared" si="0"/>
        <v>0</v>
      </c>
      <c r="G14" s="1">
        <f t="shared" si="0"/>
        <v>75710095.5</v>
      </c>
      <c r="H14" s="1">
        <f t="shared" si="0"/>
        <v>0</v>
      </c>
      <c r="I14" s="1">
        <f t="shared" si="0"/>
        <v>44322477.5</v>
      </c>
      <c r="J14" s="1">
        <f t="shared" si="0"/>
        <v>12313454.5</v>
      </c>
      <c r="K14" s="1">
        <f t="shared" si="0"/>
        <v>0</v>
      </c>
      <c r="L14" s="1">
        <f t="shared" si="0"/>
        <v>0</v>
      </c>
      <c r="M14" s="1">
        <f t="shared" si="0"/>
        <v>0</v>
      </c>
      <c r="N14" s="1">
        <f t="shared" si="0"/>
        <v>0</v>
      </c>
      <c r="O14" s="1">
        <f t="shared" si="0"/>
        <v>0</v>
      </c>
      <c r="P14" s="1">
        <f t="shared" si="0"/>
        <v>0</v>
      </c>
      <c r="Q14" s="1">
        <f t="shared" si="0"/>
        <v>8177072</v>
      </c>
      <c r="R14" s="1">
        <f>SUBTOTAL(9,R8:R13)</f>
        <v>204191325.5</v>
      </c>
    </row>
    <row r="15" spans="1:18" x14ac:dyDescent="0.3">
      <c r="A15" s="3" t="s">
        <v>175</v>
      </c>
      <c r="B15" s="1">
        <f>SUMIFS('6.1'!$L$6:$L$74,Assets_PresHeader,$A15,Assets_BasisFunc,B$5)</f>
        <v>0</v>
      </c>
      <c r="C15" s="1">
        <f>SUMIFS('6.1'!$L$6:$L$74,Assets_PresHeader,$A15,Assets_BasisFunc,C$5)</f>
        <v>0</v>
      </c>
      <c r="D15" s="1">
        <f>SUMIFS('6.1'!$L$6:$L$74,Assets_PresHeader,$A15,Assets_BasisFunc,D$5)</f>
        <v>0</v>
      </c>
      <c r="E15" s="1">
        <f>SUMIFS('6.1'!$L$6:$L$74,Assets_PresHeader,$A15,Assets_BasisFunc,E$5)</f>
        <v>0</v>
      </c>
      <c r="F15" s="1">
        <f>SUMIFS('6.1'!$L$6:$L$74,Assets_PresHeader,$A15,Assets_BasisFunc,F$5)</f>
        <v>0</v>
      </c>
      <c r="G15" s="1">
        <f>SUMIFS('6.1'!$L$6:$L$74,Assets_PresHeader,$A15,Assets_BasisFunc,G$5)</f>
        <v>0</v>
      </c>
      <c r="H15" s="1">
        <f>SUMIFS('6.1'!$L$6:$L$74,Assets_PresHeader,$A15,Assets_BasisFunc,H$5)</f>
        <v>0</v>
      </c>
      <c r="I15" s="1">
        <f>SUMIFS('6.1'!$L$6:$L$74,Assets_PresHeader,$A15,Assets_BasisFunc,I$5)</f>
        <v>0</v>
      </c>
      <c r="J15" s="1">
        <f>SUMIFS('6.1'!$L$6:$L$74,Assets_PresHeader,$A15,Assets_BasisFunc,J$5)</f>
        <v>0</v>
      </c>
      <c r="K15" s="1">
        <f>SUMIFS('6.1'!$L$6:$L$74,Assets_PresHeader,$A15,Assets_BasisFunc,K$5)</f>
        <v>0</v>
      </c>
      <c r="L15" s="1">
        <f>SUMIFS('6.1'!$L$6:$L$74,Assets_PresHeader,$A15,Assets_BasisFunc,L$5)</f>
        <v>0</v>
      </c>
      <c r="M15" s="1">
        <f>SUMIFS('6.1'!$L$6:$L$74,Assets_PresHeader,$A15,Assets_BasisFunc,M$5)</f>
        <v>0</v>
      </c>
      <c r="N15" s="1">
        <f>SUMIFS('6.1'!$L$6:$L$74,Assets_PresHeader,$A15,Assets_BasisFunc,N$5)</f>
        <v>0</v>
      </c>
      <c r="O15" s="1">
        <f>SUMIFS('6.1'!$L$6:$L$74,Assets_PresHeader,$A15,Assets_BasisFunc,O$5)</f>
        <v>0</v>
      </c>
      <c r="P15" s="1">
        <f>SUMIFS('6.1'!$L$6:$L$74,Assets_PresHeader,$A15,Assets_BasisFunc,P$5)</f>
        <v>0</v>
      </c>
      <c r="Q15" s="1">
        <f>SUMIFS('6.1'!$L$6:$L$74,Assets_PresHeader,$A15,Assets_BasisFunc,Q$5)</f>
        <v>0</v>
      </c>
      <c r="R15" s="1">
        <f>SUM(B15:Q15)</f>
        <v>0</v>
      </c>
    </row>
    <row r="16" spans="1:18" x14ac:dyDescent="0.3">
      <c r="A16" s="3" t="s">
        <v>213</v>
      </c>
      <c r="B16" s="1">
        <f t="shared" ref="B16:R16" si="1">SUBTOTAL(9,B6:B15)</f>
        <v>32211917</v>
      </c>
      <c r="C16" s="1">
        <f t="shared" si="1"/>
        <v>0</v>
      </c>
      <c r="D16" s="1">
        <f t="shared" si="1"/>
        <v>59389797.5</v>
      </c>
      <c r="E16" s="1">
        <f t="shared" si="1"/>
        <v>4278428.5</v>
      </c>
      <c r="F16" s="1">
        <f t="shared" si="1"/>
        <v>0</v>
      </c>
      <c r="G16" s="1">
        <f t="shared" si="1"/>
        <v>75710095.5</v>
      </c>
      <c r="H16" s="1">
        <f t="shared" si="1"/>
        <v>0</v>
      </c>
      <c r="I16" s="1">
        <f t="shared" si="1"/>
        <v>44322477.5</v>
      </c>
      <c r="J16" s="1">
        <f t="shared" si="1"/>
        <v>12313454.5</v>
      </c>
      <c r="K16" s="1">
        <f t="shared" si="1"/>
        <v>0</v>
      </c>
      <c r="L16" s="1">
        <f t="shared" si="1"/>
        <v>0</v>
      </c>
      <c r="M16" s="1">
        <f t="shared" si="1"/>
        <v>0</v>
      </c>
      <c r="N16" s="1">
        <f t="shared" si="1"/>
        <v>0</v>
      </c>
      <c r="O16" s="1">
        <f t="shared" si="1"/>
        <v>0</v>
      </c>
      <c r="P16" s="1">
        <f t="shared" si="1"/>
        <v>0</v>
      </c>
      <c r="Q16" s="1">
        <f t="shared" si="1"/>
        <v>8177072</v>
      </c>
      <c r="R16" s="1">
        <f t="shared" si="1"/>
        <v>236403242.5</v>
      </c>
    </row>
    <row r="17" spans="1:18" x14ac:dyDescent="0.3">
      <c r="A17" s="2" t="s">
        <v>176</v>
      </c>
      <c r="B17" s="1">
        <f>-SUMIFS('6.2'!$F$23:$F$24,'6.2'!$G$23:$G$24,B$5)</f>
        <v>0</v>
      </c>
      <c r="C17" s="1">
        <f>-SUMIFS('6.2'!$F$23:$F$24,'6.2'!$G$23:$G$24,C$5)</f>
        <v>0</v>
      </c>
      <c r="D17" s="1">
        <f>-SUMIFS('6.2'!$F$23:$F$24,'6.2'!$G$23:$G$24,D$5)</f>
        <v>-10289012.5</v>
      </c>
      <c r="E17" s="1">
        <f>-SUMIFS('6.2'!$F$23:$F$24,'6.2'!$G$23:$G$24,E$5)</f>
        <v>0</v>
      </c>
      <c r="F17" s="1">
        <f>-SUMIFS('6.2'!$F$23:$F$24,'6.2'!$G$23:$G$24,F$5)</f>
        <v>0</v>
      </c>
      <c r="G17" s="1">
        <f>-SUMIFS('6.2'!$F$23:$F$24,'6.2'!$G$23:$G$24,G$5)</f>
        <v>0</v>
      </c>
      <c r="H17" s="1">
        <f>-SUMIFS('6.2'!$F$23:$F$24,'6.2'!$G$23:$G$24,H$5)</f>
        <v>0</v>
      </c>
      <c r="I17" s="1">
        <f>-SUMIFS('6.2'!$F$23:$F$24,'6.2'!$G$23:$G$24,I$5)</f>
        <v>0</v>
      </c>
      <c r="J17" s="1">
        <f>-SUMIFS('6.2'!$F$23:$F$24,'6.2'!$G$23:$G$24,J$5)</f>
        <v>0</v>
      </c>
      <c r="K17" s="1">
        <f>-SUMIFS('6.2'!$F$23:$F$24,'6.2'!$G$23:$G$24,K$5)</f>
        <v>0</v>
      </c>
      <c r="L17" s="1">
        <f>-SUMIFS('6.2'!$F$23:$F$24,'6.2'!$G$23:$G$24,L$5)</f>
        <v>0</v>
      </c>
      <c r="M17" s="1">
        <f>-SUMIFS('6.2'!$F$23:$F$24,'6.2'!$G$23:$G$24,M$5)</f>
        <v>0</v>
      </c>
      <c r="N17" s="1">
        <f>-SUMIFS('6.2'!$F$23:$F$24,'6.2'!$G$23:$G$24,N$5)</f>
        <v>0</v>
      </c>
      <c r="O17" s="1">
        <f>-SUMIFS('6.2'!$F$23:$F$24,'6.2'!$G$23:$G$24,O$5)</f>
        <v>0</v>
      </c>
      <c r="P17" s="1">
        <f>-SUMIFS('6.2'!$F$23:$F$24,'6.2'!$G$23:$G$24,P$5)</f>
        <v>0</v>
      </c>
      <c r="Q17" s="1">
        <f>-SUMIFS('6.2'!$F$23:$F$24,'6.2'!$G$23:$G$24,Q$5)</f>
        <v>0</v>
      </c>
      <c r="R17" s="1">
        <f>SUM(B17:Q17)</f>
        <v>-10289012.5</v>
      </c>
    </row>
    <row r="18" spans="1:18" x14ac:dyDescent="0.3">
      <c r="A18" s="2" t="s">
        <v>147</v>
      </c>
    </row>
    <row r="19" spans="1:18" x14ac:dyDescent="0.3">
      <c r="A19" s="3" t="s">
        <v>148</v>
      </c>
      <c r="B19" s="1">
        <f>SUMIFS('4.2'!$D$5:$D$45,'4.2'!$A$5:$A$45,$A19,'4.2'!$E$5:$E$45,B$5)</f>
        <v>0</v>
      </c>
      <c r="C19" s="1">
        <f>SUMIFS('4.2'!$D$5:$D$45,'4.2'!$A$5:$A$45,$A19,'4.2'!$E$5:$E$45,C$5)</f>
        <v>0</v>
      </c>
      <c r="D19" s="1">
        <f>SUMIFS('4.2'!$D$5:$D$45,'4.2'!$A$5:$A$45,$A19,'4.2'!$E$5:$E$45,D$5)</f>
        <v>0</v>
      </c>
      <c r="E19" s="1">
        <f>SUMIFS('4.2'!$D$5:$D$45,'4.2'!$A$5:$A$45,$A19,'4.2'!$E$5:$E$45,E$5)</f>
        <v>0</v>
      </c>
      <c r="F19" s="1">
        <f>SUMIFS('4.2'!$D$5:$D$45,'4.2'!$A$5:$A$45,$A19,'4.2'!$E$5:$E$45,F$5)</f>
        <v>0</v>
      </c>
      <c r="G19" s="1">
        <f>SUMIFS('4.2'!$D$5:$D$45,'4.2'!$A$5:$A$45,$A19,'4.2'!$E$5:$E$45,G$5)</f>
        <v>0</v>
      </c>
      <c r="H19" s="1">
        <f>SUMIFS('4.2'!$D$5:$D$45,'4.2'!$A$5:$A$45,$A19,'4.2'!$E$5:$E$45,H$5)</f>
        <v>0</v>
      </c>
      <c r="I19" s="1">
        <f>SUMIFS('4.2'!$D$5:$D$45,'4.2'!$A$5:$A$45,$A19,'4.2'!$E$5:$E$45,I$5)</f>
        <v>0</v>
      </c>
      <c r="J19" s="1">
        <f>SUMIFS('4.2'!$D$5:$D$45,'4.2'!$A$5:$A$45,$A19,'4.2'!$E$5:$E$45,J$5)</f>
        <v>0</v>
      </c>
      <c r="K19" s="1">
        <f>SUMIFS('4.2'!$D$5:$D$45,'4.2'!$A$5:$A$45,$A19,'4.2'!$E$5:$E$45,K$5)</f>
        <v>0</v>
      </c>
      <c r="L19" s="1">
        <f>SUMIFS('4.2'!$D$5:$D$45,'4.2'!$A$5:$A$45,$A19,'4.2'!$E$5:$E$45,L$5)</f>
        <v>0</v>
      </c>
      <c r="M19" s="1">
        <f>SUMIFS('4.2'!$D$5:$D$45,'4.2'!$A$5:$A$45,$A19,'4.2'!$E$5:$E$45,M$5)</f>
        <v>0</v>
      </c>
      <c r="N19" s="1">
        <f>SUMIFS('4.2'!$D$5:$D$45,'4.2'!$A$5:$A$45,$A19,'4.2'!$E$5:$E$45,N$5)</f>
        <v>0</v>
      </c>
      <c r="O19" s="1">
        <f>SUMIFS('4.2'!$D$5:$D$45,'4.2'!$A$5:$A$45,$A19,'4.2'!$E$5:$E$45,O$5)</f>
        <v>0</v>
      </c>
      <c r="P19" s="1">
        <f>SUMIFS('4.2'!$D$5:$D$45,'4.2'!$A$5:$A$45,$A19,'4.2'!$E$5:$E$45,P$5)</f>
        <v>0</v>
      </c>
      <c r="Q19" s="1">
        <f>SUMIFS('4.2'!$D$5:$D$45,'4.2'!$A$5:$A$45,$A19,'4.2'!$E$5:$E$45,Q$5)</f>
        <v>0</v>
      </c>
      <c r="R19" s="1">
        <f t="shared" ref="R19:R27" si="2">SUM(B19:Q19)</f>
        <v>0</v>
      </c>
    </row>
    <row r="20" spans="1:18" x14ac:dyDescent="0.3">
      <c r="A20" s="3" t="s">
        <v>149</v>
      </c>
      <c r="B20" s="1">
        <f>SUMIFS('4.2'!$D$5:$D$45,'4.2'!$A$5:$A$45,$A20,'4.2'!$E$5:$E$45,B$5)</f>
        <v>0</v>
      </c>
      <c r="C20" s="1">
        <f>SUMIFS('4.2'!$D$5:$D$45,'4.2'!$A$5:$A$45,$A20,'4.2'!$E$5:$E$45,C$5)</f>
        <v>-3618000</v>
      </c>
      <c r="D20" s="1">
        <f>SUMIFS('4.2'!$D$5:$D$45,'4.2'!$A$5:$A$45,$A20,'4.2'!$E$5:$E$45,D$5)</f>
        <v>0</v>
      </c>
      <c r="E20" s="1">
        <f>SUMIFS('4.2'!$D$5:$D$45,'4.2'!$A$5:$A$45,$A20,'4.2'!$E$5:$E$45,E$5)</f>
        <v>0</v>
      </c>
      <c r="F20" s="1">
        <f>SUMIFS('4.2'!$D$5:$D$45,'4.2'!$A$5:$A$45,$A20,'4.2'!$E$5:$E$45,F$5)</f>
        <v>0</v>
      </c>
      <c r="G20" s="1">
        <f>SUMIFS('4.2'!$D$5:$D$45,'4.2'!$A$5:$A$45,$A20,'4.2'!$E$5:$E$45,G$5)</f>
        <v>0</v>
      </c>
      <c r="H20" s="1">
        <f>SUMIFS('4.2'!$D$5:$D$45,'4.2'!$A$5:$A$45,$A20,'4.2'!$E$5:$E$45,H$5)</f>
        <v>0</v>
      </c>
      <c r="I20" s="1">
        <f>SUMIFS('4.2'!$D$5:$D$45,'4.2'!$A$5:$A$45,$A20,'4.2'!$E$5:$E$45,I$5)</f>
        <v>0</v>
      </c>
      <c r="J20" s="1">
        <f>SUMIFS('4.2'!$D$5:$D$45,'4.2'!$A$5:$A$45,$A20,'4.2'!$E$5:$E$45,J$5)</f>
        <v>0</v>
      </c>
      <c r="K20" s="1">
        <f>SUMIFS('4.2'!$D$5:$D$45,'4.2'!$A$5:$A$45,$A20,'4.2'!$E$5:$E$45,K$5)</f>
        <v>0</v>
      </c>
      <c r="L20" s="1">
        <f>SUMIFS('4.2'!$D$5:$D$45,'4.2'!$A$5:$A$45,$A20,'4.2'!$E$5:$E$45,L$5)</f>
        <v>0</v>
      </c>
      <c r="M20" s="1">
        <f>SUMIFS('4.2'!$D$5:$D$45,'4.2'!$A$5:$A$45,$A20,'4.2'!$E$5:$E$45,M$5)</f>
        <v>0</v>
      </c>
      <c r="N20" s="1">
        <f>SUMIFS('4.2'!$D$5:$D$45,'4.2'!$A$5:$A$45,$A20,'4.2'!$E$5:$E$45,N$5)</f>
        <v>0</v>
      </c>
      <c r="O20" s="1">
        <f>SUMIFS('4.2'!$D$5:$D$45,'4.2'!$A$5:$A$45,$A20,'4.2'!$E$5:$E$45,O$5)</f>
        <v>0</v>
      </c>
      <c r="P20" s="1">
        <f>SUMIFS('4.2'!$D$5:$D$45,'4.2'!$A$5:$A$45,$A20,'4.2'!$E$5:$E$45,P$5)</f>
        <v>0</v>
      </c>
      <c r="Q20" s="1">
        <f>SUMIFS('4.2'!$D$5:$D$45,'4.2'!$A$5:$A$45,$A20,'4.2'!$E$5:$E$45,Q$5)</f>
        <v>0</v>
      </c>
      <c r="R20" s="1">
        <f t="shared" si="2"/>
        <v>-3618000</v>
      </c>
    </row>
    <row r="21" spans="1:18" x14ac:dyDescent="0.3">
      <c r="A21" s="3" t="s">
        <v>150</v>
      </c>
      <c r="B21" s="1">
        <f>SUMIFS('4.2'!$D$5:$D$45,'4.2'!$A$5:$A$45,$A21,'4.2'!$E$5:$E$45,B$5)</f>
        <v>-361500</v>
      </c>
      <c r="C21" s="1">
        <f>SUMIFS('4.2'!$D$5:$D$45,'4.2'!$A$5:$A$45,$A21,'4.2'!$E$5:$E$45,C$5)</f>
        <v>0</v>
      </c>
      <c r="D21" s="1">
        <f>SUMIFS('4.2'!$D$5:$D$45,'4.2'!$A$5:$A$45,$A21,'4.2'!$E$5:$E$45,D$5)</f>
        <v>0</v>
      </c>
      <c r="E21" s="1">
        <f>SUMIFS('4.2'!$D$5:$D$45,'4.2'!$A$5:$A$45,$A21,'4.2'!$E$5:$E$45,E$5)</f>
        <v>0</v>
      </c>
      <c r="F21" s="1">
        <f>SUMIFS('4.2'!$D$5:$D$45,'4.2'!$A$5:$A$45,$A21,'4.2'!$E$5:$E$45,F$5)</f>
        <v>0</v>
      </c>
      <c r="G21" s="1">
        <f>SUMIFS('4.2'!$D$5:$D$45,'4.2'!$A$5:$A$45,$A21,'4.2'!$E$5:$E$45,G$5)</f>
        <v>0</v>
      </c>
      <c r="H21" s="1">
        <f>SUMIFS('4.2'!$D$5:$D$45,'4.2'!$A$5:$A$45,$A21,'4.2'!$E$5:$E$45,H$5)</f>
        <v>0</v>
      </c>
      <c r="I21" s="1">
        <f>SUMIFS('4.2'!$D$5:$D$45,'4.2'!$A$5:$A$45,$A21,'4.2'!$E$5:$E$45,I$5)</f>
        <v>0</v>
      </c>
      <c r="J21" s="1">
        <f>SUMIFS('4.2'!$D$5:$D$45,'4.2'!$A$5:$A$45,$A21,'4.2'!$E$5:$E$45,J$5)</f>
        <v>0</v>
      </c>
      <c r="K21" s="1">
        <f>SUMIFS('4.2'!$D$5:$D$45,'4.2'!$A$5:$A$45,$A21,'4.2'!$E$5:$E$45,K$5)</f>
        <v>0</v>
      </c>
      <c r="L21" s="1">
        <f>SUMIFS('4.2'!$D$5:$D$45,'4.2'!$A$5:$A$45,$A21,'4.2'!$E$5:$E$45,L$5)</f>
        <v>0</v>
      </c>
      <c r="M21" s="1">
        <f>SUMIFS('4.2'!$D$5:$D$45,'4.2'!$A$5:$A$45,$A21,'4.2'!$E$5:$E$45,M$5)</f>
        <v>0</v>
      </c>
      <c r="N21" s="1">
        <f>SUMIFS('4.2'!$D$5:$D$45,'4.2'!$A$5:$A$45,$A21,'4.2'!$E$5:$E$45,N$5)</f>
        <v>0</v>
      </c>
      <c r="O21" s="1">
        <f>SUMIFS('4.2'!$D$5:$D$45,'4.2'!$A$5:$A$45,$A21,'4.2'!$E$5:$E$45,O$5)</f>
        <v>0</v>
      </c>
      <c r="P21" s="1">
        <f>SUMIFS('4.2'!$D$5:$D$45,'4.2'!$A$5:$A$45,$A21,'4.2'!$E$5:$E$45,P$5)</f>
        <v>0</v>
      </c>
      <c r="Q21" s="1">
        <f>SUMIFS('4.2'!$D$5:$D$45,'4.2'!$A$5:$A$45,$A21,'4.2'!$E$5:$E$45,Q$5)</f>
        <v>0</v>
      </c>
      <c r="R21" s="1">
        <f t="shared" si="2"/>
        <v>-361500</v>
      </c>
    </row>
    <row r="22" spans="1:18" x14ac:dyDescent="0.3">
      <c r="A22" s="3" t="s">
        <v>151</v>
      </c>
      <c r="B22" s="1">
        <f>SUMIFS('4.2'!$D$5:$D$45,'4.2'!$A$5:$A$45,$A22,'4.2'!$E$5:$E$45,B$5)</f>
        <v>0</v>
      </c>
      <c r="C22" s="1">
        <f>SUMIFS('4.2'!$D$5:$D$45,'4.2'!$A$5:$A$45,$A22,'4.2'!$E$5:$E$45,C$5)</f>
        <v>0</v>
      </c>
      <c r="D22" s="1">
        <f>SUMIFS('4.2'!$D$5:$D$45,'4.2'!$A$5:$A$45,$A22,'4.2'!$E$5:$E$45,D$5)</f>
        <v>0</v>
      </c>
      <c r="E22" s="1">
        <f>SUMIFS('4.2'!$D$5:$D$45,'4.2'!$A$5:$A$45,$A22,'4.2'!$E$5:$E$45,E$5)</f>
        <v>0</v>
      </c>
      <c r="F22" s="1">
        <f>SUMIFS('4.2'!$D$5:$D$45,'4.2'!$A$5:$A$45,$A22,'4.2'!$E$5:$E$45,F$5)</f>
        <v>0</v>
      </c>
      <c r="G22" s="1">
        <f>SUMIFS('4.2'!$D$5:$D$45,'4.2'!$A$5:$A$45,$A22,'4.2'!$E$5:$E$45,G$5)</f>
        <v>0</v>
      </c>
      <c r="H22" s="1">
        <f>SUMIFS('4.2'!$D$5:$D$45,'4.2'!$A$5:$A$45,$A22,'4.2'!$E$5:$E$45,H$5)</f>
        <v>0</v>
      </c>
      <c r="I22" s="1">
        <f>SUMIFS('4.2'!$D$5:$D$45,'4.2'!$A$5:$A$45,$A22,'4.2'!$E$5:$E$45,I$5)</f>
        <v>0</v>
      </c>
      <c r="J22" s="1">
        <f>SUMIFS('4.2'!$D$5:$D$45,'4.2'!$A$5:$A$45,$A22,'4.2'!$E$5:$E$45,J$5)</f>
        <v>0</v>
      </c>
      <c r="K22" s="1">
        <f>SUMIFS('4.2'!$D$5:$D$45,'4.2'!$A$5:$A$45,$A22,'4.2'!$E$5:$E$45,K$5)</f>
        <v>0</v>
      </c>
      <c r="L22" s="1">
        <f>SUMIFS('4.2'!$D$5:$D$45,'4.2'!$A$5:$A$45,$A22,'4.2'!$E$5:$E$45,L$5)</f>
        <v>0</v>
      </c>
      <c r="M22" s="1">
        <f>SUMIFS('4.2'!$D$5:$D$45,'4.2'!$A$5:$A$45,$A22,'4.2'!$E$5:$E$45,M$5)</f>
        <v>0</v>
      </c>
      <c r="N22" s="1">
        <f>SUMIFS('4.2'!$D$5:$D$45,'4.2'!$A$5:$A$45,$A22,'4.2'!$E$5:$E$45,N$5)</f>
        <v>0</v>
      </c>
      <c r="O22" s="1">
        <f>SUMIFS('4.2'!$D$5:$D$45,'4.2'!$A$5:$A$45,$A22,'4.2'!$E$5:$E$45,O$5)</f>
        <v>0</v>
      </c>
      <c r="P22" s="1">
        <f>SUMIFS('4.2'!$D$5:$D$45,'4.2'!$A$5:$A$45,$A22,'4.2'!$E$5:$E$45,P$5)</f>
        <v>0</v>
      </c>
      <c r="Q22" s="1">
        <f>SUMIFS('4.2'!$D$5:$D$45,'4.2'!$A$5:$A$45,$A22,'4.2'!$E$5:$E$45,Q$5)</f>
        <v>0</v>
      </c>
      <c r="R22" s="1">
        <f t="shared" si="2"/>
        <v>0</v>
      </c>
    </row>
    <row r="23" spans="1:18" x14ac:dyDescent="0.3">
      <c r="A23" s="3" t="s">
        <v>152</v>
      </c>
      <c r="B23" s="1">
        <f>SUMIFS('4.2'!$D$5:$D$45,'4.2'!$A$5:$A$45,$A23,'4.2'!$E$5:$E$45,B$5)</f>
        <v>0</v>
      </c>
      <c r="C23" s="1">
        <f>SUMIFS('4.2'!$D$5:$D$45,'4.2'!$A$5:$A$45,$A23,'4.2'!$E$5:$E$45,C$5)</f>
        <v>0</v>
      </c>
      <c r="D23" s="1">
        <f>SUMIFS('4.2'!$D$5:$D$45,'4.2'!$A$5:$A$45,$A23,'4.2'!$E$5:$E$45,D$5)</f>
        <v>0</v>
      </c>
      <c r="E23" s="1">
        <f>SUMIFS('4.2'!$D$5:$D$45,'4.2'!$A$5:$A$45,$A23,'4.2'!$E$5:$E$45,E$5)</f>
        <v>0</v>
      </c>
      <c r="F23" s="1">
        <f>SUMIFS('4.2'!$D$5:$D$45,'4.2'!$A$5:$A$45,$A23,'4.2'!$E$5:$E$45,F$5)</f>
        <v>0</v>
      </c>
      <c r="G23" s="1">
        <f>SUMIFS('4.2'!$D$5:$D$45,'4.2'!$A$5:$A$45,$A23,'4.2'!$E$5:$E$45,G$5)</f>
        <v>0</v>
      </c>
      <c r="H23" s="1">
        <f>SUMIFS('4.2'!$D$5:$D$45,'4.2'!$A$5:$A$45,$A23,'4.2'!$E$5:$E$45,H$5)</f>
        <v>0</v>
      </c>
      <c r="I23" s="1">
        <f>SUMIFS('4.2'!$D$5:$D$45,'4.2'!$A$5:$A$45,$A23,'4.2'!$E$5:$E$45,I$5)</f>
        <v>0</v>
      </c>
      <c r="J23" s="1">
        <f>SUMIFS('4.2'!$D$5:$D$45,'4.2'!$A$5:$A$45,$A23,'4.2'!$E$5:$E$45,J$5)</f>
        <v>0</v>
      </c>
      <c r="K23" s="1">
        <f>SUMIFS('4.2'!$D$5:$D$45,'4.2'!$A$5:$A$45,$A23,'4.2'!$E$5:$E$45,K$5)</f>
        <v>0</v>
      </c>
      <c r="L23" s="1">
        <f>SUMIFS('4.2'!$D$5:$D$45,'4.2'!$A$5:$A$45,$A23,'4.2'!$E$5:$E$45,L$5)</f>
        <v>0</v>
      </c>
      <c r="M23" s="1">
        <f>SUMIFS('4.2'!$D$5:$D$45,'4.2'!$A$5:$A$45,$A23,'4.2'!$E$5:$E$45,M$5)</f>
        <v>0</v>
      </c>
      <c r="N23" s="1">
        <f>SUMIFS('4.2'!$D$5:$D$45,'4.2'!$A$5:$A$45,$A23,'4.2'!$E$5:$E$45,N$5)</f>
        <v>0</v>
      </c>
      <c r="O23" s="1">
        <f>SUMIFS('4.2'!$D$5:$D$45,'4.2'!$A$5:$A$45,$A23,'4.2'!$E$5:$E$45,O$5)</f>
        <v>0</v>
      </c>
      <c r="P23" s="1">
        <f>SUMIFS('4.2'!$D$5:$D$45,'4.2'!$A$5:$A$45,$A23,'4.2'!$E$5:$E$45,P$5)</f>
        <v>0</v>
      </c>
      <c r="Q23" s="1">
        <f>SUMIFS('4.2'!$D$5:$D$45,'4.2'!$A$5:$A$45,$A23,'4.2'!$E$5:$E$45,Q$5)</f>
        <v>0</v>
      </c>
      <c r="R23" s="1">
        <f t="shared" si="2"/>
        <v>0</v>
      </c>
    </row>
    <row r="24" spans="1:18" x14ac:dyDescent="0.3">
      <c r="A24" s="3" t="s">
        <v>189</v>
      </c>
      <c r="B24" s="1">
        <f>SUMIFS('4.2'!$D$5:$D$45,'4.2'!$A$5:$A$45,$A24,'4.2'!$E$5:$E$45,B$5)</f>
        <v>0</v>
      </c>
      <c r="C24" s="1">
        <f>SUMIFS('4.2'!$D$5:$D$45,'4.2'!$A$5:$A$45,$A24,'4.2'!$E$5:$E$45,C$5)</f>
        <v>0</v>
      </c>
      <c r="D24" s="1">
        <f>SUMIFS('4.2'!$D$5:$D$45,'4.2'!$A$5:$A$45,$A24,'4.2'!$E$5:$E$45,D$5)</f>
        <v>0</v>
      </c>
      <c r="E24" s="1">
        <f>SUMIFS('4.2'!$D$5:$D$45,'4.2'!$A$5:$A$45,$A24,'4.2'!$E$5:$E$45,E$5)</f>
        <v>0</v>
      </c>
      <c r="F24" s="1">
        <f>SUMIFS('4.2'!$D$5:$D$45,'4.2'!$A$5:$A$45,$A24,'4.2'!$E$5:$E$45,F$5)</f>
        <v>0</v>
      </c>
      <c r="G24" s="1">
        <f>SUMIFS('4.2'!$D$5:$D$45,'4.2'!$A$5:$A$45,$A24,'4.2'!$E$5:$E$45,G$5)</f>
        <v>0</v>
      </c>
      <c r="H24" s="1">
        <f>SUMIFS('4.2'!$D$5:$D$45,'4.2'!$A$5:$A$45,$A24,'4.2'!$E$5:$E$45,H$5)</f>
        <v>0</v>
      </c>
      <c r="I24" s="1">
        <f>SUMIFS('4.2'!$D$5:$D$45,'4.2'!$A$5:$A$45,$A24,'4.2'!$E$5:$E$45,I$5)</f>
        <v>0</v>
      </c>
      <c r="J24" s="1">
        <f>SUMIFS('4.2'!$D$5:$D$45,'4.2'!$A$5:$A$45,$A24,'4.2'!$E$5:$E$45,J$5)</f>
        <v>0</v>
      </c>
      <c r="K24" s="1">
        <f>SUMIFS('4.2'!$D$5:$D$45,'4.2'!$A$5:$A$45,$A24,'4.2'!$E$5:$E$45,K$5)</f>
        <v>0</v>
      </c>
      <c r="L24" s="1">
        <f>SUMIFS('4.2'!$D$5:$D$45,'4.2'!$A$5:$A$45,$A24,'4.2'!$E$5:$E$45,L$5)</f>
        <v>0</v>
      </c>
      <c r="M24" s="1">
        <f>SUMIFS('4.2'!$D$5:$D$45,'4.2'!$A$5:$A$45,$A24,'4.2'!$E$5:$E$45,M$5)</f>
        <v>0</v>
      </c>
      <c r="N24" s="1">
        <f>SUMIFS('4.2'!$D$5:$D$45,'4.2'!$A$5:$A$45,$A24,'4.2'!$E$5:$E$45,N$5)</f>
        <v>0</v>
      </c>
      <c r="O24" s="1">
        <f>SUMIFS('4.2'!$D$5:$D$45,'4.2'!$A$5:$A$45,$A24,'4.2'!$E$5:$E$45,O$5)</f>
        <v>0</v>
      </c>
      <c r="P24" s="1">
        <f>SUMIFS('4.2'!$D$5:$D$45,'4.2'!$A$5:$A$45,$A24,'4.2'!$E$5:$E$45,P$5)</f>
        <v>0</v>
      </c>
      <c r="Q24" s="1">
        <f>SUMIFS('4.2'!$D$5:$D$45,'4.2'!$A$5:$A$45,$A24,'4.2'!$E$5:$E$45,Q$5)</f>
        <v>0</v>
      </c>
      <c r="R24" s="1">
        <f t="shared" si="2"/>
        <v>0</v>
      </c>
    </row>
    <row r="25" spans="1:18" x14ac:dyDescent="0.3">
      <c r="A25" s="3" t="s">
        <v>188</v>
      </c>
      <c r="B25" s="1">
        <f>SUMIFS('4.2'!$D$5:$D$45,'4.2'!$A$5:$A$45,$A25,'4.2'!$E$5:$E$45,B$5)</f>
        <v>0</v>
      </c>
      <c r="C25" s="1">
        <f>SUMIFS('4.2'!$D$5:$D$45,'4.2'!$A$5:$A$45,$A25,'4.2'!$E$5:$E$45,C$5)</f>
        <v>0</v>
      </c>
      <c r="D25" s="1">
        <f>SUMIFS('4.2'!$D$5:$D$45,'4.2'!$A$5:$A$45,$A25,'4.2'!$E$5:$E$45,D$5)</f>
        <v>0</v>
      </c>
      <c r="E25" s="1">
        <f>SUMIFS('4.2'!$D$5:$D$45,'4.2'!$A$5:$A$45,$A25,'4.2'!$E$5:$E$45,E$5)</f>
        <v>0</v>
      </c>
      <c r="F25" s="1">
        <f>SUMIFS('4.2'!$D$5:$D$45,'4.2'!$A$5:$A$45,$A25,'4.2'!$E$5:$E$45,F$5)</f>
        <v>0</v>
      </c>
      <c r="G25" s="1">
        <f>SUMIFS('4.2'!$D$5:$D$45,'4.2'!$A$5:$A$45,$A25,'4.2'!$E$5:$E$45,G$5)</f>
        <v>0</v>
      </c>
      <c r="H25" s="1">
        <f>SUMIFS('4.2'!$D$5:$D$45,'4.2'!$A$5:$A$45,$A25,'4.2'!$E$5:$E$45,H$5)</f>
        <v>0</v>
      </c>
      <c r="I25" s="1">
        <f>SUMIFS('4.2'!$D$5:$D$45,'4.2'!$A$5:$A$45,$A25,'4.2'!$E$5:$E$45,I$5)</f>
        <v>0</v>
      </c>
      <c r="J25" s="1">
        <f>SUMIFS('4.2'!$D$5:$D$45,'4.2'!$A$5:$A$45,$A25,'4.2'!$E$5:$E$45,J$5)</f>
        <v>0</v>
      </c>
      <c r="K25" s="1">
        <f>SUMIFS('4.2'!$D$5:$D$45,'4.2'!$A$5:$A$45,$A25,'4.2'!$E$5:$E$45,K$5)</f>
        <v>0</v>
      </c>
      <c r="L25" s="1">
        <f>SUMIFS('4.2'!$D$5:$D$45,'4.2'!$A$5:$A$45,$A25,'4.2'!$E$5:$E$45,L$5)</f>
        <v>0</v>
      </c>
      <c r="M25" s="1">
        <f>SUMIFS('4.2'!$D$5:$D$45,'4.2'!$A$5:$A$45,$A25,'4.2'!$E$5:$E$45,M$5)</f>
        <v>0</v>
      </c>
      <c r="N25" s="1">
        <f>SUMIFS('4.2'!$D$5:$D$45,'4.2'!$A$5:$A$45,$A25,'4.2'!$E$5:$E$45,N$5)</f>
        <v>0</v>
      </c>
      <c r="O25" s="1">
        <f>SUMIFS('4.2'!$D$5:$D$45,'4.2'!$A$5:$A$45,$A25,'4.2'!$E$5:$E$45,O$5)</f>
        <v>0</v>
      </c>
      <c r="P25" s="1">
        <f>SUMIFS('4.2'!$D$5:$D$45,'4.2'!$A$5:$A$45,$A25,'4.2'!$E$5:$E$45,P$5)</f>
        <v>0</v>
      </c>
      <c r="Q25" s="1">
        <f>SUMIFS('4.2'!$D$5:$D$45,'4.2'!$A$5:$A$45,$A25,'4.2'!$E$5:$E$45,Q$5)</f>
        <v>0</v>
      </c>
      <c r="R25" s="1">
        <f t="shared" si="2"/>
        <v>0</v>
      </c>
    </row>
    <row r="26" spans="1:18" x14ac:dyDescent="0.3">
      <c r="A26" s="3" t="s">
        <v>125</v>
      </c>
      <c r="B26" s="1">
        <f>SUMIFS('4.2'!$D$5:$D$45,'4.2'!$A$5:$A$45,$A26,'4.2'!$E$5:$E$45,B$5)</f>
        <v>0</v>
      </c>
      <c r="C26" s="1">
        <f>SUMIFS('4.2'!$D$5:$D$45,'4.2'!$A$5:$A$45,$A26,'4.2'!$E$5:$E$45,C$5)</f>
        <v>0</v>
      </c>
      <c r="D26" s="1">
        <f>SUMIFS('4.2'!$D$5:$D$45,'4.2'!$A$5:$A$45,$A26,'4.2'!$E$5:$E$45,D$5)</f>
        <v>0</v>
      </c>
      <c r="E26" s="1">
        <f>SUMIFS('4.2'!$D$5:$D$45,'4.2'!$A$5:$A$45,$A26,'4.2'!$E$5:$E$45,E$5)</f>
        <v>0</v>
      </c>
      <c r="F26" s="1">
        <f>SUMIFS('4.2'!$D$5:$D$45,'4.2'!$A$5:$A$45,$A26,'4.2'!$E$5:$E$45,F$5)</f>
        <v>0</v>
      </c>
      <c r="G26" s="1">
        <f>SUMIFS('4.2'!$D$5:$D$45,'4.2'!$A$5:$A$45,$A26,'4.2'!$E$5:$E$45,G$5)</f>
        <v>0</v>
      </c>
      <c r="H26" s="1">
        <f>SUMIFS('4.2'!$D$5:$D$45,'4.2'!$A$5:$A$45,$A26,'4.2'!$E$5:$E$45,H$5)</f>
        <v>0</v>
      </c>
      <c r="I26" s="1">
        <f>SUMIFS('4.2'!$D$5:$D$45,'4.2'!$A$5:$A$45,$A26,'4.2'!$E$5:$E$45,I$5)</f>
        <v>0</v>
      </c>
      <c r="J26" s="1">
        <f>SUMIFS('4.2'!$D$5:$D$45,'4.2'!$A$5:$A$45,$A26,'4.2'!$E$5:$E$45,J$5)</f>
        <v>0</v>
      </c>
      <c r="K26" s="1">
        <f>SUMIFS('4.2'!$D$5:$D$45,'4.2'!$A$5:$A$45,$A26,'4.2'!$E$5:$E$45,K$5)</f>
        <v>0</v>
      </c>
      <c r="L26" s="1">
        <f>SUMIFS('4.2'!$D$5:$D$45,'4.2'!$A$5:$A$45,$A26,'4.2'!$E$5:$E$45,L$5)</f>
        <v>0</v>
      </c>
      <c r="M26" s="1">
        <f>SUMIFS('4.2'!$D$5:$D$45,'4.2'!$A$5:$A$45,$A26,'4.2'!$E$5:$E$45,M$5)</f>
        <v>0</v>
      </c>
      <c r="N26" s="1">
        <f>SUMIFS('4.2'!$D$5:$D$45,'4.2'!$A$5:$A$45,$A26,'4.2'!$E$5:$E$45,N$5)</f>
        <v>0</v>
      </c>
      <c r="O26" s="1">
        <f>SUMIFS('4.2'!$D$5:$D$45,'4.2'!$A$5:$A$45,$A26,'4.2'!$E$5:$E$45,O$5)</f>
        <v>0</v>
      </c>
      <c r="P26" s="1">
        <f>SUMIFS('4.2'!$D$5:$D$45,'4.2'!$A$5:$A$45,$A26,'4.2'!$E$5:$E$45,P$5)</f>
        <v>0</v>
      </c>
      <c r="Q26" s="1">
        <f>SUMIFS('4.2'!$D$5:$D$45,'4.2'!$A$5:$A$45,$A26,'4.2'!$E$5:$E$45,Q$5)</f>
        <v>0</v>
      </c>
      <c r="R26" s="1">
        <f t="shared" si="2"/>
        <v>0</v>
      </c>
    </row>
    <row r="27" spans="1:18" x14ac:dyDescent="0.3">
      <c r="A27" s="3" t="s">
        <v>190</v>
      </c>
      <c r="B27" s="1">
        <f>SUMIFS('4.2'!$D$5:$D$45,'4.2'!$A$5:$A$45,$A27,'4.2'!$E$5:$E$45,B$5)</f>
        <v>0</v>
      </c>
      <c r="C27" s="1">
        <f>SUMIFS('4.2'!$D$5:$D$45,'4.2'!$A$5:$A$45,$A27,'4.2'!$E$5:$E$45,C$5)</f>
        <v>0</v>
      </c>
      <c r="D27" s="1">
        <f>SUMIFS('4.2'!$D$5:$D$45,'4.2'!$A$5:$A$45,$A27,'4.2'!$E$5:$E$45,D$5)</f>
        <v>0</v>
      </c>
      <c r="E27" s="1">
        <f>SUMIFS('4.2'!$D$5:$D$45,'4.2'!$A$5:$A$45,$A27,'4.2'!$E$5:$E$45,E$5)</f>
        <v>0</v>
      </c>
      <c r="F27" s="1">
        <f>SUMIFS('4.2'!$D$5:$D$45,'4.2'!$A$5:$A$45,$A27,'4.2'!$E$5:$E$45,F$5)</f>
        <v>0</v>
      </c>
      <c r="G27" s="1">
        <f>SUMIFS('4.2'!$D$5:$D$45,'4.2'!$A$5:$A$45,$A27,'4.2'!$E$5:$E$45,G$5)</f>
        <v>0</v>
      </c>
      <c r="H27" s="1">
        <f>SUMIFS('4.2'!$D$5:$D$45,'4.2'!$A$5:$A$45,$A27,'4.2'!$E$5:$E$45,H$5)</f>
        <v>0</v>
      </c>
      <c r="I27" s="1">
        <f>SUMIFS('4.2'!$D$5:$D$45,'4.2'!$A$5:$A$45,$A27,'4.2'!$E$5:$E$45,I$5)</f>
        <v>0</v>
      </c>
      <c r="J27" s="1">
        <f>SUMIFS('4.2'!$D$5:$D$45,'4.2'!$A$5:$A$45,$A27,'4.2'!$E$5:$E$45,J$5)</f>
        <v>0</v>
      </c>
      <c r="K27" s="1">
        <f>SUMIFS('4.2'!$D$5:$D$45,'4.2'!$A$5:$A$45,$A27,'4.2'!$E$5:$E$45,K$5)</f>
        <v>0</v>
      </c>
      <c r="L27" s="1">
        <f>SUMIFS('4.2'!$D$5:$D$45,'4.2'!$A$5:$A$45,$A27,'4.2'!$E$5:$E$45,L$5)</f>
        <v>0</v>
      </c>
      <c r="M27" s="1">
        <f>SUMIFS('4.2'!$D$5:$D$45,'4.2'!$A$5:$A$45,$A27,'4.2'!$E$5:$E$45,M$5)</f>
        <v>0</v>
      </c>
      <c r="N27" s="1">
        <f>SUMIFS('4.2'!$D$5:$D$45,'4.2'!$A$5:$A$45,$A27,'4.2'!$E$5:$E$45,N$5)</f>
        <v>0</v>
      </c>
      <c r="O27" s="1">
        <f>SUMIFS('4.2'!$D$5:$D$45,'4.2'!$A$5:$A$45,$A27,'4.2'!$E$5:$E$45,O$5)</f>
        <v>0</v>
      </c>
      <c r="P27" s="1">
        <f>SUMIFS('4.2'!$D$5:$D$45,'4.2'!$A$5:$A$45,$A27,'4.2'!$E$5:$E$45,P$5)</f>
        <v>0</v>
      </c>
      <c r="Q27" s="1">
        <f>SUMIFS('4.2'!$D$5:$D$45,'4.2'!$A$5:$A$45,$A27,'4.2'!$E$5:$E$45,Q$5)</f>
        <v>0</v>
      </c>
      <c r="R27" s="1">
        <f t="shared" si="2"/>
        <v>0</v>
      </c>
    </row>
    <row r="28" spans="1:18" x14ac:dyDescent="0.3">
      <c r="A28" s="3" t="s">
        <v>153</v>
      </c>
      <c r="B28" s="1">
        <f>SUBTOTAL(9,B19:B27)</f>
        <v>-361500</v>
      </c>
      <c r="C28" s="1">
        <f t="shared" ref="C28:R28" si="3">SUBTOTAL(9,C19:C27)</f>
        <v>-3618000</v>
      </c>
      <c r="D28" s="1">
        <f t="shared" si="3"/>
        <v>0</v>
      </c>
      <c r="E28" s="1">
        <f t="shared" si="3"/>
        <v>0</v>
      </c>
      <c r="F28" s="1">
        <f t="shared" si="3"/>
        <v>0</v>
      </c>
      <c r="G28" s="1">
        <f t="shared" si="3"/>
        <v>0</v>
      </c>
      <c r="H28" s="1">
        <f t="shared" si="3"/>
        <v>0</v>
      </c>
      <c r="I28" s="1">
        <f t="shared" si="3"/>
        <v>0</v>
      </c>
      <c r="J28" s="1">
        <f t="shared" si="3"/>
        <v>0</v>
      </c>
      <c r="K28" s="1">
        <f t="shared" si="3"/>
        <v>0</v>
      </c>
      <c r="L28" s="1">
        <f t="shared" si="3"/>
        <v>0</v>
      </c>
      <c r="M28" s="1">
        <f t="shared" si="3"/>
        <v>0</v>
      </c>
      <c r="N28" s="1">
        <f t="shared" si="3"/>
        <v>0</v>
      </c>
      <c r="O28" s="1">
        <f t="shared" si="3"/>
        <v>0</v>
      </c>
      <c r="P28" s="1">
        <f t="shared" si="3"/>
        <v>0</v>
      </c>
      <c r="Q28" s="1">
        <f t="shared" si="3"/>
        <v>0</v>
      </c>
      <c r="R28" s="1">
        <f t="shared" si="3"/>
        <v>-3979500</v>
      </c>
    </row>
    <row r="29" spans="1:18" x14ac:dyDescent="0.3">
      <c r="A29" s="2" t="s">
        <v>132</v>
      </c>
      <c r="B29" s="1">
        <f>SUMIFS('4.2'!$D$5:$D$45,'4.2'!$A$5:$A$45,$A29,'4.2'!$E$5:$E$45,B$5)</f>
        <v>0</v>
      </c>
      <c r="C29" s="1">
        <f>SUMIFS('4.2'!$D$5:$D$45,'4.2'!$A$5:$A$45,$A29,'4.2'!$E$5:$E$45,C$5)</f>
        <v>0</v>
      </c>
      <c r="D29" s="1">
        <f>SUMIFS('4.2'!$D$5:$D$45,'4.2'!$A$5:$A$45,$A29,'4.2'!$E$5:$E$45,D$5)</f>
        <v>0</v>
      </c>
      <c r="E29" s="1">
        <f>SUMIFS('4.2'!$D$5:$D$45,'4.2'!$A$5:$A$45,$A29,'4.2'!$E$5:$E$45,E$5)</f>
        <v>0</v>
      </c>
      <c r="F29" s="1">
        <f>SUMIFS('4.2'!$D$5:$D$45,'4.2'!$A$5:$A$45,$A29,'4.2'!$E$5:$E$45,F$5)</f>
        <v>0</v>
      </c>
      <c r="G29" s="1">
        <f>SUMIFS('4.2'!$D$5:$D$45,'4.2'!$A$5:$A$45,$A29,'4.2'!$E$5:$E$45,G$5)</f>
        <v>0</v>
      </c>
      <c r="H29" s="1">
        <f>SUMIFS('4.2'!$D$5:$D$45,'4.2'!$A$5:$A$45,$A29,'4.2'!$E$5:$E$45,H$5)</f>
        <v>0</v>
      </c>
      <c r="I29" s="1">
        <f>SUMIFS('4.2'!$D$5:$D$45,'4.2'!$A$5:$A$45,$A29,'4.2'!$E$5:$E$45,I$5)</f>
        <v>0</v>
      </c>
      <c r="J29" s="1">
        <f>SUMIFS('4.2'!$D$5:$D$45,'4.2'!$A$5:$A$45,$A29,'4.2'!$E$5:$E$45,J$5)</f>
        <v>0</v>
      </c>
      <c r="K29" s="1">
        <f>SUMIFS('4.2'!$D$5:$D$45,'4.2'!$A$5:$A$45,$A29,'4.2'!$E$5:$E$45,K$5)</f>
        <v>0</v>
      </c>
      <c r="L29" s="1">
        <f>SUMIFS('4.2'!$D$5:$D$45,'4.2'!$A$5:$A$45,$A29,'4.2'!$E$5:$E$45,L$5)</f>
        <v>0</v>
      </c>
      <c r="M29" s="1">
        <f>SUMIFS('4.2'!$D$5:$D$45,'4.2'!$A$5:$A$45,$A29,'4.2'!$E$5:$E$45,M$5)</f>
        <v>0</v>
      </c>
      <c r="N29" s="1">
        <f>SUMIFS('4.2'!$D$5:$D$45,'4.2'!$A$5:$A$45,$A29,'4.2'!$E$5:$E$45,N$5)</f>
        <v>0</v>
      </c>
      <c r="O29" s="1">
        <f>SUMIFS('4.2'!$D$5:$D$45,'4.2'!$A$5:$A$45,$A29,'4.2'!$E$5:$E$45,O$5)</f>
        <v>0</v>
      </c>
      <c r="P29" s="1">
        <f>SUMIFS('4.2'!$D$5:$D$45,'4.2'!$A$5:$A$45,$A29,'4.2'!$E$5:$E$45,P$5)</f>
        <v>0</v>
      </c>
      <c r="Q29" s="1">
        <f>SUMIFS('4.2'!$D$5:$D$45,'4.2'!$A$5:$A$45,$A29,'4.2'!$E$5:$E$45,Q$5)</f>
        <v>0</v>
      </c>
      <c r="R29" s="1">
        <f t="shared" ref="R29:R35" si="4">SUM(B29:Q29)</f>
        <v>0</v>
      </c>
    </row>
    <row r="30" spans="1:18" x14ac:dyDescent="0.3">
      <c r="A30" s="2" t="s">
        <v>145</v>
      </c>
      <c r="B30" s="1">
        <f>SUMIFS('4.2'!$D$5:$D$45,'4.2'!$A$5:$A$45,$A30,'4.2'!$E$5:$E$45,B$5)</f>
        <v>0</v>
      </c>
      <c r="C30" s="1">
        <f>SUMIFS('4.2'!$D$5:$D$45,'4.2'!$A$5:$A$45,$A30,'4.2'!$E$5:$E$45,C$5)</f>
        <v>0</v>
      </c>
      <c r="D30" s="1">
        <f>SUMIFS('4.2'!$D$5:$D$45,'4.2'!$A$5:$A$45,$A30,'4.2'!$E$5:$E$45,D$5)</f>
        <v>0</v>
      </c>
      <c r="E30" s="1">
        <f>SUMIFS('4.2'!$D$5:$D$45,'4.2'!$A$5:$A$45,$A30,'4.2'!$E$5:$E$45,E$5)</f>
        <v>0</v>
      </c>
      <c r="F30" s="1">
        <f>SUMIFS('4.2'!$D$5:$D$45,'4.2'!$A$5:$A$45,$A30,'4.2'!$E$5:$E$45,F$5)</f>
        <v>0</v>
      </c>
      <c r="G30" s="1">
        <f>SUMIFS('4.2'!$D$5:$D$45,'4.2'!$A$5:$A$45,$A30,'4.2'!$E$5:$E$45,G$5)</f>
        <v>0</v>
      </c>
      <c r="H30" s="1">
        <f>SUMIFS('4.2'!$D$5:$D$45,'4.2'!$A$5:$A$45,$A30,'4.2'!$E$5:$E$45,H$5)</f>
        <v>0</v>
      </c>
      <c r="I30" s="1">
        <f>SUMIFS('4.2'!$D$5:$D$45,'4.2'!$A$5:$A$45,$A30,'4.2'!$E$5:$E$45,I$5)</f>
        <v>0</v>
      </c>
      <c r="J30" s="1">
        <f>SUMIFS('4.2'!$D$5:$D$45,'4.2'!$A$5:$A$45,$A30,'4.2'!$E$5:$E$45,J$5)</f>
        <v>0</v>
      </c>
      <c r="K30" s="1">
        <f>SUMIFS('4.2'!$D$5:$D$45,'4.2'!$A$5:$A$45,$A30,'4.2'!$E$5:$E$45,K$5)</f>
        <v>0</v>
      </c>
      <c r="L30" s="1">
        <f>SUMIFS('4.2'!$D$5:$D$45,'4.2'!$A$5:$A$45,$A30,'4.2'!$E$5:$E$45,L$5)</f>
        <v>0</v>
      </c>
      <c r="M30" s="1">
        <f>SUMIFS('4.2'!$D$5:$D$45,'4.2'!$A$5:$A$45,$A30,'4.2'!$E$5:$E$45,M$5)</f>
        <v>0</v>
      </c>
      <c r="N30" s="1">
        <f>SUMIFS('4.2'!$D$5:$D$45,'4.2'!$A$5:$A$45,$A30,'4.2'!$E$5:$E$45,N$5)</f>
        <v>0</v>
      </c>
      <c r="O30" s="1">
        <f>SUMIFS('4.2'!$D$5:$D$45,'4.2'!$A$5:$A$45,$A30,'4.2'!$E$5:$E$45,O$5)</f>
        <v>0</v>
      </c>
      <c r="P30" s="1">
        <f>SUMIFS('4.2'!$D$5:$D$45,'4.2'!$A$5:$A$45,$A30,'4.2'!$E$5:$E$45,P$5)</f>
        <v>0</v>
      </c>
      <c r="Q30" s="1">
        <f>SUMIFS('4.2'!$D$5:$D$45,'4.2'!$A$5:$A$45,$A30,'4.2'!$E$5:$E$45,Q$5)</f>
        <v>0</v>
      </c>
      <c r="R30" s="1">
        <f t="shared" si="4"/>
        <v>0</v>
      </c>
    </row>
    <row r="31" spans="1:18" x14ac:dyDescent="0.3">
      <c r="A31" s="2" t="s">
        <v>146</v>
      </c>
      <c r="B31" s="1">
        <f>SUMIFS('4.2'!$D$5:$D$45,'4.2'!$A$5:$A$45,$A31,'4.2'!$E$5:$E$45,B$5)</f>
        <v>0</v>
      </c>
      <c r="C31" s="1">
        <f>SUMIFS('4.2'!$D$5:$D$45,'4.2'!$A$5:$A$45,$A31,'4.2'!$E$5:$E$45,C$5)</f>
        <v>11670500</v>
      </c>
      <c r="D31" s="1">
        <f>SUMIFS('4.2'!$D$5:$D$45,'4.2'!$A$5:$A$45,$A31,'4.2'!$E$5:$E$45,D$5)</f>
        <v>0</v>
      </c>
      <c r="E31" s="1">
        <f>SUMIFS('4.2'!$D$5:$D$45,'4.2'!$A$5:$A$45,$A31,'4.2'!$E$5:$E$45,E$5)</f>
        <v>0</v>
      </c>
      <c r="F31" s="1">
        <f>SUMIFS('4.2'!$D$5:$D$45,'4.2'!$A$5:$A$45,$A31,'4.2'!$E$5:$E$45,F$5)</f>
        <v>0</v>
      </c>
      <c r="G31" s="1">
        <f>SUMIFS('4.2'!$D$5:$D$45,'4.2'!$A$5:$A$45,$A31,'4.2'!$E$5:$E$45,G$5)</f>
        <v>0</v>
      </c>
      <c r="H31" s="1">
        <f>SUMIFS('4.2'!$D$5:$D$45,'4.2'!$A$5:$A$45,$A31,'4.2'!$E$5:$E$45,H$5)</f>
        <v>0</v>
      </c>
      <c r="I31" s="1">
        <f>SUMIFS('4.2'!$D$5:$D$45,'4.2'!$A$5:$A$45,$A31,'4.2'!$E$5:$E$45,I$5)</f>
        <v>0</v>
      </c>
      <c r="J31" s="1">
        <f>SUMIFS('4.2'!$D$5:$D$45,'4.2'!$A$5:$A$45,$A31,'4.2'!$E$5:$E$45,J$5)</f>
        <v>0</v>
      </c>
      <c r="K31" s="1">
        <f>SUMIFS('4.2'!$D$5:$D$45,'4.2'!$A$5:$A$45,$A31,'4.2'!$E$5:$E$45,K$5)</f>
        <v>0</v>
      </c>
      <c r="L31" s="1">
        <f>SUMIFS('4.2'!$D$5:$D$45,'4.2'!$A$5:$A$45,$A31,'4.2'!$E$5:$E$45,L$5)</f>
        <v>0</v>
      </c>
      <c r="M31" s="1">
        <f>SUMIFS('4.2'!$D$5:$D$45,'4.2'!$A$5:$A$45,$A31,'4.2'!$E$5:$E$45,M$5)</f>
        <v>0</v>
      </c>
      <c r="N31" s="1">
        <f>SUMIFS('4.2'!$D$5:$D$45,'4.2'!$A$5:$A$45,$A31,'4.2'!$E$5:$E$45,N$5)</f>
        <v>0</v>
      </c>
      <c r="O31" s="1">
        <f>SUMIFS('4.2'!$D$5:$D$45,'4.2'!$A$5:$A$45,$A31,'4.2'!$E$5:$E$45,O$5)</f>
        <v>0</v>
      </c>
      <c r="P31" s="1">
        <f>SUMIFS('4.2'!$D$5:$D$45,'4.2'!$A$5:$A$45,$A31,'4.2'!$E$5:$E$45,P$5)</f>
        <v>0</v>
      </c>
      <c r="Q31" s="1">
        <f>SUMIFS('4.2'!$D$5:$D$45,'4.2'!$A$5:$A$45,$A31,'4.2'!$E$5:$E$45,Q$5)</f>
        <v>0</v>
      </c>
      <c r="R31" s="1">
        <f t="shared" si="4"/>
        <v>11670500</v>
      </c>
    </row>
    <row r="32" spans="1:18" x14ac:dyDescent="0.3">
      <c r="A32" s="2" t="s">
        <v>133</v>
      </c>
      <c r="B32" s="1">
        <f>SUMIFS('4.2'!$D$5:$D$45,'4.2'!$A$5:$A$45,$A32,'4.2'!$E$5:$E$45,B$5)</f>
        <v>0</v>
      </c>
      <c r="C32" s="1">
        <f>SUMIFS('4.2'!$D$5:$D$45,'4.2'!$A$5:$A$45,$A32,'4.2'!$E$5:$E$45,C$5)</f>
        <v>0</v>
      </c>
      <c r="D32" s="1">
        <f>SUMIFS('4.2'!$D$5:$D$45,'4.2'!$A$5:$A$45,$A32,'4.2'!$E$5:$E$45,D$5)</f>
        <v>0</v>
      </c>
      <c r="E32" s="1">
        <f>SUMIFS('4.2'!$D$5:$D$45,'4.2'!$A$5:$A$45,$A32,'4.2'!$E$5:$E$45,E$5)</f>
        <v>0</v>
      </c>
      <c r="F32" s="1">
        <f>SUMIFS('4.2'!$D$5:$D$45,'4.2'!$A$5:$A$45,$A32,'4.2'!$E$5:$E$45,F$5)</f>
        <v>0</v>
      </c>
      <c r="G32" s="1">
        <f>SUMIFS('4.2'!$D$5:$D$45,'4.2'!$A$5:$A$45,$A32,'4.2'!$E$5:$E$45,G$5)</f>
        <v>0</v>
      </c>
      <c r="H32" s="1">
        <f>SUMIFS('4.2'!$D$5:$D$45,'4.2'!$A$5:$A$45,$A32,'4.2'!$E$5:$E$45,H$5)</f>
        <v>0</v>
      </c>
      <c r="I32" s="1">
        <f>SUMIFS('4.2'!$D$5:$D$45,'4.2'!$A$5:$A$45,$A32,'4.2'!$E$5:$E$45,I$5)</f>
        <v>0</v>
      </c>
      <c r="J32" s="1">
        <f>SUMIFS('4.2'!$D$5:$D$45,'4.2'!$A$5:$A$45,$A32,'4.2'!$E$5:$E$45,J$5)</f>
        <v>0</v>
      </c>
      <c r="K32" s="1">
        <f>SUMIFS('4.2'!$D$5:$D$45,'4.2'!$A$5:$A$45,$A32,'4.2'!$E$5:$E$45,K$5)</f>
        <v>0</v>
      </c>
      <c r="L32" s="1">
        <f>SUMIFS('4.2'!$D$5:$D$45,'4.2'!$A$5:$A$45,$A32,'4.2'!$E$5:$E$45,L$5)</f>
        <v>0</v>
      </c>
      <c r="M32" s="1">
        <f>SUMIFS('4.2'!$D$5:$D$45,'4.2'!$A$5:$A$45,$A32,'4.2'!$E$5:$E$45,M$5)</f>
        <v>0</v>
      </c>
      <c r="N32" s="1">
        <f>SUMIFS('4.2'!$D$5:$D$45,'4.2'!$A$5:$A$45,$A32,'4.2'!$E$5:$E$45,N$5)</f>
        <v>0</v>
      </c>
      <c r="O32" s="1">
        <f>SUMIFS('4.2'!$D$5:$D$45,'4.2'!$A$5:$A$45,$A32,'4.2'!$E$5:$E$45,O$5)</f>
        <v>0</v>
      </c>
      <c r="P32" s="1">
        <f>SUMIFS('4.2'!$D$5:$D$45,'4.2'!$A$5:$A$45,$A32,'4.2'!$E$5:$E$45,P$5)</f>
        <v>0</v>
      </c>
      <c r="Q32" s="1">
        <f>SUMIFS('4.2'!$D$5:$D$45,'4.2'!$A$5:$A$45,$A32,'4.2'!$E$5:$E$45,Q$5)</f>
        <v>0</v>
      </c>
      <c r="R32" s="1">
        <f t="shared" si="4"/>
        <v>0</v>
      </c>
    </row>
    <row r="33" spans="1:18" x14ac:dyDescent="0.3">
      <c r="A33" s="2" t="s">
        <v>731</v>
      </c>
      <c r="B33" s="1">
        <f>SUMIFS('4.2'!$D$5:$D$45,'4.2'!$A$5:$A$45,$A33,'4.2'!$E$5:$E$45,B$5)</f>
        <v>0</v>
      </c>
      <c r="C33" s="1">
        <f>SUMIFS('4.2'!$D$5:$D$45,'4.2'!$A$5:$A$45,$A33,'4.2'!$E$5:$E$45,C$5)</f>
        <v>0</v>
      </c>
      <c r="D33" s="1">
        <f>SUMIFS('4.2'!$D$5:$D$45,'4.2'!$A$5:$A$45,$A33,'4.2'!$E$5:$E$45,D$5)</f>
        <v>0</v>
      </c>
      <c r="E33" s="1">
        <f>SUMIFS('4.2'!$D$5:$D$45,'4.2'!$A$5:$A$45,$A33,'4.2'!$E$5:$E$45,E$5)</f>
        <v>0</v>
      </c>
      <c r="F33" s="1">
        <f>SUMIFS('4.2'!$D$5:$D$45,'4.2'!$A$5:$A$45,$A33,'4.2'!$E$5:$E$45,F$5)</f>
        <v>0</v>
      </c>
      <c r="G33" s="1">
        <f>SUMIFS('4.2'!$D$5:$D$45,'4.2'!$A$5:$A$45,$A33,'4.2'!$E$5:$E$45,G$5)</f>
        <v>0</v>
      </c>
      <c r="H33" s="1">
        <f>SUMIFS('4.2'!$D$5:$D$45,'4.2'!$A$5:$A$45,$A33,'4.2'!$E$5:$E$45,H$5)</f>
        <v>0</v>
      </c>
      <c r="I33" s="1">
        <f>SUMIFS('4.2'!$D$5:$D$45,'4.2'!$A$5:$A$45,$A33,'4.2'!$E$5:$E$45,I$5)</f>
        <v>0</v>
      </c>
      <c r="J33" s="1">
        <f>SUMIFS('4.2'!$D$5:$D$45,'4.2'!$A$5:$A$45,$A33,'4.2'!$E$5:$E$45,J$5)</f>
        <v>0</v>
      </c>
      <c r="K33" s="1">
        <f>SUMIFS('4.2'!$D$5:$D$45,'4.2'!$A$5:$A$45,$A33,'4.2'!$E$5:$E$45,K$5)</f>
        <v>0</v>
      </c>
      <c r="L33" s="1">
        <f>SUMIFS('4.2'!$D$5:$D$45,'4.2'!$A$5:$A$45,$A33,'4.2'!$E$5:$E$45,L$5)</f>
        <v>0</v>
      </c>
      <c r="M33" s="1">
        <f>SUMIFS('4.2'!$D$5:$D$45,'4.2'!$A$5:$A$45,$A33,'4.2'!$E$5:$E$45,M$5)</f>
        <v>0</v>
      </c>
      <c r="N33" s="1">
        <f>SUMIFS('4.2'!$D$5:$D$45,'4.2'!$A$5:$A$45,$A33,'4.2'!$E$5:$E$45,N$5)</f>
        <v>0</v>
      </c>
      <c r="O33" s="1">
        <f>SUMIFS('4.2'!$D$5:$D$45,'4.2'!$A$5:$A$45,$A33,'4.2'!$E$5:$E$45,O$5)</f>
        <v>0</v>
      </c>
      <c r="P33" s="1">
        <f>SUMIFS('4.2'!$D$5:$D$45,'4.2'!$A$5:$A$45,$A33,'4.2'!$E$5:$E$45,P$5)</f>
        <v>0</v>
      </c>
      <c r="Q33" s="1">
        <f>SUMIFS('4.2'!$D$5:$D$45,'4.2'!$A$5:$A$45,$A33,'4.2'!$E$5:$E$45,Q$5)</f>
        <v>0</v>
      </c>
      <c r="R33" s="1">
        <f t="shared" si="4"/>
        <v>0</v>
      </c>
    </row>
    <row r="34" spans="1:18" x14ac:dyDescent="0.3">
      <c r="A34" s="2" t="s">
        <v>730</v>
      </c>
      <c r="B34" s="1">
        <f>SUMIFS('4.2'!$D$5:$D$45,'4.2'!$A$5:$A$45,$A34,'4.2'!$E$5:$E$45,B$5)</f>
        <v>9605000</v>
      </c>
      <c r="C34" s="1">
        <f>SUMIFS('4.2'!$D$5:$D$45,'4.2'!$A$5:$A$45,$A34,'4.2'!$E$5:$E$45,C$5)</f>
        <v>0</v>
      </c>
      <c r="D34" s="1">
        <f>SUMIFS('4.2'!$D$5:$D$45,'4.2'!$A$5:$A$45,$A34,'4.2'!$E$5:$E$45,D$5)</f>
        <v>0</v>
      </c>
      <c r="E34" s="1">
        <f>SUMIFS('4.2'!$D$5:$D$45,'4.2'!$A$5:$A$45,$A34,'4.2'!$E$5:$E$45,E$5)</f>
        <v>0</v>
      </c>
      <c r="F34" s="1">
        <f>SUMIFS('4.2'!$D$5:$D$45,'4.2'!$A$5:$A$45,$A34,'4.2'!$E$5:$E$45,F$5)</f>
        <v>0</v>
      </c>
      <c r="G34" s="1">
        <f>SUMIFS('4.2'!$D$5:$D$45,'4.2'!$A$5:$A$45,$A34,'4.2'!$E$5:$E$45,G$5)</f>
        <v>0</v>
      </c>
      <c r="H34" s="1">
        <f>SUMIFS('4.2'!$D$5:$D$45,'4.2'!$A$5:$A$45,$A34,'4.2'!$E$5:$E$45,H$5)</f>
        <v>0</v>
      </c>
      <c r="I34" s="1">
        <f>SUMIFS('4.2'!$D$5:$D$45,'4.2'!$A$5:$A$45,$A34,'4.2'!$E$5:$E$45,I$5)</f>
        <v>0</v>
      </c>
      <c r="J34" s="1">
        <f>SUMIFS('4.2'!$D$5:$D$45,'4.2'!$A$5:$A$45,$A34,'4.2'!$E$5:$E$45,J$5)</f>
        <v>0</v>
      </c>
      <c r="K34" s="1">
        <f>SUMIFS('4.2'!$D$5:$D$45,'4.2'!$A$5:$A$45,$A34,'4.2'!$E$5:$E$45,K$5)</f>
        <v>0</v>
      </c>
      <c r="L34" s="1">
        <f>SUMIFS('4.2'!$D$5:$D$45,'4.2'!$A$5:$A$45,$A34,'4.2'!$E$5:$E$45,L$5)</f>
        <v>0</v>
      </c>
      <c r="M34" s="1">
        <f>SUMIFS('4.2'!$D$5:$D$45,'4.2'!$A$5:$A$45,$A34,'4.2'!$E$5:$E$45,M$5)</f>
        <v>0</v>
      </c>
      <c r="N34" s="1">
        <f>SUMIFS('4.2'!$D$5:$D$45,'4.2'!$A$5:$A$45,$A34,'4.2'!$E$5:$E$45,N$5)</f>
        <v>0</v>
      </c>
      <c r="O34" s="1">
        <f>SUMIFS('4.2'!$D$5:$D$45,'4.2'!$A$5:$A$45,$A34,'4.2'!$E$5:$E$45,O$5)</f>
        <v>0</v>
      </c>
      <c r="P34" s="1">
        <f>SUMIFS('4.2'!$D$5:$D$45,'4.2'!$A$5:$A$45,$A34,'4.2'!$E$5:$E$45,P$5)</f>
        <v>0</v>
      </c>
      <c r="Q34" s="1">
        <f>SUMIFS('4.2'!$D$5:$D$45,'4.2'!$A$5:$A$45,$A34,'4.2'!$E$5:$E$45,Q$5)</f>
        <v>0</v>
      </c>
      <c r="R34" s="1">
        <f t="shared" si="4"/>
        <v>9605000</v>
      </c>
    </row>
    <row r="35" spans="1:18" x14ac:dyDescent="0.3">
      <c r="A35" s="2" t="s">
        <v>134</v>
      </c>
      <c r="B35" s="1">
        <f>SUMIFS('4.2'!$D$5:$D$45,'4.2'!$A$5:$A$45,$A35,'4.2'!$E$5:$E$45,B$5)</f>
        <v>0</v>
      </c>
      <c r="C35" s="1">
        <f>SUMIFS('4.2'!$D$5:$D$45,'4.2'!$A$5:$A$45,$A35,'4.2'!$E$5:$E$45,C$5)</f>
        <v>0</v>
      </c>
      <c r="D35" s="1">
        <f>SUMIFS('4.2'!$D$5:$D$45,'4.2'!$A$5:$A$45,$A35,'4.2'!$E$5:$E$45,D$5)</f>
        <v>0</v>
      </c>
      <c r="E35" s="1">
        <f>SUMIFS('4.2'!$D$5:$D$45,'4.2'!$A$5:$A$45,$A35,'4.2'!$E$5:$E$45,E$5)</f>
        <v>0</v>
      </c>
      <c r="F35" s="1">
        <f>SUMIFS('4.2'!$D$5:$D$45,'4.2'!$A$5:$A$45,$A35,'4.2'!$E$5:$E$45,F$5)</f>
        <v>0</v>
      </c>
      <c r="G35" s="1">
        <f>SUMIFS('4.2'!$D$5:$D$45,'4.2'!$A$5:$A$45,$A35,'4.2'!$E$5:$E$45,G$5)</f>
        <v>0</v>
      </c>
      <c r="H35" s="1">
        <f>SUMIFS('4.2'!$D$5:$D$45,'4.2'!$A$5:$A$45,$A35,'4.2'!$E$5:$E$45,H$5)</f>
        <v>0</v>
      </c>
      <c r="I35" s="1">
        <f>SUMIFS('4.2'!$D$5:$D$45,'4.2'!$A$5:$A$45,$A35,'4.2'!$E$5:$E$45,I$5)</f>
        <v>0</v>
      </c>
      <c r="J35" s="1">
        <f>SUMIFS('4.2'!$D$5:$D$45,'4.2'!$A$5:$A$45,$A35,'4.2'!$E$5:$E$45,J$5)</f>
        <v>0</v>
      </c>
      <c r="K35" s="1">
        <f>SUMIFS('4.2'!$D$5:$D$45,'4.2'!$A$5:$A$45,$A35,'4.2'!$E$5:$E$45,K$5)</f>
        <v>0</v>
      </c>
      <c r="L35" s="1">
        <f>SUMIFS('4.2'!$D$5:$D$45,'4.2'!$A$5:$A$45,$A35,'4.2'!$E$5:$E$45,L$5)</f>
        <v>0</v>
      </c>
      <c r="M35" s="1">
        <f>SUMIFS('4.2'!$D$5:$D$45,'4.2'!$A$5:$A$45,$A35,'4.2'!$E$5:$E$45,M$5)</f>
        <v>0</v>
      </c>
      <c r="N35" s="1">
        <f>SUMIFS('4.2'!$D$5:$D$45,'4.2'!$A$5:$A$45,$A35,'4.2'!$E$5:$E$45,N$5)</f>
        <v>0</v>
      </c>
      <c r="O35" s="1">
        <f>SUMIFS('4.2'!$D$5:$D$45,'4.2'!$A$5:$A$45,$A35,'4.2'!$E$5:$E$45,O$5)</f>
        <v>0</v>
      </c>
      <c r="P35" s="1">
        <f>SUMIFS('4.2'!$D$5:$D$45,'4.2'!$A$5:$A$45,$A35,'4.2'!$E$5:$E$45,P$5)</f>
        <v>0</v>
      </c>
      <c r="Q35" s="1">
        <f>SUMIFS('4.2'!$D$5:$D$45,'4.2'!$A$5:$A$45,$A35,'4.2'!$E$5:$E$45,Q$5)</f>
        <v>0</v>
      </c>
      <c r="R35" s="1">
        <f t="shared" si="4"/>
        <v>0</v>
      </c>
    </row>
    <row r="36" spans="1:18" x14ac:dyDescent="0.3">
      <c r="A36" s="2" t="s">
        <v>186</v>
      </c>
    </row>
    <row r="37" spans="1:18" x14ac:dyDescent="0.3">
      <c r="A37" s="3" t="s">
        <v>238</v>
      </c>
      <c r="B37" s="1">
        <f>SUMIFS('6.2'!$F$44:$F$46,'6.2'!$G$44:$G$46,$A37,'6.2'!$H$44:$H$46,B$5)</f>
        <v>0</v>
      </c>
      <c r="C37" s="1">
        <f>SUMIFS('6.2'!$F$44:$F$46,'6.2'!$G$44:$G$46,$A37,'6.2'!$H$44:$H$46,C$5)</f>
        <v>0</v>
      </c>
      <c r="D37" s="1">
        <f>SUMIFS('6.2'!$F$44:$F$46,'6.2'!$G$44:$G$46,$A37,'6.2'!$H$44:$H$46,D$5)</f>
        <v>2801161</v>
      </c>
      <c r="E37" s="1">
        <f>SUMIFS('6.2'!$F$44:$F$46,'6.2'!$G$44:$G$46,$A37,'6.2'!$H$44:$H$46,E$5)</f>
        <v>0</v>
      </c>
      <c r="F37" s="1">
        <f>SUMIFS('6.2'!$F$44:$F$46,'6.2'!$G$44:$G$46,$A37,'6.2'!$H$44:$H$46,F$5)</f>
        <v>0</v>
      </c>
      <c r="G37" s="1">
        <f>SUMIFS('6.2'!$F$44:$F$46,'6.2'!$G$44:$G$46,$A37,'6.2'!$H$44:$H$46,G$5)</f>
        <v>0</v>
      </c>
      <c r="H37" s="1">
        <f>SUMIFS('6.2'!$F$44:$F$46,'6.2'!$G$44:$G$46,$A37,'6.2'!$H$44:$H$46,H$5)</f>
        <v>0</v>
      </c>
      <c r="I37" s="1">
        <f>SUMIFS('6.2'!$F$44:$F$46,'6.2'!$G$44:$G$46,$A37,'6.2'!$H$44:$H$46,I$5)</f>
        <v>0</v>
      </c>
      <c r="J37" s="1">
        <f>SUMIFS('6.2'!$F$44:$F$46,'6.2'!$G$44:$G$46,$A37,'6.2'!$H$44:$H$46,J$5)</f>
        <v>0</v>
      </c>
      <c r="K37" s="1">
        <f>SUMIFS('6.2'!$F$44:$F$46,'6.2'!$G$44:$G$46,$A37,'6.2'!$H$44:$H$46,K$5)</f>
        <v>0</v>
      </c>
      <c r="L37" s="1">
        <f>SUMIFS('6.2'!$F$44:$F$46,'6.2'!$G$44:$G$46,$A37,'6.2'!$H$44:$H$46,L$5)</f>
        <v>0</v>
      </c>
      <c r="M37" s="1">
        <f>SUMIFS('6.2'!$F$44:$F$46,'6.2'!$G$44:$G$46,$A37,'6.2'!$H$44:$H$46,M$5)</f>
        <v>0</v>
      </c>
      <c r="N37" s="1">
        <f>SUMIFS('6.2'!$F$44:$F$46,'6.2'!$G$44:$G$46,$A37,'6.2'!$H$44:$H$46,N$5)</f>
        <v>0</v>
      </c>
      <c r="O37" s="1">
        <f>SUMIFS('6.2'!$F$44:$F$46,'6.2'!$G$44:$G$46,$A37,'6.2'!$H$44:$H$46,O$5)</f>
        <v>0</v>
      </c>
      <c r="P37" s="1">
        <f>SUMIFS('6.2'!$F$44:$F$46,'6.2'!$G$44:$G$46,$A37,'6.2'!$H$44:$H$46,P$5)</f>
        <v>0</v>
      </c>
      <c r="Q37" s="1">
        <f>SUMIFS('6.2'!$F$44:$F$46,'6.2'!$G$44:$G$46,$A37,'6.2'!$H$44:$H$46,Q$5)</f>
        <v>0</v>
      </c>
      <c r="R37" s="1">
        <f>SUM(B37:Q37)</f>
        <v>2801161</v>
      </c>
    </row>
    <row r="38" spans="1:18" x14ac:dyDescent="0.3">
      <c r="A38" s="3" t="s">
        <v>239</v>
      </c>
      <c r="B38" s="1">
        <f>SUMIFS('6.2'!$F$44:$F$46,'6.2'!$G$44:$G$46,$A38,'6.2'!$H$44:$H$46,B$5)</f>
        <v>0</v>
      </c>
      <c r="C38" s="1">
        <f>SUMIFS('6.2'!$F$44:$F$46,'6.2'!$G$44:$G$46,$A38,'6.2'!$H$44:$H$46,C$5)</f>
        <v>0</v>
      </c>
      <c r="D38" s="1">
        <f>SUMIFS('6.2'!$F$44:$F$46,'6.2'!$G$44:$G$46,$A38,'6.2'!$H$44:$H$46,D$5)</f>
        <v>0</v>
      </c>
      <c r="E38" s="1">
        <f>SUMIFS('6.2'!$F$44:$F$46,'6.2'!$G$44:$G$46,$A38,'6.2'!$H$44:$H$46,E$5)</f>
        <v>0</v>
      </c>
      <c r="F38" s="1">
        <f>SUMIFS('6.2'!$F$44:$F$46,'6.2'!$G$44:$G$46,$A38,'6.2'!$H$44:$H$46,F$5)</f>
        <v>0</v>
      </c>
      <c r="G38" s="1">
        <f>SUMIFS('6.2'!$F$44:$F$46,'6.2'!$G$44:$G$46,$A38,'6.2'!$H$44:$H$46,G$5)</f>
        <v>0</v>
      </c>
      <c r="H38" s="1">
        <f>SUMIFS('6.2'!$F$44:$F$46,'6.2'!$G$44:$G$46,$A38,'6.2'!$H$44:$H$46,H$5)</f>
        <v>0</v>
      </c>
      <c r="I38" s="1">
        <f>SUMIFS('6.2'!$F$44:$F$46,'6.2'!$G$44:$G$46,$A38,'6.2'!$H$44:$H$46,I$5)</f>
        <v>0</v>
      </c>
      <c r="J38" s="1">
        <f>SUMIFS('6.2'!$F$44:$F$46,'6.2'!$G$44:$G$46,$A38,'6.2'!$H$44:$H$46,J$5)</f>
        <v>0</v>
      </c>
      <c r="K38" s="1">
        <f>SUMIFS('6.2'!$F$44:$F$46,'6.2'!$G$44:$G$46,$A38,'6.2'!$H$44:$H$46,K$5)</f>
        <v>0</v>
      </c>
      <c r="L38" s="1">
        <f>SUMIFS('6.2'!$F$44:$F$46,'6.2'!$G$44:$G$46,$A38,'6.2'!$H$44:$H$46,L$5)</f>
        <v>0</v>
      </c>
      <c r="M38" s="1">
        <f>SUMIFS('6.2'!$F$44:$F$46,'6.2'!$G$44:$G$46,$A38,'6.2'!$H$44:$H$46,M$5)</f>
        <v>0</v>
      </c>
      <c r="N38" s="1">
        <f>SUMIFS('6.2'!$F$44:$F$46,'6.2'!$G$44:$G$46,$A38,'6.2'!$H$44:$H$46,N$5)</f>
        <v>0</v>
      </c>
      <c r="O38" s="1">
        <f>SUMIFS('6.2'!$F$44:$F$46,'6.2'!$G$44:$G$46,$A38,'6.2'!$H$44:$H$46,O$5)</f>
        <v>0</v>
      </c>
      <c r="P38" s="1">
        <f>SUMIFS('6.2'!$F$44:$F$46,'6.2'!$G$44:$G$46,$A38,'6.2'!$H$44:$H$46,P$5)</f>
        <v>0</v>
      </c>
      <c r="Q38" s="1">
        <f>SUMIFS('6.2'!$F$44:$F$46,'6.2'!$G$44:$G$46,$A38,'6.2'!$H$44:$H$46,Q$5)</f>
        <v>0</v>
      </c>
      <c r="R38" s="1">
        <f>SUM(B38:Q38)</f>
        <v>0</v>
      </c>
    </row>
    <row r="39" spans="1:18" x14ac:dyDescent="0.3">
      <c r="A39" s="3" t="s">
        <v>187</v>
      </c>
      <c r="B39" s="1">
        <f t="shared" ref="B39:R39" si="5">SUBTOTAL(9,B37:B38)</f>
        <v>0</v>
      </c>
      <c r="C39" s="1">
        <f t="shared" si="5"/>
        <v>0</v>
      </c>
      <c r="D39" s="1">
        <f t="shared" si="5"/>
        <v>2801161</v>
      </c>
      <c r="E39" s="1">
        <f t="shared" si="5"/>
        <v>0</v>
      </c>
      <c r="F39" s="1">
        <f t="shared" si="5"/>
        <v>0</v>
      </c>
      <c r="G39" s="1">
        <f t="shared" si="5"/>
        <v>0</v>
      </c>
      <c r="H39" s="1">
        <f t="shared" si="5"/>
        <v>0</v>
      </c>
      <c r="I39" s="1">
        <f t="shared" si="5"/>
        <v>0</v>
      </c>
      <c r="J39" s="1">
        <f t="shared" si="5"/>
        <v>0</v>
      </c>
      <c r="K39" s="1">
        <f t="shared" si="5"/>
        <v>0</v>
      </c>
      <c r="L39" s="1">
        <f t="shared" si="5"/>
        <v>0</v>
      </c>
      <c r="M39" s="1">
        <f t="shared" si="5"/>
        <v>0</v>
      </c>
      <c r="N39" s="1">
        <f t="shared" si="5"/>
        <v>0</v>
      </c>
      <c r="O39" s="1">
        <f t="shared" si="5"/>
        <v>0</v>
      </c>
      <c r="P39" s="1">
        <f t="shared" si="5"/>
        <v>0</v>
      </c>
      <c r="Q39" s="1">
        <f t="shared" si="5"/>
        <v>0</v>
      </c>
      <c r="R39" s="1">
        <f t="shared" si="5"/>
        <v>2801161</v>
      </c>
    </row>
    <row r="40" spans="1:18" x14ac:dyDescent="0.3">
      <c r="A40" s="2" t="s">
        <v>135</v>
      </c>
      <c r="B40" s="1">
        <f>SUMIFS('4.2'!$D$5:$D$45,'4.2'!$A$5:$A$45,$A40,'4.2'!$E$5:$E$45,B$5)</f>
        <v>1165500</v>
      </c>
      <c r="C40" s="1">
        <f>SUMIFS('4.2'!$D$5:$D$45,'4.2'!$A$5:$A$45,$A40,'4.2'!$E$5:$E$45,C$5)</f>
        <v>0</v>
      </c>
      <c r="D40" s="1">
        <f>SUMIFS('4.2'!$D$5:$D$45,'4.2'!$A$5:$A$45,$A40,'4.2'!$E$5:$E$45,D$5)</f>
        <v>0</v>
      </c>
      <c r="E40" s="1">
        <f>SUMIFS('4.2'!$D$5:$D$45,'4.2'!$A$5:$A$45,$A40,'4.2'!$E$5:$E$45,E$5)</f>
        <v>0</v>
      </c>
      <c r="F40" s="1">
        <f>SUMIFS('4.2'!$D$5:$D$45,'4.2'!$A$5:$A$45,$A40,'4.2'!$E$5:$E$45,F$5)</f>
        <v>0</v>
      </c>
      <c r="G40" s="1">
        <f>SUMIFS('4.2'!$D$5:$D$45,'4.2'!$A$5:$A$45,$A40,'4.2'!$E$5:$E$45,G$5)</f>
        <v>0</v>
      </c>
      <c r="H40" s="1">
        <f>SUMIFS('4.2'!$D$5:$D$45,'4.2'!$A$5:$A$45,$A40,'4.2'!$E$5:$E$45,H$5)</f>
        <v>0</v>
      </c>
      <c r="I40" s="1">
        <f>SUMIFS('4.2'!$D$5:$D$45,'4.2'!$A$5:$A$45,$A40,'4.2'!$E$5:$E$45,I$5)</f>
        <v>0</v>
      </c>
      <c r="J40" s="1">
        <f>SUMIFS('4.2'!$D$5:$D$45,'4.2'!$A$5:$A$45,$A40,'4.2'!$E$5:$E$45,J$5)</f>
        <v>0</v>
      </c>
      <c r="K40" s="1">
        <f>SUMIFS('4.2'!$D$5:$D$45,'4.2'!$A$5:$A$45,$A40,'4.2'!$E$5:$E$45,K$5)</f>
        <v>0</v>
      </c>
      <c r="L40" s="1">
        <f>SUMIFS('4.2'!$D$5:$D$45,'4.2'!$A$5:$A$45,$A40,'4.2'!$E$5:$E$45,L$5)</f>
        <v>0</v>
      </c>
      <c r="M40" s="1">
        <f>SUMIFS('4.2'!$D$5:$D$45,'4.2'!$A$5:$A$45,$A40,'4.2'!$E$5:$E$45,M$5)</f>
        <v>0</v>
      </c>
      <c r="N40" s="1">
        <f>SUMIFS('4.2'!$D$5:$D$45,'4.2'!$A$5:$A$45,$A40,'4.2'!$E$5:$E$45,N$5)</f>
        <v>0</v>
      </c>
      <c r="O40" s="1">
        <f>SUMIFS('4.2'!$D$5:$D$45,'4.2'!$A$5:$A$45,$A40,'4.2'!$E$5:$E$45,O$5)</f>
        <v>0</v>
      </c>
      <c r="P40" s="1">
        <f>SUMIFS('4.2'!$D$5:$D$45,'4.2'!$A$5:$A$45,$A40,'4.2'!$E$5:$E$45,P$5)</f>
        <v>0</v>
      </c>
      <c r="Q40" s="1">
        <f>SUMIFS('4.2'!$D$5:$D$45,'4.2'!$A$5:$A$45,$A40,'4.2'!$E$5:$E$45,Q$5)</f>
        <v>0</v>
      </c>
      <c r="R40" s="1">
        <f>SUM(B40:Q40)</f>
        <v>1165500</v>
      </c>
    </row>
    <row r="41" spans="1:18" x14ac:dyDescent="0.3">
      <c r="A41" s="2" t="s">
        <v>136</v>
      </c>
      <c r="R41" s="1">
        <f>SUM(B41:Q41)</f>
        <v>0</v>
      </c>
    </row>
    <row r="42" spans="1:18" x14ac:dyDescent="0.3">
      <c r="A42" s="3" t="s">
        <v>177</v>
      </c>
      <c r="B42" s="1">
        <f>SUMIFS('4.2'!$D$5:$D$45,'4.2'!$A$5:$A$45,$A42,'4.2'!$E$5:$E$45,B$5)</f>
        <v>0</v>
      </c>
      <c r="C42" s="1">
        <f>SUMIFS('4.2'!$D$5:$D$45,'4.2'!$A$5:$A$45,$A42,'4.2'!$E$5:$E$45,C$5)</f>
        <v>0</v>
      </c>
      <c r="D42" s="1">
        <f>SUMIFS('4.2'!$D$5:$D$45,'4.2'!$A$5:$A$45,$A42,'4.2'!$E$5:$E$45,D$5)</f>
        <v>0</v>
      </c>
      <c r="E42" s="1">
        <f>SUMIFS('4.2'!$D$5:$D$45,'4.2'!$A$5:$A$45,$A42,'4.2'!$E$5:$E$45,E$5)</f>
        <v>0</v>
      </c>
      <c r="F42" s="1">
        <f>SUMIFS('4.2'!$D$5:$D$45,'4.2'!$A$5:$A$45,$A42,'4.2'!$E$5:$E$45,F$5)</f>
        <v>0</v>
      </c>
      <c r="G42" s="1">
        <f>SUMIFS('4.2'!$D$5:$D$45,'4.2'!$A$5:$A$45,$A42,'4.2'!$E$5:$E$45,G$5)</f>
        <v>0</v>
      </c>
      <c r="H42" s="1">
        <f>SUMIFS('4.2'!$D$5:$D$45,'4.2'!$A$5:$A$45,$A42,'4.2'!$E$5:$E$45,H$5)</f>
        <v>0</v>
      </c>
      <c r="I42" s="1">
        <f>SUMIFS('4.2'!$D$5:$D$45,'4.2'!$A$5:$A$45,$A42,'4.2'!$E$5:$E$45,I$5)</f>
        <v>0</v>
      </c>
      <c r="J42" s="1">
        <f>SUMIFS('4.2'!$D$5:$D$45,'4.2'!$A$5:$A$45,$A42,'4.2'!$E$5:$E$45,J$5)</f>
        <v>0</v>
      </c>
      <c r="K42" s="1">
        <f>SUMIFS('4.2'!$D$5:$D$45,'4.2'!$A$5:$A$45,$A42,'4.2'!$E$5:$E$45,K$5)</f>
        <v>0</v>
      </c>
      <c r="L42" s="1">
        <f>SUMIFS('4.2'!$D$5:$D$45,'4.2'!$A$5:$A$45,$A42,'4.2'!$E$5:$E$45,L$5)</f>
        <v>0</v>
      </c>
      <c r="M42" s="1">
        <f>SUMIFS('4.2'!$D$5:$D$45,'4.2'!$A$5:$A$45,$A42,'4.2'!$E$5:$E$45,M$5)</f>
        <v>0</v>
      </c>
      <c r="N42" s="1">
        <f>SUMIFS('4.2'!$D$5:$D$45,'4.2'!$A$5:$A$45,$A42,'4.2'!$E$5:$E$45,N$5)</f>
        <v>0</v>
      </c>
      <c r="O42" s="1">
        <f>SUMIFS('4.2'!$D$5:$D$45,'4.2'!$A$5:$A$45,$A42,'4.2'!$E$5:$E$45,O$5)</f>
        <v>0</v>
      </c>
      <c r="P42" s="1">
        <f>SUMIFS('4.2'!$D$5:$D$45,'4.2'!$A$5:$A$45,$A42,'4.2'!$E$5:$E$45,P$5)</f>
        <v>0</v>
      </c>
      <c r="Q42" s="1">
        <f>SUMIFS('4.2'!$D$5:$D$45,'4.2'!$A$5:$A$45,$A42,'4.2'!$E$5:$E$45,Q$5)</f>
        <v>0</v>
      </c>
      <c r="R42" s="1">
        <f>SUM(B42:Q42)</f>
        <v>0</v>
      </c>
    </row>
    <row r="43" spans="1:18" x14ac:dyDescent="0.3">
      <c r="A43" s="3" t="s">
        <v>241</v>
      </c>
      <c r="B43" s="1">
        <f>SUMIFS('4.2'!$D$5:$D$45,'4.2'!$A$5:$A$45,$A43,'4.2'!$E$5:$E$45,B$5)</f>
        <v>0</v>
      </c>
      <c r="C43" s="1">
        <f>SUMIFS('4.2'!$D$5:$D$45,'4.2'!$A$5:$A$45,$A43,'4.2'!$E$5:$E$45,C$5)</f>
        <v>0</v>
      </c>
      <c r="D43" s="1">
        <f>SUMIFS('4.2'!$D$5:$D$45,'4.2'!$A$5:$A$45,$A43,'4.2'!$E$5:$E$45,D$5)</f>
        <v>0</v>
      </c>
      <c r="E43" s="1">
        <f>SUMIFS('4.2'!$D$5:$D$45,'4.2'!$A$5:$A$45,$A43,'4.2'!$E$5:$E$45,E$5)</f>
        <v>0</v>
      </c>
      <c r="F43" s="1">
        <f>SUMIFS('4.2'!$D$5:$D$45,'4.2'!$A$5:$A$45,$A43,'4.2'!$E$5:$E$45,F$5)</f>
        <v>0</v>
      </c>
      <c r="G43" s="1">
        <f>SUMIFS('4.2'!$D$5:$D$45,'4.2'!$A$5:$A$45,$A43,'4.2'!$E$5:$E$45,G$5)</f>
        <v>0</v>
      </c>
      <c r="H43" s="1">
        <f>SUMIFS('4.2'!$D$5:$D$45,'4.2'!$A$5:$A$45,$A43,'4.2'!$E$5:$E$45,H$5)</f>
        <v>0</v>
      </c>
      <c r="I43" s="1">
        <f>SUMIFS('4.2'!$D$5:$D$45,'4.2'!$A$5:$A$45,$A43,'4.2'!$E$5:$E$45,I$5)</f>
        <v>0</v>
      </c>
      <c r="J43" s="1">
        <f>SUMIFS('4.2'!$D$5:$D$45,'4.2'!$A$5:$A$45,$A43,'4.2'!$E$5:$E$45,J$5)</f>
        <v>0</v>
      </c>
      <c r="K43" s="1">
        <f>SUMIFS('4.2'!$D$5:$D$45,'4.2'!$A$5:$A$45,$A43,'4.2'!$E$5:$E$45,K$5)</f>
        <v>0</v>
      </c>
      <c r="L43" s="1">
        <f>SUMIFS('4.2'!$D$5:$D$45,'4.2'!$A$5:$A$45,$A43,'4.2'!$E$5:$E$45,L$5)</f>
        <v>0</v>
      </c>
      <c r="M43" s="1">
        <f>SUMIFS('4.2'!$D$5:$D$45,'4.2'!$A$5:$A$45,$A43,'4.2'!$E$5:$E$45,M$5)</f>
        <v>0</v>
      </c>
      <c r="N43" s="1">
        <f>SUMIFS('4.2'!$D$5:$D$45,'4.2'!$A$5:$A$45,$A43,'4.2'!$E$5:$E$45,N$5)</f>
        <v>0</v>
      </c>
      <c r="O43" s="1">
        <f>SUMIFS('4.2'!$D$5:$D$45,'4.2'!$A$5:$A$45,$A43,'4.2'!$E$5:$E$45,O$5)</f>
        <v>0</v>
      </c>
      <c r="P43" s="1">
        <f>SUMIFS('4.2'!$D$5:$D$45,'4.2'!$A$5:$A$45,$A43,'4.2'!$E$5:$E$45,P$5)</f>
        <v>0</v>
      </c>
      <c r="Q43" s="1">
        <f>SUMIFS('4.2'!$D$5:$D$45,'4.2'!$A$5:$A$45,$A43,'4.2'!$E$5:$E$45,Q$5)</f>
        <v>0</v>
      </c>
      <c r="R43" s="1">
        <f>SUM(B43:Q43)</f>
        <v>0</v>
      </c>
    </row>
    <row r="44" spans="1:18" x14ac:dyDescent="0.3">
      <c r="A44" s="3" t="s">
        <v>242</v>
      </c>
      <c r="B44" s="1">
        <f>SUMIFS('4.2'!$D$5:$D$45,'4.2'!$A$5:$A$45,$A44,'4.2'!$E$5:$E$45,B$5)</f>
        <v>0</v>
      </c>
      <c r="C44" s="1">
        <f>SUMIFS('4.2'!$D$5:$D$45,'4.2'!$A$5:$A$45,$A44,'4.2'!$E$5:$E$45,C$5)</f>
        <v>0</v>
      </c>
      <c r="D44" s="1">
        <f>SUMIFS('4.2'!$D$5:$D$45,'4.2'!$A$5:$A$45,$A44,'4.2'!$E$5:$E$45,D$5)</f>
        <v>0</v>
      </c>
      <c r="E44" s="1">
        <f>SUMIFS('4.2'!$D$5:$D$45,'4.2'!$A$5:$A$45,$A44,'4.2'!$E$5:$E$45,E$5)</f>
        <v>0</v>
      </c>
      <c r="F44" s="1">
        <f>SUMIFS('4.2'!$D$5:$D$45,'4.2'!$A$5:$A$45,$A44,'4.2'!$E$5:$E$45,F$5)</f>
        <v>0</v>
      </c>
      <c r="G44" s="1">
        <f>SUMIFS('4.2'!$D$5:$D$45,'4.2'!$A$5:$A$45,$A44,'4.2'!$E$5:$E$45,G$5)</f>
        <v>0</v>
      </c>
      <c r="H44" s="1">
        <f>SUMIFS('4.2'!$D$5:$D$45,'4.2'!$A$5:$A$45,$A44,'4.2'!$E$5:$E$45,H$5)</f>
        <v>0</v>
      </c>
      <c r="I44" s="1">
        <f>SUMIFS('4.2'!$D$5:$D$45,'4.2'!$A$5:$A$45,$A44,'4.2'!$E$5:$E$45,I$5)</f>
        <v>0</v>
      </c>
      <c r="J44" s="1">
        <f>SUMIFS('4.2'!$D$5:$D$45,'4.2'!$A$5:$A$45,$A44,'4.2'!$E$5:$E$45,J$5)</f>
        <v>0</v>
      </c>
      <c r="K44" s="1">
        <f>SUMIFS('4.2'!$D$5:$D$45,'4.2'!$A$5:$A$45,$A44,'4.2'!$E$5:$E$45,K$5)</f>
        <v>0</v>
      </c>
      <c r="L44" s="1">
        <f>SUMIFS('4.2'!$D$5:$D$45,'4.2'!$A$5:$A$45,$A44,'4.2'!$E$5:$E$45,L$5)</f>
        <v>0</v>
      </c>
      <c r="M44" s="1">
        <f>SUMIFS('4.2'!$D$5:$D$45,'4.2'!$A$5:$A$45,$A44,'4.2'!$E$5:$E$45,M$5)</f>
        <v>0</v>
      </c>
      <c r="N44" s="1">
        <f>SUMIFS('4.2'!$D$5:$D$45,'4.2'!$A$5:$A$45,$A44,'4.2'!$E$5:$E$45,N$5)</f>
        <v>0</v>
      </c>
      <c r="O44" s="1">
        <f>SUMIFS('4.2'!$D$5:$D$45,'4.2'!$A$5:$A$45,$A44,'4.2'!$E$5:$E$45,O$5)</f>
        <v>0</v>
      </c>
      <c r="P44" s="1">
        <f>SUMIFS('4.2'!$D$5:$D$45,'4.2'!$A$5:$A$45,$A44,'4.2'!$E$5:$E$45,P$5)</f>
        <v>0</v>
      </c>
      <c r="Q44" s="1">
        <f>SUMIFS('4.2'!$D$5:$D$45,'4.2'!$A$5:$A$45,$A44,'4.2'!$E$5:$E$45,Q$5)</f>
        <v>0</v>
      </c>
      <c r="R44" s="1">
        <f>SUM(B44:Q44)</f>
        <v>0</v>
      </c>
    </row>
    <row r="45" spans="1:18" x14ac:dyDescent="0.3">
      <c r="A45" s="3" t="s">
        <v>178</v>
      </c>
      <c r="B45" s="1">
        <f>SUBTOTAL(9,B42:B44)</f>
        <v>0</v>
      </c>
      <c r="C45" s="1">
        <f t="shared" ref="C45:R45" si="6">SUBTOTAL(9,C42:C44)</f>
        <v>0</v>
      </c>
      <c r="D45" s="1">
        <f t="shared" si="6"/>
        <v>0</v>
      </c>
      <c r="E45" s="1">
        <f t="shared" si="6"/>
        <v>0</v>
      </c>
      <c r="F45" s="1">
        <f t="shared" si="6"/>
        <v>0</v>
      </c>
      <c r="G45" s="1">
        <f t="shared" si="6"/>
        <v>0</v>
      </c>
      <c r="H45" s="1">
        <f t="shared" si="6"/>
        <v>0</v>
      </c>
      <c r="I45" s="1">
        <f t="shared" si="6"/>
        <v>0</v>
      </c>
      <c r="J45" s="1">
        <f t="shared" si="6"/>
        <v>0</v>
      </c>
      <c r="K45" s="1">
        <f t="shared" si="6"/>
        <v>0</v>
      </c>
      <c r="L45" s="1">
        <f t="shared" si="6"/>
        <v>0</v>
      </c>
      <c r="M45" s="1">
        <f t="shared" si="6"/>
        <v>0</v>
      </c>
      <c r="N45" s="1">
        <f t="shared" si="6"/>
        <v>0</v>
      </c>
      <c r="O45" s="1">
        <f t="shared" si="6"/>
        <v>0</v>
      </c>
      <c r="P45" s="1">
        <f t="shared" si="6"/>
        <v>0</v>
      </c>
      <c r="Q45" s="1">
        <f t="shared" si="6"/>
        <v>0</v>
      </c>
      <c r="R45" s="1">
        <f t="shared" si="6"/>
        <v>0</v>
      </c>
    </row>
    <row r="46" spans="1:18" x14ac:dyDescent="0.3">
      <c r="A46" s="2" t="s">
        <v>214</v>
      </c>
      <c r="B46" s="1">
        <f>SUBTOTAL(9,B6:B45)</f>
        <v>42620917</v>
      </c>
      <c r="C46" s="1">
        <f>SUBTOTAL(9,C6:C45)</f>
        <v>8052500</v>
      </c>
      <c r="D46" s="1">
        <f>SUBTOTAL(9,D6:D45)</f>
        <v>51901946</v>
      </c>
      <c r="E46" s="1">
        <f>SUBTOTAL(9,E6:E45)</f>
        <v>4278428.5</v>
      </c>
      <c r="F46" s="1">
        <f>SUBTOTAL(9,F6:F45)</f>
        <v>0</v>
      </c>
      <c r="G46" s="1">
        <f>SUBTOTAL(9,G6:G45)</f>
        <v>75710095.5</v>
      </c>
      <c r="H46" s="1">
        <f>SUBTOTAL(9,H6:H45)</f>
        <v>0</v>
      </c>
      <c r="I46" s="1">
        <f>SUBTOTAL(9,I6:I45)</f>
        <v>44322477.5</v>
      </c>
      <c r="J46" s="1">
        <f>SUBTOTAL(9,J6:J45)</f>
        <v>12313454.5</v>
      </c>
      <c r="K46" s="1">
        <f>SUBTOTAL(9,K6:K45)</f>
        <v>0</v>
      </c>
      <c r="L46" s="1">
        <f>SUBTOTAL(9,L6:L45)</f>
        <v>0</v>
      </c>
      <c r="M46" s="1">
        <f>SUBTOTAL(9,M6:M45)</f>
        <v>0</v>
      </c>
      <c r="N46" s="1">
        <f>SUBTOTAL(9,N6:N45)</f>
        <v>0</v>
      </c>
      <c r="O46" s="1">
        <f>SUBTOTAL(9,O6:O45)</f>
        <v>0</v>
      </c>
      <c r="P46" s="1">
        <f>SUBTOTAL(9,P6:P45)</f>
        <v>0</v>
      </c>
      <c r="Q46" s="1">
        <f>SUBTOTAL(9,Q6:Q45)</f>
        <v>8177072</v>
      </c>
      <c r="R46" s="1">
        <f>SUBTOTAL(9,R6:R45)</f>
        <v>247376891</v>
      </c>
    </row>
    <row r="48" spans="1:18" s="5" customFormat="1" x14ac:dyDescent="0.3">
      <c r="A48" s="5" t="s">
        <v>225</v>
      </c>
      <c r="B48" s="5" t="s">
        <v>226</v>
      </c>
      <c r="M48" s="5" t="s">
        <v>227</v>
      </c>
      <c r="N48" s="5" t="s">
        <v>228</v>
      </c>
    </row>
    <row r="49" spans="1:18" s="9" customFormat="1" ht="67.5" x14ac:dyDescent="0.25">
      <c r="B49" s="17" t="str">
        <f t="array" ref="B49:O49">TRANSPOSE(A94:A107)</f>
        <v>Substations 1841 Account</v>
      </c>
      <c r="C49" s="17" t="str">
        <v>ECC</v>
      </c>
      <c r="D49" s="17" t="str">
        <v>SCADA</v>
      </c>
      <c r="E49" s="17" t="str">
        <v>Primary &amp; Secondary</v>
      </c>
      <c r="F49" s="17" t="str">
        <v>Distribution Facilities</v>
      </c>
      <c r="G49" s="17" t="str">
        <v>Distribution Lines</v>
      </c>
      <c r="H49" s="17" t="str">
        <v>Distribution Network</v>
      </c>
      <c r="I49" s="17" t="str">
        <v>Transportation</v>
      </c>
      <c r="J49" s="17" t="str">
        <v>Labour</v>
      </c>
      <c r="K49" s="17" t="str">
        <v>Head Office</v>
      </c>
      <c r="L49" s="17" t="str">
        <v>Contributions Related Distribution Plant</v>
      </c>
      <c r="M49" s="17" t="str">
        <v>Net Plant</v>
      </c>
      <c r="N49" s="17" t="str">
        <v>Rate Base Excluding WC</v>
      </c>
      <c r="O49" s="17" t="str">
        <v>O&amp;M</v>
      </c>
      <c r="P49" s="17"/>
      <c r="Q49" s="17"/>
      <c r="R49" s="17" t="s">
        <v>214</v>
      </c>
    </row>
    <row r="50" spans="1:18" x14ac:dyDescent="0.3">
      <c r="A50" s="1" t="s">
        <v>129</v>
      </c>
    </row>
    <row r="51" spans="1:18" x14ac:dyDescent="0.3">
      <c r="A51" s="3" t="s">
        <v>172</v>
      </c>
      <c r="B51" s="1">
        <f>SUMIFS('6.1'!$L$6:$L$74,Assets_PresHeader,$A51,Assets_BasisFunc,B$49)</f>
        <v>0</v>
      </c>
      <c r="C51" s="1">
        <f>SUMIFS('6.1'!$L$6:$L$74,Assets_PresHeader,$A51,Assets_BasisFunc,C$49)</f>
        <v>0</v>
      </c>
      <c r="D51" s="1">
        <f>SUMIFS('6.1'!$L$6:$L$74,Assets_PresHeader,$A51,Assets_BasisFunc,D$49)</f>
        <v>0</v>
      </c>
      <c r="E51" s="1">
        <f>SUMIFS('6.1'!$L$6:$L$74,Assets_PresHeader,$A51,Assets_BasisFunc,E$49)</f>
        <v>0</v>
      </c>
      <c r="F51" s="1">
        <f>SUMIFS('6.1'!$L$6:$L$74,Assets_PresHeader,$A51,Assets_BasisFunc,F$49)</f>
        <v>0</v>
      </c>
      <c r="G51" s="1">
        <f>SUMIFS('6.1'!$L$6:$L$74,Assets_PresHeader,$A51,Assets_BasisFunc,G$49)</f>
        <v>0</v>
      </c>
      <c r="H51" s="1">
        <f>SUMIFS('6.1'!$L$6:$L$74,Assets_PresHeader,$A51,Assets_BasisFunc,H$49)</f>
        <v>0</v>
      </c>
      <c r="I51" s="1">
        <f>SUMIFS('6.1'!$L$6:$L$74,Assets_PresHeader,$A51,Assets_BasisFunc,I$49)</f>
        <v>0</v>
      </c>
      <c r="J51" s="1">
        <f>SUMIFS('6.1'!$L$6:$L$74,Assets_PresHeader,$A51,Assets_BasisFunc,J$49)</f>
        <v>0</v>
      </c>
      <c r="K51" s="1">
        <f>SUMIFS('6.1'!$L$6:$L$74,Assets_PresHeader,$A51,Assets_BasisFunc,K$49)</f>
        <v>0</v>
      </c>
      <c r="L51" s="1">
        <f>SUMIFS('6.1'!$L$6:$L$74,Assets_PresHeader,$A51,Assets_BasisFunc,L$49)</f>
        <v>0</v>
      </c>
      <c r="M51" s="1">
        <f>SUMIFS('6.1'!$L$6:$L$74,Assets_PresHeader,$A51,Assets_BasisFunc,M$49)</f>
        <v>0</v>
      </c>
      <c r="N51" s="1">
        <f>SUMIFS('6.1'!$L$6:$L$74,Assets_PresHeader,$A51,Assets_BasisFunc,N$49)</f>
        <v>0</v>
      </c>
      <c r="O51" s="1">
        <f>SUMIFS('6.1'!$L$6:$L$74,Assets_PresHeader,$A51,Assets_BasisFunc,O$49)</f>
        <v>0</v>
      </c>
      <c r="P51" s="1">
        <f>SUMIFS('6.1'!$L$6:$L$74,Assets_PresHeader,$A51,Assets_BasisFunc,P$49)</f>
        <v>0</v>
      </c>
      <c r="Q51" s="1">
        <f>SUMIFS('6.1'!$L$6:$L$74,Assets_PresHeader,$A51,Assets_BasisFunc,Q$49)</f>
        <v>0</v>
      </c>
      <c r="R51" s="1">
        <f>SUM(B51:Q51)</f>
        <v>0</v>
      </c>
    </row>
    <row r="52" spans="1:18" x14ac:dyDescent="0.3">
      <c r="A52" s="3" t="s">
        <v>173</v>
      </c>
    </row>
    <row r="53" spans="1:18" x14ac:dyDescent="0.3">
      <c r="A53" s="4" t="s">
        <v>13</v>
      </c>
      <c r="B53" s="1">
        <f>SUMIFS('6.1'!$L$6:$L$74,Assets_PresHeader,$A53,Assets_BasisFunc,B$49)</f>
        <v>56032334</v>
      </c>
      <c r="C53" s="1">
        <f>SUMIFS('6.1'!$L$6:$L$74,Assets_PresHeader,$A53,Assets_BasisFunc,C$49)</f>
        <v>0</v>
      </c>
      <c r="D53" s="1">
        <f>SUMIFS('6.1'!$L$6:$L$74,Assets_PresHeader,$A53,Assets_BasisFunc,D$49)</f>
        <v>0</v>
      </c>
      <c r="E53" s="1">
        <f>SUMIFS('6.1'!$L$6:$L$74,Assets_PresHeader,$A53,Assets_BasisFunc,E$49)</f>
        <v>0</v>
      </c>
      <c r="F53" s="1">
        <f>SUMIFS('6.1'!$L$6:$L$74,Assets_PresHeader,$A53,Assets_BasisFunc,F$49)</f>
        <v>0</v>
      </c>
      <c r="G53" s="1">
        <f>SUMIFS('6.1'!$L$6:$L$74,Assets_PresHeader,$A53,Assets_BasisFunc,G$49)</f>
        <v>0</v>
      </c>
      <c r="H53" s="1">
        <f>SUMIFS('6.1'!$L$6:$L$74,Assets_PresHeader,$A53,Assets_BasisFunc,H$49)</f>
        <v>0</v>
      </c>
      <c r="I53" s="1">
        <f>SUMIFS('6.1'!$L$6:$L$74,Assets_PresHeader,$A53,Assets_BasisFunc,I$49)</f>
        <v>0</v>
      </c>
      <c r="J53" s="1">
        <f>SUMIFS('6.1'!$L$6:$L$74,Assets_PresHeader,$A53,Assets_BasisFunc,J$49)</f>
        <v>0</v>
      </c>
      <c r="K53" s="1">
        <f>SUMIFS('6.1'!$L$6:$L$74,Assets_PresHeader,$A53,Assets_BasisFunc,K$49)</f>
        <v>0</v>
      </c>
      <c r="L53" s="1">
        <f>SUMIFS('6.1'!$L$6:$L$74,Assets_PresHeader,$A53,Assets_BasisFunc,L$49)</f>
        <v>0</v>
      </c>
      <c r="M53" s="1">
        <f>SUMIFS('6.1'!$L$6:$L$74,Assets_PresHeader,$A53,Assets_BasisFunc,M$49)</f>
        <v>0</v>
      </c>
      <c r="N53" s="1">
        <f>SUMIFS('6.1'!$L$6:$L$74,Assets_PresHeader,$A53,Assets_BasisFunc,N$49)</f>
        <v>0</v>
      </c>
      <c r="O53" s="1">
        <f>SUMIFS('6.1'!$L$6:$L$74,Assets_PresHeader,$A53,Assets_BasisFunc,O$49)</f>
        <v>0</v>
      </c>
      <c r="P53" s="1">
        <f>SUMIFS('6.1'!$L$6:$L$74,Assets_PresHeader,$A53,Assets_BasisFunc,P$49)</f>
        <v>0</v>
      </c>
      <c r="Q53" s="1">
        <f>SUMIFS('6.1'!$L$6:$L$74,Assets_PresHeader,$A53,Assets_BasisFunc,Q$49)</f>
        <v>0</v>
      </c>
      <c r="R53" s="1">
        <f>SUM(B53:Q53)</f>
        <v>56032334</v>
      </c>
    </row>
    <row r="54" spans="1:18" x14ac:dyDescent="0.3">
      <c r="A54" s="4" t="s">
        <v>140</v>
      </c>
      <c r="B54" s="1">
        <f>SUMIFS('6.1'!$L$6:$L$74,Assets_PresHeader,$A54,Assets_BasisFunc,B$49)</f>
        <v>0</v>
      </c>
      <c r="C54" s="1">
        <f>SUMIFS('6.1'!$L$6:$L$74,Assets_PresHeader,$A54,Assets_BasisFunc,C$49)</f>
        <v>0</v>
      </c>
      <c r="D54" s="1">
        <f>SUMIFS('6.1'!$L$6:$L$74,Assets_PresHeader,$A54,Assets_BasisFunc,D$49)</f>
        <v>0</v>
      </c>
      <c r="E54" s="1">
        <f>SUMIFS('6.1'!$L$6:$L$74,Assets_PresHeader,$A54,Assets_BasisFunc,E$49)</f>
        <v>176053527.5</v>
      </c>
      <c r="F54" s="1">
        <f>SUMIFS('6.1'!$L$6:$L$74,Assets_PresHeader,$A54,Assets_BasisFunc,F$49)</f>
        <v>0</v>
      </c>
      <c r="G54" s="1">
        <f>SUMIFS('6.1'!$L$6:$L$74,Assets_PresHeader,$A54,Assets_BasisFunc,G$49)</f>
        <v>0</v>
      </c>
      <c r="H54" s="1">
        <f>SUMIFS('6.1'!$L$6:$L$74,Assets_PresHeader,$A54,Assets_BasisFunc,H$49)</f>
        <v>7176064.7429999998</v>
      </c>
      <c r="I54" s="1">
        <f>SUMIFS('6.1'!$L$6:$L$74,Assets_PresHeader,$A54,Assets_BasisFunc,I$49)</f>
        <v>0</v>
      </c>
      <c r="J54" s="1">
        <f>SUMIFS('6.1'!$L$6:$L$74,Assets_PresHeader,$A54,Assets_BasisFunc,J$49)</f>
        <v>0</v>
      </c>
      <c r="K54" s="1">
        <f>SUMIFS('6.1'!$L$6:$L$74,Assets_PresHeader,$A54,Assets_BasisFunc,K$49)</f>
        <v>0</v>
      </c>
      <c r="L54" s="1">
        <f>SUMIFS('6.1'!$L$6:$L$74,Assets_PresHeader,$A54,Assets_BasisFunc,L$49)</f>
        <v>0</v>
      </c>
      <c r="M54" s="1">
        <f>SUMIFS('6.1'!$L$6:$L$74,Assets_PresHeader,$A54,Assets_BasisFunc,M$49)</f>
        <v>0</v>
      </c>
      <c r="N54" s="1">
        <f>SUMIFS('6.1'!$L$6:$L$74,Assets_PresHeader,$A54,Assets_BasisFunc,N$49)</f>
        <v>0</v>
      </c>
      <c r="O54" s="1">
        <f>SUMIFS('6.1'!$L$6:$L$74,Assets_PresHeader,$A54,Assets_BasisFunc,O$49)</f>
        <v>0</v>
      </c>
      <c r="P54" s="1">
        <f>SUMIFS('6.1'!$L$6:$L$74,Assets_PresHeader,$A54,Assets_BasisFunc,P$49)</f>
        <v>0</v>
      </c>
      <c r="Q54" s="1">
        <f>SUMIFS('6.1'!$L$6:$L$74,Assets_PresHeader,$A54,Assets_BasisFunc,Q$49)</f>
        <v>0</v>
      </c>
      <c r="R54" s="1">
        <f>SUM(B54:Q54)</f>
        <v>183229592.243</v>
      </c>
    </row>
    <row r="55" spans="1:18" x14ac:dyDescent="0.3">
      <c r="A55" s="4" t="s">
        <v>141</v>
      </c>
      <c r="B55" s="1">
        <f>SUMIFS('6.1'!$L$6:$L$74,Assets_PresHeader,$A55,Assets_BasisFunc,B$49)</f>
        <v>0</v>
      </c>
      <c r="C55" s="1">
        <f>SUMIFS('6.1'!$L$6:$L$74,Assets_PresHeader,$A55,Assets_BasisFunc,C$49)</f>
        <v>0</v>
      </c>
      <c r="D55" s="1">
        <f>SUMIFS('6.1'!$L$6:$L$74,Assets_PresHeader,$A55,Assets_BasisFunc,D$49)</f>
        <v>6425991.5</v>
      </c>
      <c r="E55" s="1">
        <f>SUMIFS('6.1'!$L$6:$L$74,Assets_PresHeader,$A55,Assets_BasisFunc,E$49)</f>
        <v>0</v>
      </c>
      <c r="F55" s="1">
        <f>SUMIFS('6.1'!$L$6:$L$74,Assets_PresHeader,$A55,Assets_BasisFunc,F$49)</f>
        <v>0</v>
      </c>
      <c r="G55" s="1">
        <f>SUMIFS('6.1'!$L$6:$L$74,Assets_PresHeader,$A55,Assets_BasisFunc,G$49)</f>
        <v>0</v>
      </c>
      <c r="H55" s="1">
        <f>SUMIFS('6.1'!$L$6:$L$74,Assets_PresHeader,$A55,Assets_BasisFunc,H$49)</f>
        <v>0</v>
      </c>
      <c r="I55" s="1">
        <f>SUMIFS('6.1'!$L$6:$L$74,Assets_PresHeader,$A55,Assets_BasisFunc,I$49)</f>
        <v>0</v>
      </c>
      <c r="J55" s="1">
        <f>SUMIFS('6.1'!$L$6:$L$74,Assets_PresHeader,$A55,Assets_BasisFunc,J$49)</f>
        <v>0</v>
      </c>
      <c r="K55" s="1">
        <f>SUMIFS('6.1'!$L$6:$L$74,Assets_PresHeader,$A55,Assets_BasisFunc,K$49)</f>
        <v>0</v>
      </c>
      <c r="L55" s="1">
        <f>SUMIFS('6.1'!$L$6:$L$74,Assets_PresHeader,$A55,Assets_BasisFunc,L$49)</f>
        <v>0</v>
      </c>
      <c r="M55" s="1">
        <f>SUMIFS('6.1'!$L$6:$L$74,Assets_PresHeader,$A55,Assets_BasisFunc,M$49)</f>
        <v>0</v>
      </c>
      <c r="N55" s="1">
        <f>SUMIFS('6.1'!$L$6:$L$74,Assets_PresHeader,$A55,Assets_BasisFunc,N$49)</f>
        <v>0</v>
      </c>
      <c r="O55" s="1">
        <f>SUMIFS('6.1'!$L$6:$L$74,Assets_PresHeader,$A55,Assets_BasisFunc,O$49)</f>
        <v>0</v>
      </c>
      <c r="P55" s="1">
        <f>SUMIFS('6.1'!$L$6:$L$74,Assets_PresHeader,$A55,Assets_BasisFunc,P$49)</f>
        <v>0</v>
      </c>
      <c r="Q55" s="1">
        <f>SUMIFS('6.1'!$L$6:$L$74,Assets_PresHeader,$A55,Assets_BasisFunc,Q$49)</f>
        <v>0</v>
      </c>
      <c r="R55" s="1">
        <f>SUM(B55:Q55)</f>
        <v>6425991.5</v>
      </c>
    </row>
    <row r="56" spans="1:18" x14ac:dyDescent="0.3">
      <c r="A56" s="4" t="s">
        <v>142</v>
      </c>
      <c r="B56" s="1">
        <f>SUMIFS('6.1'!$L$6:$L$74,Assets_PresHeader,$A56,Assets_BasisFunc,B$49)</f>
        <v>0</v>
      </c>
      <c r="C56" s="1">
        <f>SUMIFS('6.1'!$L$6:$L$74,Assets_PresHeader,$A56,Assets_BasisFunc,C$49)</f>
        <v>0</v>
      </c>
      <c r="D56" s="1">
        <f>SUMIFS('6.1'!$L$6:$L$74,Assets_PresHeader,$A56,Assets_BasisFunc,D$49)</f>
        <v>0</v>
      </c>
      <c r="E56" s="1">
        <f>SUMIFS('6.1'!$L$6:$L$74,Assets_PresHeader,$A56,Assets_BasisFunc,E$49)</f>
        <v>0</v>
      </c>
      <c r="F56" s="1">
        <f>SUMIFS('6.1'!$L$6:$L$74,Assets_PresHeader,$A56,Assets_BasisFunc,F$49)</f>
        <v>0</v>
      </c>
      <c r="G56" s="1">
        <f>SUMIFS('6.1'!$L$6:$L$74,Assets_PresHeader,$A56,Assets_BasisFunc,G$49)</f>
        <v>0</v>
      </c>
      <c r="H56" s="1">
        <f>SUMIFS('6.1'!$L$6:$L$74,Assets_PresHeader,$A56,Assets_BasisFunc,H$49)</f>
        <v>0</v>
      </c>
      <c r="I56" s="1">
        <f>SUMIFS('6.1'!$L$6:$L$74,Assets_PresHeader,$A56,Assets_BasisFunc,I$49)</f>
        <v>0</v>
      </c>
      <c r="J56" s="1">
        <f>SUMIFS('6.1'!$L$6:$L$74,Assets_PresHeader,$A56,Assets_BasisFunc,J$49)</f>
        <v>0</v>
      </c>
      <c r="K56" s="1">
        <f>SUMIFS('6.1'!$L$6:$L$74,Assets_PresHeader,$A56,Assets_BasisFunc,K$49)</f>
        <v>0</v>
      </c>
      <c r="L56" s="1">
        <f>SUMIFS('6.1'!$L$6:$L$74,Assets_PresHeader,$A56,Assets_BasisFunc,L$49)</f>
        <v>0</v>
      </c>
      <c r="M56" s="1">
        <f>SUMIFS('6.1'!$L$6:$L$74,Assets_PresHeader,$A56,Assets_BasisFunc,M$49)</f>
        <v>0</v>
      </c>
      <c r="N56" s="1">
        <f>SUMIFS('6.1'!$L$6:$L$74,Assets_PresHeader,$A56,Assets_BasisFunc,N$49)</f>
        <v>0</v>
      </c>
      <c r="O56" s="1">
        <f>SUMIFS('6.1'!$L$6:$L$74,Assets_PresHeader,$A56,Assets_BasisFunc,O$49)</f>
        <v>0</v>
      </c>
      <c r="P56" s="1">
        <f>SUMIFS('6.1'!$L$6:$L$74,Assets_PresHeader,$A56,Assets_BasisFunc,P$49)</f>
        <v>0</v>
      </c>
      <c r="Q56" s="1">
        <f>SUMIFS('6.1'!$L$6:$L$74,Assets_PresHeader,$A56,Assets_BasisFunc,Q$49)</f>
        <v>0</v>
      </c>
      <c r="R56" s="1">
        <f>SUM(B56:Q56)</f>
        <v>0</v>
      </c>
    </row>
    <row r="57" spans="1:18" x14ac:dyDescent="0.3">
      <c r="A57" s="4" t="s">
        <v>143</v>
      </c>
      <c r="B57" s="1">
        <f>SUMIFS('6.1'!$L$6:$L$74,Assets_PresHeader,$A57,Assets_BasisFunc,B$49)</f>
        <v>0</v>
      </c>
      <c r="C57" s="1">
        <f>SUMIFS('6.1'!$L$6:$L$74,Assets_PresHeader,$A57,Assets_BasisFunc,C$49)</f>
        <v>0</v>
      </c>
      <c r="D57" s="1">
        <f>SUMIFS('6.1'!$L$6:$L$74,Assets_PresHeader,$A57,Assets_BasisFunc,D$49)</f>
        <v>0</v>
      </c>
      <c r="E57" s="1">
        <f>SUMIFS('6.1'!$L$6:$L$74,Assets_PresHeader,$A57,Assets_BasisFunc,E$49)</f>
        <v>0</v>
      </c>
      <c r="F57" s="1">
        <f>SUMIFS('6.1'!$L$6:$L$74,Assets_PresHeader,$A57,Assets_BasisFunc,F$49)</f>
        <v>0</v>
      </c>
      <c r="G57" s="1">
        <f>SUMIFS('6.1'!$L$6:$L$74,Assets_PresHeader,$A57,Assets_BasisFunc,G$49)</f>
        <v>0</v>
      </c>
      <c r="H57" s="1">
        <f>SUMIFS('6.1'!$L$6:$L$74,Assets_PresHeader,$A57,Assets_BasisFunc,H$49)</f>
        <v>0</v>
      </c>
      <c r="I57" s="1">
        <f>SUMIFS('6.1'!$L$6:$L$74,Assets_PresHeader,$A57,Assets_BasisFunc,I$49)</f>
        <v>0</v>
      </c>
      <c r="J57" s="1">
        <f>SUMIFS('6.1'!$L$6:$L$74,Assets_PresHeader,$A57,Assets_BasisFunc,J$49)</f>
        <v>0</v>
      </c>
      <c r="K57" s="1">
        <f>SUMIFS('6.1'!$L$6:$L$74,Assets_PresHeader,$A57,Assets_BasisFunc,K$49)</f>
        <v>0</v>
      </c>
      <c r="L57" s="1">
        <f>SUMIFS('6.1'!$L$6:$L$74,Assets_PresHeader,$A57,Assets_BasisFunc,L$49)</f>
        <v>0</v>
      </c>
      <c r="M57" s="1">
        <f>SUMIFS('6.1'!$L$6:$L$74,Assets_PresHeader,$A57,Assets_BasisFunc,M$49)</f>
        <v>0</v>
      </c>
      <c r="N57" s="1">
        <f>SUMIFS('6.1'!$L$6:$L$74,Assets_PresHeader,$A57,Assets_BasisFunc,N$49)</f>
        <v>0</v>
      </c>
      <c r="O57" s="1">
        <f>SUMIFS('6.1'!$L$6:$L$74,Assets_PresHeader,$A57,Assets_BasisFunc,O$49)</f>
        <v>0</v>
      </c>
      <c r="P57" s="1">
        <f>SUMIFS('6.1'!$L$6:$L$74,Assets_PresHeader,$A57,Assets_BasisFunc,P$49)</f>
        <v>0</v>
      </c>
      <c r="Q57" s="1">
        <f>SUMIFS('6.1'!$L$6:$L$74,Assets_PresHeader,$A57,Assets_BasisFunc,Q$49)</f>
        <v>0</v>
      </c>
      <c r="R57" s="1">
        <f>SUM(B57:Q57)</f>
        <v>0</v>
      </c>
    </row>
    <row r="58" spans="1:18" x14ac:dyDescent="0.3">
      <c r="A58" s="4" t="s">
        <v>174</v>
      </c>
      <c r="B58" s="1">
        <f t="shared" ref="B58:P58" si="7">SUBTOTAL(9,B52:B57)</f>
        <v>56032334</v>
      </c>
      <c r="C58" s="1">
        <f t="shared" si="7"/>
        <v>0</v>
      </c>
      <c r="D58" s="1">
        <f t="shared" si="7"/>
        <v>6425991.5</v>
      </c>
      <c r="E58" s="1">
        <f t="shared" si="7"/>
        <v>176053527.5</v>
      </c>
      <c r="F58" s="1">
        <f t="shared" si="7"/>
        <v>0</v>
      </c>
      <c r="G58" s="1">
        <f t="shared" si="7"/>
        <v>0</v>
      </c>
      <c r="H58" s="1">
        <f t="shared" si="7"/>
        <v>7176064.7429999998</v>
      </c>
      <c r="I58" s="1">
        <f t="shared" si="7"/>
        <v>0</v>
      </c>
      <c r="J58" s="1">
        <f t="shared" si="7"/>
        <v>0</v>
      </c>
      <c r="K58" s="1">
        <f t="shared" si="7"/>
        <v>0</v>
      </c>
      <c r="L58" s="1">
        <f t="shared" si="7"/>
        <v>0</v>
      </c>
      <c r="M58" s="1">
        <f t="shared" si="7"/>
        <v>0</v>
      </c>
      <c r="N58" s="1">
        <f t="shared" si="7"/>
        <v>0</v>
      </c>
      <c r="O58" s="1">
        <f t="shared" si="7"/>
        <v>0</v>
      </c>
      <c r="P58" s="1">
        <f t="shared" si="7"/>
        <v>0</v>
      </c>
      <c r="Q58" s="1">
        <f>SUBTOTAL(9,Q52:Q57)</f>
        <v>0</v>
      </c>
      <c r="R58" s="1">
        <f>SUBTOTAL(9,R52:R57)</f>
        <v>245687917.743</v>
      </c>
    </row>
    <row r="59" spans="1:18" x14ac:dyDescent="0.3">
      <c r="A59" s="3" t="s">
        <v>175</v>
      </c>
      <c r="B59" s="1">
        <f>SUMIFS('6.1'!$L$6:$L$74,Assets_PresHeader,$A59,Assets_BasisFunc,B$49)</f>
        <v>0</v>
      </c>
      <c r="C59" s="1">
        <f>SUMIFS('6.1'!$L$6:$L$74,Assets_PresHeader,$A59,Assets_BasisFunc,C$49)</f>
        <v>1198075</v>
      </c>
      <c r="D59" s="1">
        <f>SUMIFS('6.1'!$L$6:$L$74,Assets_PresHeader,$A59,Assets_BasisFunc,D$49)</f>
        <v>0</v>
      </c>
      <c r="E59" s="1">
        <f>SUMIFS('6.1'!$L$6:$L$74,Assets_PresHeader,$A59,Assets_BasisFunc,E$49)</f>
        <v>0</v>
      </c>
      <c r="F59" s="1">
        <f>SUMIFS('6.1'!$L$6:$L$74,Assets_PresHeader,$A59,Assets_BasisFunc,F$49)</f>
        <v>0</v>
      </c>
      <c r="G59" s="1">
        <f>SUMIFS('6.1'!$L$6:$L$74,Assets_PresHeader,$A59,Assets_BasisFunc,G$49)</f>
        <v>0</v>
      </c>
      <c r="H59" s="1">
        <f>SUMIFS('6.1'!$L$6:$L$74,Assets_PresHeader,$A59,Assets_BasisFunc,H$49)</f>
        <v>7416194.5</v>
      </c>
      <c r="I59" s="1">
        <f>SUMIFS('6.1'!$L$6:$L$74,Assets_PresHeader,$A59,Assets_BasisFunc,I$49)</f>
        <v>9050555.5</v>
      </c>
      <c r="J59" s="1">
        <f>SUMIFS('6.1'!$L$6:$L$74,Assets_PresHeader,$A59,Assets_BasisFunc,J$49)</f>
        <v>7871866</v>
      </c>
      <c r="K59" s="1">
        <f>SUMIFS('6.1'!$L$6:$L$74,Assets_PresHeader,$A59,Assets_BasisFunc,K$49)</f>
        <v>3544283.5</v>
      </c>
      <c r="L59" s="1">
        <f>SUMIFS('6.1'!$L$6:$L$74,Assets_PresHeader,$A59,Assets_BasisFunc,L$49)</f>
        <v>0</v>
      </c>
      <c r="M59" s="1">
        <f>SUMIFS('6.1'!$L$6:$L$74,Assets_PresHeader,$A59,Assets_BasisFunc,M$49)</f>
        <v>0</v>
      </c>
      <c r="N59" s="1">
        <f>SUMIFS('6.1'!$L$6:$L$74,Assets_PresHeader,$A59,Assets_BasisFunc,N$49)</f>
        <v>0</v>
      </c>
      <c r="O59" s="1">
        <f>SUMIFS('6.1'!$L$6:$L$74,Assets_PresHeader,$A59,Assets_BasisFunc,O$49)</f>
        <v>0</v>
      </c>
      <c r="P59" s="1">
        <f>SUMIFS('6.1'!$L$6:$L$74,Assets_PresHeader,$A59,Assets_BasisFunc,P$49)</f>
        <v>0</v>
      </c>
      <c r="Q59" s="1">
        <f>SUMIFS('6.1'!$L$6:$L$74,Assets_PresHeader,$A59,Assets_BasisFunc,Q$49)</f>
        <v>0</v>
      </c>
      <c r="R59" s="1">
        <f>SUM(B59:Q59)</f>
        <v>29080974.5</v>
      </c>
    </row>
    <row r="60" spans="1:18" x14ac:dyDescent="0.3">
      <c r="A60" s="3" t="s">
        <v>213</v>
      </c>
      <c r="B60" s="1">
        <f t="shared" ref="B60:P60" si="8">SUBTOTAL(9,B50:B59)</f>
        <v>56032334</v>
      </c>
      <c r="C60" s="1">
        <f t="shared" si="8"/>
        <v>1198075</v>
      </c>
      <c r="D60" s="1">
        <f t="shared" si="8"/>
        <v>6425991.5</v>
      </c>
      <c r="E60" s="1">
        <f t="shared" si="8"/>
        <v>176053527.5</v>
      </c>
      <c r="F60" s="1">
        <f t="shared" si="8"/>
        <v>0</v>
      </c>
      <c r="G60" s="1">
        <f t="shared" si="8"/>
        <v>0</v>
      </c>
      <c r="H60" s="1">
        <f t="shared" si="8"/>
        <v>14592259.243000001</v>
      </c>
      <c r="I60" s="1">
        <f t="shared" si="8"/>
        <v>9050555.5</v>
      </c>
      <c r="J60" s="1">
        <f t="shared" si="8"/>
        <v>7871866</v>
      </c>
      <c r="K60" s="1">
        <f t="shared" si="8"/>
        <v>3544283.5</v>
      </c>
      <c r="L60" s="1">
        <f t="shared" si="8"/>
        <v>0</v>
      </c>
      <c r="M60" s="1">
        <f t="shared" si="8"/>
        <v>0</v>
      </c>
      <c r="N60" s="1">
        <f t="shared" si="8"/>
        <v>0</v>
      </c>
      <c r="O60" s="1">
        <f t="shared" si="8"/>
        <v>0</v>
      </c>
      <c r="P60" s="1">
        <f t="shared" si="8"/>
        <v>0</v>
      </c>
      <c r="Q60" s="1">
        <f>SUBTOTAL(9,Q50:Q59)</f>
        <v>0</v>
      </c>
      <c r="R60" s="1">
        <f>SUBTOTAL(9,R50:R59)</f>
        <v>274768892.24300003</v>
      </c>
    </row>
    <row r="61" spans="1:18" x14ac:dyDescent="0.3">
      <c r="A61" s="2" t="s">
        <v>176</v>
      </c>
      <c r="B61" s="1">
        <f>-SUMIFS('6.2'!$F$23:$F$24,'6.2'!$G$23:$G$24,B$49)</f>
        <v>0</v>
      </c>
      <c r="C61" s="1">
        <f>-SUMIFS('6.2'!$F$23:$F$24,'6.2'!$G$23:$G$24,C$49)</f>
        <v>0</v>
      </c>
      <c r="D61" s="1">
        <f>-SUMIFS('6.2'!$F$23:$F$24,'6.2'!$G$23:$G$24,D$49)</f>
        <v>0</v>
      </c>
      <c r="E61" s="1">
        <f>-SUMIFS('6.2'!$F$23:$F$24,'6.2'!$G$23:$G$24,E$49)</f>
        <v>0</v>
      </c>
      <c r="F61" s="1">
        <f>-SUMIFS('6.2'!$F$23:$F$25,'6.2'!$G$23:$G$25,F$49)</f>
        <v>-319336</v>
      </c>
      <c r="G61" s="1">
        <f>-SUMIFS('6.2'!$F$23:$F$24,'6.2'!$G$23:$G$24,G$49)</f>
        <v>0</v>
      </c>
      <c r="H61" s="1">
        <f>-SUMIFS('6.2'!$F$23:$F$24,'6.2'!$G$23:$G$24,H$49)</f>
        <v>0</v>
      </c>
      <c r="I61" s="1">
        <f>-SUMIFS('6.2'!$F$23:$F$24,'6.2'!$G$23:$G$24,I$49)</f>
        <v>0</v>
      </c>
      <c r="J61" s="1">
        <f>-SUMIFS('6.2'!$F$23:$F$24,'6.2'!$G$23:$G$24,J$49)</f>
        <v>0</v>
      </c>
      <c r="K61" s="1">
        <f>-SUMIFS('6.2'!$F$23:$F$24,'6.2'!$G$23:$G$24,K$49)</f>
        <v>0</v>
      </c>
      <c r="L61" s="1">
        <f>-SUMIFS('6.2'!$F$23:$F$24,'6.2'!$G$23:$G$24,L$49)</f>
        <v>-15207193.5</v>
      </c>
      <c r="M61" s="1">
        <f>-SUMIFS('6.2'!$F$23:$F$24,'6.2'!$G$23:$G$24,M$49)</f>
        <v>0</v>
      </c>
      <c r="N61" s="1">
        <f>-SUMIFS('6.2'!$F$23:$F$24,'6.2'!$G$23:$G$24,N$49)</f>
        <v>0</v>
      </c>
      <c r="O61" s="1">
        <f>-SUMIFS('6.2'!$F$23:$F$24,'6.2'!$G$23:$G$24,O$49)</f>
        <v>0</v>
      </c>
      <c r="P61" s="1">
        <f>-SUMIFS('6.2'!$F$23:$F$24,'6.2'!$G$23:$G$24,P$49)</f>
        <v>0</v>
      </c>
      <c r="Q61" s="1">
        <f>-SUMIFS('6.2'!$F$23:$F$24,'6.2'!$G$23:$G$24,Q$49)</f>
        <v>0</v>
      </c>
      <c r="R61" s="1">
        <f>SUM(B61:Q61)</f>
        <v>-15526529.5</v>
      </c>
    </row>
    <row r="62" spans="1:18" x14ac:dyDescent="0.3">
      <c r="A62" s="2" t="s">
        <v>147</v>
      </c>
    </row>
    <row r="63" spans="1:18" x14ac:dyDescent="0.3">
      <c r="A63" s="3" t="s">
        <v>148</v>
      </c>
      <c r="B63" s="1">
        <f>SUMIFS('4.2'!$D$5:$D$45,'4.2'!$A$5:$A$45,$A63,'4.2'!$E$5:$E$45,B$49)</f>
        <v>0</v>
      </c>
      <c r="C63" s="1">
        <f>SUMIFS('4.2'!$D$5:$D$45,'4.2'!$A$5:$A$45,$A63,'4.2'!$E$5:$E$45,C$49)</f>
        <v>0</v>
      </c>
      <c r="D63" s="1">
        <f>SUMIFS('4.2'!$D$5:$D$45,'4.2'!$A$5:$A$45,$A63,'4.2'!$E$5:$E$45,D$49)</f>
        <v>0</v>
      </c>
      <c r="E63" s="1">
        <f>SUMIFS('4.2'!$D$5:$D$45,'4.2'!$A$5:$A$45,$A63,'4.2'!$E$5:$E$45,E$49)</f>
        <v>0</v>
      </c>
      <c r="F63" s="1">
        <f>SUMIFS('4.2'!$D$5:$D$45,'4.2'!$A$5:$A$45,$A63,'4.2'!$E$5:$E$45,F$49)</f>
        <v>0</v>
      </c>
      <c r="G63" s="1">
        <f>SUMIFS('4.2'!$D$5:$D$45,'4.2'!$A$5:$A$45,$A63,'4.2'!$E$5:$E$45,G$49)</f>
        <v>0</v>
      </c>
      <c r="H63" s="1">
        <f>SUMIFS('4.2'!$D$5:$D$45,'4.2'!$A$5:$A$45,$A63,'4.2'!$E$5:$E$45,H$49)</f>
        <v>0</v>
      </c>
      <c r="I63" s="1">
        <f>SUMIFS('4.2'!$D$5:$D$45,'4.2'!$A$5:$A$45,$A63,'4.2'!$E$5:$E$45,I$49)</f>
        <v>0</v>
      </c>
      <c r="J63" s="1">
        <f>SUMIFS('4.2'!$D$5:$D$45,'4.2'!$A$5:$A$45,$A63,'4.2'!$E$5:$E$45,J$49)</f>
        <v>0</v>
      </c>
      <c r="K63" s="1">
        <f>SUMIFS('4.2'!$D$5:$D$45,'4.2'!$A$5:$A$45,$A63,'4.2'!$E$5:$E$45,K$49)</f>
        <v>0</v>
      </c>
      <c r="L63" s="1">
        <f>SUMIFS('4.2'!$D$5:$D$45,'4.2'!$A$5:$A$45,$A63,'4.2'!$E$5:$E$45,L$49)</f>
        <v>0</v>
      </c>
      <c r="M63" s="1">
        <f>SUMIFS('4.2'!$D$5:$D$45,'4.2'!$A$5:$A$45,$A63,'4.2'!$E$5:$E$45,M$49)</f>
        <v>-48309500</v>
      </c>
      <c r="N63" s="1">
        <f>SUMIFS('4.2'!$D$5:$D$45,'4.2'!$A$5:$A$45,$A63,'4.2'!$E$5:$E$45,N$49)</f>
        <v>0</v>
      </c>
      <c r="O63" s="1">
        <f>SUMIFS('4.2'!$D$5:$D$45,'4.2'!$A$5:$A$45,$A63,'4.2'!$E$5:$E$45,O$49)</f>
        <v>0</v>
      </c>
      <c r="P63" s="1">
        <f>SUMIFS('4.2'!$D$5:$D$45,'4.2'!$A$5:$A$45,$A63,'4.2'!$E$5:$E$45,P$49)</f>
        <v>0</v>
      </c>
      <c r="Q63" s="1">
        <f>SUMIFS('4.2'!$D$5:$D$45,'4.2'!$A$5:$A$45,$A63,'4.2'!$E$5:$E$45,Q$49)</f>
        <v>0</v>
      </c>
      <c r="R63" s="1">
        <f t="shared" ref="R63:R71" si="9">SUM(B63:Q63)</f>
        <v>-48309500</v>
      </c>
    </row>
    <row r="64" spans="1:18" x14ac:dyDescent="0.3">
      <c r="A64" s="3" t="s">
        <v>149</v>
      </c>
      <c r="B64" s="1">
        <f>SUMIFS('4.2'!$D$5:$D$45,'4.2'!$A$5:$A$45,$A64,'4.2'!$E$5:$E$45,B$49)</f>
        <v>0</v>
      </c>
      <c r="C64" s="1">
        <f>SUMIFS('4.2'!$D$5:$D$45,'4.2'!$A$5:$A$45,$A64,'4.2'!$E$5:$E$45,C$49)</f>
        <v>0</v>
      </c>
      <c r="D64" s="1">
        <f>SUMIFS('4.2'!$D$5:$D$45,'4.2'!$A$5:$A$45,$A64,'4.2'!$E$5:$E$45,D$49)</f>
        <v>0</v>
      </c>
      <c r="E64" s="1">
        <f>SUMIFS('4.2'!$D$5:$D$45,'4.2'!$A$5:$A$45,$A64,'4.2'!$E$5:$E$45,E$49)</f>
        <v>0</v>
      </c>
      <c r="F64" s="1">
        <f>SUMIFS('4.2'!$D$5:$D$45,'4.2'!$A$5:$A$45,$A64,'4.2'!$E$5:$E$45,F$49)</f>
        <v>0</v>
      </c>
      <c r="G64" s="1">
        <f>SUMIFS('4.2'!$D$5:$D$45,'4.2'!$A$5:$A$45,$A64,'4.2'!$E$5:$E$45,G$49)</f>
        <v>0</v>
      </c>
      <c r="H64" s="1">
        <f>SUMIFS('4.2'!$D$5:$D$45,'4.2'!$A$5:$A$45,$A64,'4.2'!$E$5:$E$45,H$49)</f>
        <v>0</v>
      </c>
      <c r="I64" s="1">
        <f>SUMIFS('4.2'!$D$5:$D$45,'4.2'!$A$5:$A$45,$A64,'4.2'!$E$5:$E$45,I$49)</f>
        <v>0</v>
      </c>
      <c r="J64" s="1">
        <f>SUMIFS('4.2'!$D$5:$D$45,'4.2'!$A$5:$A$45,$A64,'4.2'!$E$5:$E$45,J$49)</f>
        <v>0</v>
      </c>
      <c r="K64" s="1">
        <f>SUMIFS('4.2'!$D$5:$D$45,'4.2'!$A$5:$A$45,$A64,'4.2'!$E$5:$E$45,K$49)</f>
        <v>0</v>
      </c>
      <c r="L64" s="1">
        <f>SUMIFS('4.2'!$D$5:$D$45,'4.2'!$A$5:$A$45,$A64,'4.2'!$E$5:$E$45,L$49)</f>
        <v>0</v>
      </c>
      <c r="M64" s="1">
        <f>SUMIFS('4.2'!$D$5:$D$45,'4.2'!$A$5:$A$45,$A64,'4.2'!$E$5:$E$45,M$49)</f>
        <v>0</v>
      </c>
      <c r="N64" s="1">
        <f>SUMIFS('4.2'!$D$5:$D$45,'4.2'!$A$5:$A$45,$A64,'4.2'!$E$5:$E$45,N$49)</f>
        <v>0</v>
      </c>
      <c r="O64" s="1">
        <f>SUMIFS('4.2'!$D$5:$D$45,'4.2'!$A$5:$A$45,$A64,'4.2'!$E$5:$E$45,O$49)</f>
        <v>0</v>
      </c>
      <c r="P64" s="1">
        <f>SUMIFS('4.2'!$D$5:$D$45,'4.2'!$A$5:$A$45,$A64,'4.2'!$E$5:$E$45,P$49)</f>
        <v>0</v>
      </c>
      <c r="Q64" s="1">
        <f>SUMIFS('4.2'!$D$5:$D$45,'4.2'!$A$5:$A$45,$A64,'4.2'!$E$5:$E$45,Q$49)</f>
        <v>0</v>
      </c>
      <c r="R64" s="1">
        <f t="shared" si="9"/>
        <v>0</v>
      </c>
    </row>
    <row r="65" spans="1:18" x14ac:dyDescent="0.3">
      <c r="A65" s="3" t="s">
        <v>150</v>
      </c>
      <c r="B65" s="1">
        <f>SUMIFS('4.2'!$D$5:$D$45,'4.2'!$A$5:$A$45,$A65,'4.2'!$E$5:$E$45,B$49)</f>
        <v>0</v>
      </c>
      <c r="C65" s="1">
        <f>SUMIFS('4.2'!$D$5:$D$45,'4.2'!$A$5:$A$45,$A65,'4.2'!$E$5:$E$45,C$49)</f>
        <v>0</v>
      </c>
      <c r="D65" s="1">
        <f>SUMIFS('4.2'!$D$5:$D$45,'4.2'!$A$5:$A$45,$A65,'4.2'!$E$5:$E$45,D$49)</f>
        <v>0</v>
      </c>
      <c r="E65" s="1">
        <f>SUMIFS('4.2'!$D$5:$D$45,'4.2'!$A$5:$A$45,$A65,'4.2'!$E$5:$E$45,E$49)</f>
        <v>0</v>
      </c>
      <c r="F65" s="1">
        <f>SUMIFS('4.2'!$D$5:$D$45,'4.2'!$A$5:$A$45,$A65,'4.2'!$E$5:$E$45,F$49)</f>
        <v>0</v>
      </c>
      <c r="G65" s="1">
        <f>SUMIFS('4.2'!$D$5:$D$45,'4.2'!$A$5:$A$45,$A65,'4.2'!$E$5:$E$45,G$49)</f>
        <v>0</v>
      </c>
      <c r="H65" s="1">
        <f>SUMIFS('4.2'!$D$5:$D$45,'4.2'!$A$5:$A$45,$A65,'4.2'!$E$5:$E$45,H$49)</f>
        <v>0</v>
      </c>
      <c r="I65" s="1">
        <f>SUMIFS('4.2'!$D$5:$D$45,'4.2'!$A$5:$A$45,$A65,'4.2'!$E$5:$E$45,I$49)</f>
        <v>0</v>
      </c>
      <c r="J65" s="1">
        <f>SUMIFS('4.2'!$D$5:$D$45,'4.2'!$A$5:$A$45,$A65,'4.2'!$E$5:$E$45,J$49)</f>
        <v>0</v>
      </c>
      <c r="K65" s="1">
        <f>SUMIFS('4.2'!$D$5:$D$45,'4.2'!$A$5:$A$45,$A65,'4.2'!$E$5:$E$45,K$49)</f>
        <v>0</v>
      </c>
      <c r="L65" s="1">
        <f>SUMIFS('4.2'!$D$5:$D$45,'4.2'!$A$5:$A$45,$A65,'4.2'!$E$5:$E$45,L$49)</f>
        <v>0</v>
      </c>
      <c r="M65" s="1">
        <f>SUMIFS('4.2'!$D$5:$D$45,'4.2'!$A$5:$A$45,$A65,'4.2'!$E$5:$E$45,M$49)</f>
        <v>0</v>
      </c>
      <c r="N65" s="1">
        <f>SUMIFS('4.2'!$D$5:$D$45,'4.2'!$A$5:$A$45,$A65,'4.2'!$E$5:$E$45,N$49)</f>
        <v>0</v>
      </c>
      <c r="O65" s="1">
        <f>SUMIFS('4.2'!$D$5:$D$45,'4.2'!$A$5:$A$45,$A65,'4.2'!$E$5:$E$45,O$49)</f>
        <v>0</v>
      </c>
      <c r="P65" s="1">
        <f>SUMIFS('4.2'!$D$5:$D$45,'4.2'!$A$5:$A$45,$A65,'4.2'!$E$5:$E$45,P$49)</f>
        <v>0</v>
      </c>
      <c r="Q65" s="1">
        <f>SUMIFS('4.2'!$D$5:$D$45,'4.2'!$A$5:$A$45,$A65,'4.2'!$E$5:$E$45,Q$49)</f>
        <v>0</v>
      </c>
      <c r="R65" s="1">
        <f t="shared" si="9"/>
        <v>0</v>
      </c>
    </row>
    <row r="66" spans="1:18" x14ac:dyDescent="0.3">
      <c r="A66" s="3" t="s">
        <v>151</v>
      </c>
      <c r="B66" s="1">
        <f>SUMIFS('4.2'!$D$5:$D$45,'4.2'!$A$5:$A$45,$A66,'4.2'!$E$5:$E$45,B$49)</f>
        <v>0</v>
      </c>
      <c r="C66" s="1">
        <f>SUMIFS('4.2'!$D$5:$D$45,'4.2'!$A$5:$A$45,$A66,'4.2'!$E$5:$E$45,C$49)</f>
        <v>0</v>
      </c>
      <c r="D66" s="1">
        <f>SUMIFS('4.2'!$D$5:$D$45,'4.2'!$A$5:$A$45,$A66,'4.2'!$E$5:$E$45,D$49)</f>
        <v>0</v>
      </c>
      <c r="E66" s="1">
        <f>SUMIFS('4.2'!$D$5:$D$45,'4.2'!$A$5:$A$45,$A66,'4.2'!$E$5:$E$45,E$49)</f>
        <v>0</v>
      </c>
      <c r="F66" s="1">
        <f>SUMIFS('4.2'!$D$5:$D$45,'4.2'!$A$5:$A$45,$A66,'4.2'!$E$5:$E$45,F$49)</f>
        <v>0</v>
      </c>
      <c r="G66" s="1">
        <f>SUMIFS('4.2'!$D$5:$D$45,'4.2'!$A$5:$A$45,$A66,'4.2'!$E$5:$E$45,G$49)</f>
        <v>0</v>
      </c>
      <c r="H66" s="1">
        <f>SUMIFS('4.2'!$D$5:$D$45,'4.2'!$A$5:$A$45,$A66,'4.2'!$E$5:$E$45,H$49)</f>
        <v>0</v>
      </c>
      <c r="I66" s="1">
        <f>SUMIFS('4.2'!$D$5:$D$45,'4.2'!$A$5:$A$45,$A66,'4.2'!$E$5:$E$45,I$49)</f>
        <v>0</v>
      </c>
      <c r="J66" s="1">
        <f>SUMIFS('4.2'!$D$5:$D$45,'4.2'!$A$5:$A$45,$A66,'4.2'!$E$5:$E$45,J$49)</f>
        <v>1968000</v>
      </c>
      <c r="K66" s="1">
        <f>SUMIFS('4.2'!$D$5:$D$45,'4.2'!$A$5:$A$45,$A66,'4.2'!$E$5:$E$45,K$49)</f>
        <v>0</v>
      </c>
      <c r="L66" s="1">
        <f>SUMIFS('4.2'!$D$5:$D$45,'4.2'!$A$5:$A$45,$A66,'4.2'!$E$5:$E$45,L$49)</f>
        <v>0</v>
      </c>
      <c r="M66" s="1">
        <f>SUMIFS('4.2'!$D$5:$D$45,'4.2'!$A$5:$A$45,$A66,'4.2'!$E$5:$E$45,M$49)</f>
        <v>0</v>
      </c>
      <c r="N66" s="1">
        <f>SUMIFS('4.2'!$D$5:$D$45,'4.2'!$A$5:$A$45,$A66,'4.2'!$E$5:$E$45,N$49)</f>
        <v>0</v>
      </c>
      <c r="O66" s="1">
        <f>SUMIFS('4.2'!$D$5:$D$45,'4.2'!$A$5:$A$45,$A66,'4.2'!$E$5:$E$45,O$49)</f>
        <v>0</v>
      </c>
      <c r="P66" s="1">
        <f>SUMIFS('4.2'!$D$5:$D$45,'4.2'!$A$5:$A$45,$A66,'4.2'!$E$5:$E$45,P$49)</f>
        <v>0</v>
      </c>
      <c r="Q66" s="1">
        <f>SUMIFS('4.2'!$D$5:$D$45,'4.2'!$A$5:$A$45,$A66,'4.2'!$E$5:$E$45,Q$49)</f>
        <v>0</v>
      </c>
      <c r="R66" s="1">
        <f t="shared" si="9"/>
        <v>1968000</v>
      </c>
    </row>
    <row r="67" spans="1:18" x14ac:dyDescent="0.3">
      <c r="A67" s="3" t="s">
        <v>152</v>
      </c>
      <c r="B67" s="1">
        <f>SUMIFS('4.2'!$D$5:$D$45,'4.2'!$A$5:$A$45,$A67,'4.2'!$E$5:$E$45,B$49)</f>
        <v>0</v>
      </c>
      <c r="C67" s="1">
        <f>SUMIFS('4.2'!$D$5:$D$45,'4.2'!$A$5:$A$45,$A67,'4.2'!$E$5:$E$45,C$49)</f>
        <v>0</v>
      </c>
      <c r="D67" s="1">
        <f>SUMIFS('4.2'!$D$5:$D$45,'4.2'!$A$5:$A$45,$A67,'4.2'!$E$5:$E$45,D$49)</f>
        <v>0</v>
      </c>
      <c r="E67" s="1">
        <f>SUMIFS('4.2'!$D$5:$D$45,'4.2'!$A$5:$A$45,$A67,'4.2'!$E$5:$E$45,E$49)</f>
        <v>0</v>
      </c>
      <c r="F67" s="1">
        <f>SUMIFS('4.2'!$D$5:$D$45,'4.2'!$A$5:$A$45,$A67,'4.2'!$E$5:$E$45,F$49)</f>
        <v>0</v>
      </c>
      <c r="G67" s="1">
        <f>SUMIFS('4.2'!$D$5:$D$45,'4.2'!$A$5:$A$45,$A67,'4.2'!$E$5:$E$45,G$49)</f>
        <v>0</v>
      </c>
      <c r="H67" s="1">
        <f>SUMIFS('4.2'!$D$5:$D$45,'4.2'!$A$5:$A$45,$A67,'4.2'!$E$5:$E$45,H$49)</f>
        <v>0</v>
      </c>
      <c r="I67" s="1">
        <f>SUMIFS('4.2'!$D$5:$D$45,'4.2'!$A$5:$A$45,$A67,'4.2'!$E$5:$E$45,I$49)</f>
        <v>0</v>
      </c>
      <c r="J67" s="1">
        <f>SUMIFS('4.2'!$D$5:$D$45,'4.2'!$A$5:$A$45,$A67,'4.2'!$E$5:$E$45,J$49)</f>
        <v>0</v>
      </c>
      <c r="K67" s="1">
        <f>SUMIFS('4.2'!$D$5:$D$45,'4.2'!$A$5:$A$45,$A67,'4.2'!$E$5:$E$45,K$49)</f>
        <v>0</v>
      </c>
      <c r="L67" s="1">
        <f>SUMIFS('4.2'!$D$5:$D$45,'4.2'!$A$5:$A$45,$A67,'4.2'!$E$5:$E$45,L$49)</f>
        <v>0</v>
      </c>
      <c r="M67" s="1">
        <f>SUMIFS('4.2'!$D$5:$D$45,'4.2'!$A$5:$A$45,$A67,'4.2'!$E$5:$E$45,M$49)</f>
        <v>0</v>
      </c>
      <c r="N67" s="1">
        <f>SUMIFS('4.2'!$D$5:$D$45,'4.2'!$A$5:$A$45,$A67,'4.2'!$E$5:$E$45,N$49)</f>
        <v>0</v>
      </c>
      <c r="O67" s="1">
        <f>SUMIFS('4.2'!$D$5:$D$45,'4.2'!$A$5:$A$45,$A67,'4.2'!$E$5:$E$45,O$49)</f>
        <v>0</v>
      </c>
      <c r="P67" s="1">
        <f>SUMIFS('4.2'!$D$5:$D$45,'4.2'!$A$5:$A$45,$A67,'4.2'!$E$5:$E$45,P$49)</f>
        <v>0</v>
      </c>
      <c r="Q67" s="1">
        <f>SUMIFS('4.2'!$D$5:$D$45,'4.2'!$A$5:$A$45,$A67,'4.2'!$E$5:$E$45,Q$49)</f>
        <v>0</v>
      </c>
      <c r="R67" s="1">
        <f t="shared" si="9"/>
        <v>0</v>
      </c>
    </row>
    <row r="68" spans="1:18" x14ac:dyDescent="0.3">
      <c r="A68" s="3" t="s">
        <v>189</v>
      </c>
      <c r="B68" s="1">
        <f>SUMIFS('4.2'!$D$5:$D$45,'4.2'!$A$5:$A$45,$A68,'4.2'!$E$5:$E$45,B$49)</f>
        <v>0</v>
      </c>
      <c r="C68" s="1">
        <f>SUMIFS('4.2'!$D$5:$D$45,'4.2'!$A$5:$A$45,$A68,'4.2'!$E$5:$E$45,C$49)</f>
        <v>0</v>
      </c>
      <c r="D68" s="1">
        <f>SUMIFS('4.2'!$D$5:$D$45,'4.2'!$A$5:$A$45,$A68,'4.2'!$E$5:$E$45,D$49)</f>
        <v>0</v>
      </c>
      <c r="E68" s="1">
        <f>SUMIFS('4.2'!$D$5:$D$45,'4.2'!$A$5:$A$45,$A68,'4.2'!$E$5:$E$45,E$49)</f>
        <v>0</v>
      </c>
      <c r="F68" s="1">
        <f>SUMIFS('4.2'!$D$5:$D$45,'4.2'!$A$5:$A$45,$A68,'4.2'!$E$5:$E$45,F$49)</f>
        <v>0</v>
      </c>
      <c r="G68" s="1">
        <f>SUMIFS('4.2'!$D$5:$D$45,'4.2'!$A$5:$A$45,$A68,'4.2'!$E$5:$E$45,G$49)</f>
        <v>0</v>
      </c>
      <c r="H68" s="1">
        <f>SUMIFS('4.2'!$D$5:$D$45,'4.2'!$A$5:$A$45,$A68,'4.2'!$E$5:$E$45,H$49)</f>
        <v>0</v>
      </c>
      <c r="I68" s="1">
        <f>SUMIFS('4.2'!$D$5:$D$45,'4.2'!$A$5:$A$45,$A68,'4.2'!$E$5:$E$45,I$49)</f>
        <v>0</v>
      </c>
      <c r="J68" s="1">
        <f>SUMIFS('4.2'!$D$5:$D$45,'4.2'!$A$5:$A$45,$A68,'4.2'!$E$5:$E$45,J$49)</f>
        <v>0</v>
      </c>
      <c r="K68" s="1">
        <f>SUMIFS('4.2'!$D$5:$D$45,'4.2'!$A$5:$A$45,$A68,'4.2'!$E$5:$E$45,K$49)</f>
        <v>0</v>
      </c>
      <c r="L68" s="1">
        <f>SUMIFS('4.2'!$D$5:$D$45,'4.2'!$A$5:$A$45,$A68,'4.2'!$E$5:$E$45,L$49)</f>
        <v>0</v>
      </c>
      <c r="M68" s="1">
        <f>SUMIFS('4.2'!$D$5:$D$45,'4.2'!$A$5:$A$45,$A68,'4.2'!$E$5:$E$45,M$49)</f>
        <v>206500</v>
      </c>
      <c r="N68" s="1">
        <f>SUMIFS('4.2'!$D$5:$D$45,'4.2'!$A$5:$A$45,$A68,'4.2'!$E$5:$E$45,N$49)</f>
        <v>0</v>
      </c>
      <c r="O68" s="1">
        <f>SUMIFS('4.2'!$D$5:$D$45,'4.2'!$A$5:$A$45,$A68,'4.2'!$E$5:$E$45,O$49)</f>
        <v>0</v>
      </c>
      <c r="P68" s="1">
        <f>SUMIFS('4.2'!$D$5:$D$45,'4.2'!$A$5:$A$45,$A68,'4.2'!$E$5:$E$45,P$49)</f>
        <v>0</v>
      </c>
      <c r="Q68" s="1">
        <f>SUMIFS('4.2'!$D$5:$D$45,'4.2'!$A$5:$A$45,$A68,'4.2'!$E$5:$E$45,Q$49)</f>
        <v>0</v>
      </c>
      <c r="R68" s="1">
        <f t="shared" si="9"/>
        <v>206500</v>
      </c>
    </row>
    <row r="69" spans="1:18" x14ac:dyDescent="0.3">
      <c r="A69" s="3" t="s">
        <v>188</v>
      </c>
      <c r="B69" s="1">
        <f>SUMIFS('4.2'!$D$5:$D$45,'4.2'!$A$5:$A$45,$A69,'4.2'!$E$5:$E$45,B$49)</f>
        <v>0</v>
      </c>
      <c r="C69" s="1">
        <f>SUMIFS('4.2'!$D$5:$D$45,'4.2'!$A$5:$A$45,$A69,'4.2'!$E$5:$E$45,C$49)</f>
        <v>0</v>
      </c>
      <c r="D69" s="1">
        <f>SUMIFS('4.2'!$D$5:$D$45,'4.2'!$A$5:$A$45,$A69,'4.2'!$E$5:$E$45,D$49)</f>
        <v>0</v>
      </c>
      <c r="E69" s="1">
        <f>SUMIFS('4.2'!$D$5:$D$45,'4.2'!$A$5:$A$45,$A69,'4.2'!$E$5:$E$45,E$49)</f>
        <v>0</v>
      </c>
      <c r="F69" s="1">
        <f>SUMIFS('4.2'!$D$5:$D$45,'4.2'!$A$5:$A$45,$A69,'4.2'!$E$5:$E$45,F$49)</f>
        <v>0</v>
      </c>
      <c r="G69" s="1">
        <f>SUMIFS('4.2'!$D$5:$D$45,'4.2'!$A$5:$A$45,$A69,'4.2'!$E$5:$E$45,G$49)</f>
        <v>0</v>
      </c>
      <c r="H69" s="1">
        <f>SUMIFS('4.2'!$D$5:$D$45,'4.2'!$A$5:$A$45,$A69,'4.2'!$E$5:$E$45,H$49)</f>
        <v>0</v>
      </c>
      <c r="I69" s="1">
        <f>SUMIFS('4.2'!$D$5:$D$45,'4.2'!$A$5:$A$45,$A69,'4.2'!$E$5:$E$45,I$49)</f>
        <v>0</v>
      </c>
      <c r="J69" s="1">
        <f>SUMIFS('4.2'!$D$5:$D$45,'4.2'!$A$5:$A$45,$A69,'4.2'!$E$5:$E$45,J$49)</f>
        <v>0</v>
      </c>
      <c r="K69" s="1">
        <f>SUMIFS('4.2'!$D$5:$D$45,'4.2'!$A$5:$A$45,$A69,'4.2'!$E$5:$E$45,K$49)</f>
        <v>0</v>
      </c>
      <c r="L69" s="1">
        <f>SUMIFS('4.2'!$D$5:$D$45,'4.2'!$A$5:$A$45,$A69,'4.2'!$E$5:$E$45,L$49)</f>
        <v>0</v>
      </c>
      <c r="M69" s="1">
        <f>SUMIFS('4.2'!$D$5:$D$45,'4.2'!$A$5:$A$45,$A69,'4.2'!$E$5:$E$45,M$49)</f>
        <v>29780000</v>
      </c>
      <c r="N69" s="1">
        <f>SUMIFS('4.2'!$D$5:$D$45,'4.2'!$A$5:$A$45,$A69,'4.2'!$E$5:$E$45,N$49)</f>
        <v>0</v>
      </c>
      <c r="O69" s="1">
        <f>SUMIFS('4.2'!$D$5:$D$45,'4.2'!$A$5:$A$45,$A69,'4.2'!$E$5:$E$45,O$49)</f>
        <v>0</v>
      </c>
      <c r="P69" s="1">
        <f>SUMIFS('4.2'!$D$5:$D$45,'4.2'!$A$5:$A$45,$A69,'4.2'!$E$5:$E$45,P$49)</f>
        <v>0</v>
      </c>
      <c r="Q69" s="1">
        <f>SUMIFS('4.2'!$D$5:$D$45,'4.2'!$A$5:$A$45,$A69,'4.2'!$E$5:$E$45,Q$49)</f>
        <v>0</v>
      </c>
      <c r="R69" s="1">
        <f t="shared" si="9"/>
        <v>29780000</v>
      </c>
    </row>
    <row r="70" spans="1:18" x14ac:dyDescent="0.3">
      <c r="A70" s="3" t="s">
        <v>125</v>
      </c>
      <c r="B70" s="1">
        <f>SUMIFS('4.2'!$D$5:$D$45,'4.2'!$A$5:$A$45,$A70,'4.2'!$E$5:$E$45,B$49)</f>
        <v>0</v>
      </c>
      <c r="C70" s="1">
        <f>SUMIFS('4.2'!$D$5:$D$45,'4.2'!$A$5:$A$45,$A70,'4.2'!$E$5:$E$45,C$49)</f>
        <v>0</v>
      </c>
      <c r="D70" s="1">
        <f>SUMIFS('4.2'!$D$5:$D$45,'4.2'!$A$5:$A$45,$A70,'4.2'!$E$5:$E$45,D$49)</f>
        <v>0</v>
      </c>
      <c r="E70" s="1">
        <f>SUMIFS('4.2'!$D$5:$D$45,'4.2'!$A$5:$A$45,$A70,'4.2'!$E$5:$E$45,E$49)</f>
        <v>0</v>
      </c>
      <c r="F70" s="1">
        <f>SUMIFS('4.2'!$D$5:$D$45,'4.2'!$A$5:$A$45,$A70,'4.2'!$E$5:$E$45,F$49)</f>
        <v>0</v>
      </c>
      <c r="G70" s="1">
        <f>SUMIFS('4.2'!$D$5:$D$45,'4.2'!$A$5:$A$45,$A70,'4.2'!$E$5:$E$45,G$49)</f>
        <v>0</v>
      </c>
      <c r="H70" s="1">
        <f>SUMIFS('4.2'!$D$5:$D$45,'4.2'!$A$5:$A$45,$A70,'4.2'!$E$5:$E$45,H$49)</f>
        <v>0</v>
      </c>
      <c r="I70" s="1">
        <f>SUMIFS('4.2'!$D$5:$D$45,'4.2'!$A$5:$A$45,$A70,'4.2'!$E$5:$E$45,I$49)</f>
        <v>0</v>
      </c>
      <c r="J70" s="1">
        <f>SUMIFS('4.2'!$D$5:$D$45,'4.2'!$A$5:$A$45,$A70,'4.2'!$E$5:$E$45,J$49)</f>
        <v>0</v>
      </c>
      <c r="K70" s="1">
        <f>SUMIFS('4.2'!$D$5:$D$45,'4.2'!$A$5:$A$45,$A70,'4.2'!$E$5:$E$45,K$49)</f>
        <v>0</v>
      </c>
      <c r="L70" s="1">
        <f>SUMIFS('4.2'!$D$5:$D$45,'4.2'!$A$5:$A$45,$A70,'4.2'!$E$5:$E$45,L$49)</f>
        <v>0</v>
      </c>
      <c r="M70" s="1">
        <f>SUMIFS('4.2'!$D$5:$D$45,'4.2'!$A$5:$A$45,$A70,'4.2'!$E$5:$E$45,M$49)</f>
        <v>-12269000</v>
      </c>
      <c r="N70" s="1">
        <f>SUMIFS('4.2'!$D$5:$D$45,'4.2'!$A$5:$A$45,$A70,'4.2'!$E$5:$E$45,N$49)</f>
        <v>0</v>
      </c>
      <c r="O70" s="1">
        <f>SUMIFS('4.2'!$D$5:$D$45,'4.2'!$A$5:$A$45,$A70,'4.2'!$E$5:$E$45,O$49)</f>
        <v>0</v>
      </c>
      <c r="P70" s="1">
        <f>SUMIFS('4.2'!$D$5:$D$45,'4.2'!$A$5:$A$45,$A70,'4.2'!$E$5:$E$45,P$49)</f>
        <v>0</v>
      </c>
      <c r="Q70" s="1">
        <f>SUMIFS('4.2'!$D$5:$D$45,'4.2'!$A$5:$A$45,$A70,'4.2'!$E$5:$E$45,Q$49)</f>
        <v>0</v>
      </c>
      <c r="R70" s="1">
        <f t="shared" si="9"/>
        <v>-12269000</v>
      </c>
    </row>
    <row r="71" spans="1:18" x14ac:dyDescent="0.3">
      <c r="A71" s="3" t="s">
        <v>190</v>
      </c>
      <c r="B71" s="1">
        <f>SUMIFS('4.2'!$D$5:$D$45,'4.2'!$A$5:$A$45,$A71,'4.2'!$E$5:$E$45,B$49)</f>
        <v>0</v>
      </c>
      <c r="C71" s="1">
        <f>SUMIFS('4.2'!$D$5:$D$45,'4.2'!$A$5:$A$45,$A71,'4.2'!$E$5:$E$45,C$49)</f>
        <v>0</v>
      </c>
      <c r="D71" s="1">
        <f>SUMIFS('4.2'!$D$5:$D$45,'4.2'!$A$5:$A$45,$A71,'4.2'!$E$5:$E$45,D$49)</f>
        <v>0</v>
      </c>
      <c r="E71" s="1">
        <f>SUMIFS('4.2'!$D$5:$D$45,'4.2'!$A$5:$A$45,$A71,'4.2'!$E$5:$E$45,E$49)</f>
        <v>0</v>
      </c>
      <c r="F71" s="1">
        <f>SUMIFS('4.2'!$D$5:$D$45,'4.2'!$A$5:$A$45,$A71,'4.2'!$E$5:$E$45,F$49)</f>
        <v>0</v>
      </c>
      <c r="G71" s="1">
        <f>SUMIFS('4.2'!$D$5:$D$45,'4.2'!$A$5:$A$45,$A71,'4.2'!$E$5:$E$45,G$49)</f>
        <v>0</v>
      </c>
      <c r="H71" s="1">
        <f>SUMIFS('4.2'!$D$5:$D$45,'4.2'!$A$5:$A$45,$A71,'4.2'!$E$5:$E$45,H$49)</f>
        <v>0</v>
      </c>
      <c r="I71" s="1">
        <f>SUMIFS('4.2'!$D$5:$D$45,'4.2'!$A$5:$A$45,$A71,'4.2'!$E$5:$E$45,I$49)</f>
        <v>0</v>
      </c>
      <c r="J71" s="1">
        <f>SUMIFS('4.2'!$D$5:$D$45,'4.2'!$A$5:$A$45,$A71,'4.2'!$E$5:$E$45,J$49)</f>
        <v>0</v>
      </c>
      <c r="K71" s="1">
        <f>SUMIFS('4.2'!$D$5:$D$45,'4.2'!$A$5:$A$45,$A71,'4.2'!$E$5:$E$45,K$49)</f>
        <v>0</v>
      </c>
      <c r="L71" s="1">
        <f>SUMIFS('4.2'!$D$5:$D$45,'4.2'!$A$5:$A$45,$A71,'4.2'!$E$5:$E$45,L$49)</f>
        <v>0</v>
      </c>
      <c r="M71" s="1">
        <f>SUMIFS('4.2'!$D$5:$D$45,'4.2'!$A$5:$A$45,$A71,'4.2'!$E$5:$E$45,M$49)</f>
        <v>0</v>
      </c>
      <c r="N71" s="1">
        <f>SUMIFS('4.2'!$D$5:$D$45,'4.2'!$A$5:$A$45,$A71,'4.2'!$E$5:$E$45,N$49)</f>
        <v>0</v>
      </c>
      <c r="O71" s="1">
        <f>SUMIFS('4.2'!$D$5:$D$45,'4.2'!$A$5:$A$45,$A71,'4.2'!$E$5:$E$45,O$49)</f>
        <v>0</v>
      </c>
      <c r="P71" s="1">
        <f>SUMIFS('4.2'!$D$5:$D$45,'4.2'!$A$5:$A$45,$A71,'4.2'!$E$5:$E$45,P$49)</f>
        <v>0</v>
      </c>
      <c r="Q71" s="1">
        <f>SUMIFS('4.2'!$D$5:$D$45,'4.2'!$A$5:$A$45,$A71,'4.2'!$E$5:$E$45,Q$49)</f>
        <v>0</v>
      </c>
      <c r="R71" s="1">
        <f t="shared" si="9"/>
        <v>0</v>
      </c>
    </row>
    <row r="72" spans="1:18" x14ac:dyDescent="0.3">
      <c r="A72" s="3" t="s">
        <v>153</v>
      </c>
      <c r="B72" s="1">
        <f t="shared" ref="B72:P72" si="10">SUBTOTAL(9,B63:B71)</f>
        <v>0</v>
      </c>
      <c r="C72" s="1">
        <f t="shared" si="10"/>
        <v>0</v>
      </c>
      <c r="D72" s="1">
        <f t="shared" si="10"/>
        <v>0</v>
      </c>
      <c r="E72" s="1">
        <f t="shared" si="10"/>
        <v>0</v>
      </c>
      <c r="F72" s="1">
        <f t="shared" si="10"/>
        <v>0</v>
      </c>
      <c r="G72" s="1">
        <f t="shared" si="10"/>
        <v>0</v>
      </c>
      <c r="H72" s="1">
        <f t="shared" si="10"/>
        <v>0</v>
      </c>
      <c r="I72" s="1">
        <f t="shared" si="10"/>
        <v>0</v>
      </c>
      <c r="J72" s="1">
        <f t="shared" si="10"/>
        <v>1968000</v>
      </c>
      <c r="K72" s="1">
        <f t="shared" si="10"/>
        <v>0</v>
      </c>
      <c r="L72" s="1">
        <f t="shared" si="10"/>
        <v>0</v>
      </c>
      <c r="M72" s="1">
        <f t="shared" si="10"/>
        <v>-30592000</v>
      </c>
      <c r="N72" s="1">
        <f t="shared" si="10"/>
        <v>0</v>
      </c>
      <c r="O72" s="1">
        <f t="shared" si="10"/>
        <v>0</v>
      </c>
      <c r="P72" s="1">
        <f t="shared" si="10"/>
        <v>0</v>
      </c>
      <c r="Q72" s="1">
        <f>SUBTOTAL(9,Q63:Q71)</f>
        <v>0</v>
      </c>
      <c r="R72" s="1">
        <f>SUBTOTAL(9,R63:R71)</f>
        <v>-28624000</v>
      </c>
    </row>
    <row r="73" spans="1:18" x14ac:dyDescent="0.3">
      <c r="A73" s="2" t="s">
        <v>132</v>
      </c>
      <c r="B73" s="1">
        <f>SUMIFS('4.2'!$D$5:$D$45,'4.2'!$A$5:$A$45,$A73,'4.2'!$E$5:$E$45,B$49)</f>
        <v>0</v>
      </c>
      <c r="C73" s="1">
        <f>SUMIFS('4.2'!$D$5:$D$45,'4.2'!$A$5:$A$45,$A73,'4.2'!$E$5:$E$45,C$49)</f>
        <v>0</v>
      </c>
      <c r="D73" s="1">
        <f>SUMIFS('4.2'!$D$5:$D$45,'4.2'!$A$5:$A$45,$A73,'4.2'!$E$5:$E$45,D$49)</f>
        <v>0</v>
      </c>
      <c r="E73" s="1">
        <f>SUMIFS('4.2'!$D$5:$D$45,'4.2'!$A$5:$A$45,$A73,'4.2'!$E$5:$E$45,E$49)</f>
        <v>0</v>
      </c>
      <c r="F73" s="1">
        <f>SUMIFS('4.2'!$D$5:$D$45,'4.2'!$A$5:$A$45,$A73,'4.2'!$E$5:$E$45,F$49)</f>
        <v>0</v>
      </c>
      <c r="G73" s="1">
        <f>SUMIFS('4.2'!$D$5:$D$45,'4.2'!$A$5:$A$45,$A73,'4.2'!$E$5:$E$45,G$49)</f>
        <v>0</v>
      </c>
      <c r="H73" s="1">
        <f>SUMIFS('4.2'!$D$5:$D$45,'4.2'!$A$5:$A$45,$A73,'4.2'!$E$5:$E$45,H$49)</f>
        <v>0</v>
      </c>
      <c r="I73" s="1">
        <f>SUMIFS('4.2'!$D$5:$D$45,'4.2'!$A$5:$A$45,$A73,'4.2'!$E$5:$E$45,I$49)</f>
        <v>0</v>
      </c>
      <c r="J73" s="1">
        <f>SUMIFS('4.2'!$D$5:$D$45,'4.2'!$A$5:$A$45,$A73,'4.2'!$E$5:$E$45,J$49)</f>
        <v>0</v>
      </c>
      <c r="K73" s="1">
        <f>SUMIFS('4.2'!$D$5:$D$45,'4.2'!$A$5:$A$45,$A73,'4.2'!$E$5:$E$45,K$49)</f>
        <v>0</v>
      </c>
      <c r="L73" s="1">
        <f>SUMIFS('4.2'!$D$5:$D$45,'4.2'!$A$5:$A$45,$A73,'4.2'!$E$5:$E$45,L$49)</f>
        <v>0</v>
      </c>
      <c r="M73" s="1">
        <f>SUMIFS('4.2'!$D$5:$D$45,'4.2'!$A$5:$A$45,$A73,'4.2'!$E$5:$E$45,M$49)</f>
        <v>1490500</v>
      </c>
      <c r="N73" s="1">
        <f>SUMIFS('4.2'!$D$5:$D$45,'4.2'!$A$5:$A$45,$A73,'4.2'!$E$5:$E$45,N$49)</f>
        <v>0</v>
      </c>
      <c r="O73" s="1">
        <f>SUMIFS('4.2'!$D$5:$D$45,'4.2'!$A$5:$A$45,$A73,'4.2'!$E$5:$E$45,O$49)</f>
        <v>0</v>
      </c>
      <c r="P73" s="1">
        <f>SUMIFS('4.2'!$D$5:$D$45,'4.2'!$A$5:$A$45,$A73,'4.2'!$E$5:$E$45,P$49)</f>
        <v>0</v>
      </c>
      <c r="Q73" s="1">
        <f>SUMIFS('4.2'!$D$5:$D$45,'4.2'!$A$5:$A$45,$A73,'4.2'!$E$5:$E$45,Q$49)</f>
        <v>0</v>
      </c>
      <c r="R73" s="1">
        <f t="shared" ref="R73:R79" si="11">SUM(B73:Q73)</f>
        <v>1490500</v>
      </c>
    </row>
    <row r="74" spans="1:18" x14ac:dyDescent="0.3">
      <c r="A74" s="2" t="s">
        <v>145</v>
      </c>
      <c r="B74" s="1">
        <f>SUMIFS('4.2'!$D$5:$D$45,'4.2'!$A$5:$A$45,$A74,'4.2'!$E$5:$E$45,B$49)</f>
        <v>0</v>
      </c>
      <c r="C74" s="1">
        <f>SUMIFS('4.2'!$D$5:$D$45,'4.2'!$A$5:$A$45,$A74,'4.2'!$E$5:$E$45,C$49)</f>
        <v>0</v>
      </c>
      <c r="D74" s="1">
        <f>SUMIFS('4.2'!$D$5:$D$45,'4.2'!$A$5:$A$45,$A74,'4.2'!$E$5:$E$45,D$49)</f>
        <v>0</v>
      </c>
      <c r="E74" s="1">
        <f>SUMIFS('4.2'!$D$5:$D$45,'4.2'!$A$5:$A$45,$A74,'4.2'!$E$5:$E$45,E$49)</f>
        <v>0</v>
      </c>
      <c r="F74" s="1">
        <f>SUMIFS('4.2'!$D$5:$D$45,'4.2'!$A$5:$A$45,$A74,'4.2'!$E$5:$E$45,F$49)</f>
        <v>0</v>
      </c>
      <c r="G74" s="1">
        <f>SUMIFS('4.2'!$D$5:$D$45,'4.2'!$A$5:$A$45,$A74,'4.2'!$E$5:$E$45,G$49)</f>
        <v>0</v>
      </c>
      <c r="H74" s="1">
        <f>SUMIFS('4.2'!$D$5:$D$45,'4.2'!$A$5:$A$45,$A74,'4.2'!$E$5:$E$45,H$49)</f>
        <v>0</v>
      </c>
      <c r="I74" s="1">
        <f>SUMIFS('4.2'!$D$5:$D$45,'4.2'!$A$5:$A$45,$A74,'4.2'!$E$5:$E$45,I$49)</f>
        <v>0</v>
      </c>
      <c r="J74" s="1">
        <f>SUMIFS('4.2'!$D$5:$D$45,'4.2'!$A$5:$A$45,$A74,'4.2'!$E$5:$E$45,J$49)</f>
        <v>0</v>
      </c>
      <c r="K74" s="1">
        <f>SUMIFS('4.2'!$D$5:$D$45,'4.2'!$A$5:$A$45,$A74,'4.2'!$E$5:$E$45,K$49)</f>
        <v>0</v>
      </c>
      <c r="L74" s="1">
        <f>SUMIFS('4.2'!$D$5:$D$45,'4.2'!$A$5:$A$45,$A74,'4.2'!$E$5:$E$45,L$49)</f>
        <v>0</v>
      </c>
      <c r="M74" s="1">
        <f>SUMIFS('4.2'!$D$5:$D$45,'4.2'!$A$5:$A$45,$A74,'4.2'!$E$5:$E$45,M$49)</f>
        <v>0</v>
      </c>
      <c r="N74" s="1">
        <f>SUMIFS('4.2'!$D$5:$D$45,'4.2'!$A$5:$A$45,$A74,'4.2'!$E$5:$E$45,N$49)</f>
        <v>0</v>
      </c>
      <c r="O74" s="1">
        <f>SUMIFS('4.2'!$D$5:$D$45,'4.2'!$A$5:$A$45,$A74,'4.2'!$E$5:$E$45,O$49)</f>
        <v>0</v>
      </c>
      <c r="P74" s="1">
        <f>SUMIFS('4.2'!$D$5:$D$45,'4.2'!$A$5:$A$45,$A74,'4.2'!$E$5:$E$45,P$49)</f>
        <v>0</v>
      </c>
      <c r="Q74" s="1">
        <f>SUMIFS('4.2'!$D$5:$D$45,'4.2'!$A$5:$A$45,$A74,'4.2'!$E$5:$E$45,Q$49)</f>
        <v>0</v>
      </c>
      <c r="R74" s="1">
        <f t="shared" si="11"/>
        <v>0</v>
      </c>
    </row>
    <row r="75" spans="1:18" x14ac:dyDescent="0.3">
      <c r="A75" s="2" t="s">
        <v>146</v>
      </c>
      <c r="B75" s="1">
        <f>SUMIFS('4.2'!$D$5:$D$45,'4.2'!$A$5:$A$45,$A75,'4.2'!$E$5:$E$45,B$49)</f>
        <v>0</v>
      </c>
      <c r="C75" s="1">
        <f>SUMIFS('4.2'!$D$5:$D$45,'4.2'!$A$5:$A$45,$A75,'4.2'!$E$5:$E$45,C$49)</f>
        <v>0</v>
      </c>
      <c r="D75" s="1">
        <f>SUMIFS('4.2'!$D$5:$D$45,'4.2'!$A$5:$A$45,$A75,'4.2'!$E$5:$E$45,D$49)</f>
        <v>0</v>
      </c>
      <c r="E75" s="1">
        <f>SUMIFS('4.2'!$D$5:$D$45,'4.2'!$A$5:$A$45,$A75,'4.2'!$E$5:$E$45,E$49)</f>
        <v>0</v>
      </c>
      <c r="F75" s="1">
        <f>SUMIFS('4.2'!$D$5:$D$45,'4.2'!$A$5:$A$45,$A75,'4.2'!$E$5:$E$45,F$49)</f>
        <v>0</v>
      </c>
      <c r="G75" s="1">
        <f>SUMIFS('4.2'!$D$5:$D$45,'4.2'!$A$5:$A$45,$A75,'4.2'!$E$5:$E$45,G$49)</f>
        <v>0</v>
      </c>
      <c r="H75" s="1">
        <f>SUMIFS('4.2'!$D$5:$D$45,'4.2'!$A$5:$A$45,$A75,'4.2'!$E$5:$E$45,H$49)</f>
        <v>0</v>
      </c>
      <c r="I75" s="1">
        <f>SUMIFS('4.2'!$D$5:$D$45,'4.2'!$A$5:$A$45,$A75,'4.2'!$E$5:$E$45,I$49)</f>
        <v>0</v>
      </c>
      <c r="J75" s="1">
        <f>SUMIFS('4.2'!$D$5:$D$45,'4.2'!$A$5:$A$45,$A75,'4.2'!$E$5:$E$45,J$49)</f>
        <v>0</v>
      </c>
      <c r="K75" s="1">
        <f>SUMIFS('4.2'!$D$5:$D$45,'4.2'!$A$5:$A$45,$A75,'4.2'!$E$5:$E$45,K$49)</f>
        <v>0</v>
      </c>
      <c r="L75" s="1">
        <f>SUMIFS('4.2'!$D$5:$D$45,'4.2'!$A$5:$A$45,$A75,'4.2'!$E$5:$E$45,L$49)</f>
        <v>0</v>
      </c>
      <c r="M75" s="1">
        <f>SUMIFS('4.2'!$D$5:$D$45,'4.2'!$A$5:$A$45,$A75,'4.2'!$E$5:$E$45,M$49)</f>
        <v>0</v>
      </c>
      <c r="N75" s="1">
        <f>SUMIFS('4.2'!$D$5:$D$45,'4.2'!$A$5:$A$45,$A75,'4.2'!$E$5:$E$45,N$49)</f>
        <v>0</v>
      </c>
      <c r="O75" s="1">
        <f>SUMIFS('4.2'!$D$5:$D$45,'4.2'!$A$5:$A$45,$A75,'4.2'!$E$5:$E$45,O$49)</f>
        <v>0</v>
      </c>
      <c r="P75" s="1">
        <f>SUMIFS('4.2'!$D$5:$D$45,'4.2'!$A$5:$A$45,$A75,'4.2'!$E$5:$E$45,P$49)</f>
        <v>0</v>
      </c>
      <c r="Q75" s="1">
        <f>SUMIFS('4.2'!$D$5:$D$45,'4.2'!$A$5:$A$45,$A75,'4.2'!$E$5:$E$45,Q$49)</f>
        <v>0</v>
      </c>
      <c r="R75" s="1">
        <f t="shared" si="11"/>
        <v>0</v>
      </c>
    </row>
    <row r="76" spans="1:18" x14ac:dyDescent="0.3">
      <c r="A76" s="2" t="s">
        <v>133</v>
      </c>
      <c r="B76" s="1">
        <f>SUMIFS('4.2'!$D$5:$D$45,'4.2'!$A$5:$A$45,$A76,'4.2'!$E$5:$E$45,B$49)</f>
        <v>0</v>
      </c>
      <c r="C76" s="1">
        <f>SUMIFS('4.2'!$D$5:$D$45,'4.2'!$A$5:$A$45,$A76,'4.2'!$E$5:$E$45,C$49)</f>
        <v>0</v>
      </c>
      <c r="D76" s="1">
        <f>SUMIFS('4.2'!$D$5:$D$45,'4.2'!$A$5:$A$45,$A76,'4.2'!$E$5:$E$45,D$49)</f>
        <v>0</v>
      </c>
      <c r="E76" s="1">
        <f>SUMIFS('4.2'!$D$5:$D$45,'4.2'!$A$5:$A$45,$A76,'4.2'!$E$5:$E$45,E$49)</f>
        <v>0</v>
      </c>
      <c r="F76" s="1">
        <f>SUMIFS('4.2'!$D$5:$D$45,'4.2'!$A$5:$A$45,$A76,'4.2'!$E$5:$E$45,F$49)</f>
        <v>0</v>
      </c>
      <c r="G76" s="1">
        <f>SUMIFS('4.2'!$D$5:$D$45,'4.2'!$A$5:$A$45,$A76,'4.2'!$E$5:$E$45,G$49)</f>
        <v>0</v>
      </c>
      <c r="H76" s="1">
        <f>SUMIFS('4.2'!$D$5:$D$45,'4.2'!$A$5:$A$45,$A76,'4.2'!$E$5:$E$45,H$49)</f>
        <v>0</v>
      </c>
      <c r="I76" s="1">
        <f>SUMIFS('4.2'!$D$5:$D$45,'4.2'!$A$5:$A$45,$A76,'4.2'!$E$5:$E$45,I$49)</f>
        <v>0</v>
      </c>
      <c r="J76" s="1">
        <f>SUMIFS('4.2'!$D$5:$D$45,'4.2'!$A$5:$A$45,$A76,'4.2'!$E$5:$E$45,J$49)</f>
        <v>-5343500</v>
      </c>
      <c r="K76" s="1">
        <f>SUMIFS('4.2'!$D$5:$D$45,'4.2'!$A$5:$A$45,$A76,'4.2'!$E$5:$E$45,K$49)</f>
        <v>0</v>
      </c>
      <c r="L76" s="1">
        <f>SUMIFS('4.2'!$D$5:$D$45,'4.2'!$A$5:$A$45,$A76,'4.2'!$E$5:$E$45,L$49)</f>
        <v>0</v>
      </c>
      <c r="M76" s="1">
        <f>SUMIFS('4.2'!$D$5:$D$45,'4.2'!$A$5:$A$45,$A76,'4.2'!$E$5:$E$45,M$49)</f>
        <v>0</v>
      </c>
      <c r="N76" s="1">
        <f>SUMIFS('4.2'!$D$5:$D$45,'4.2'!$A$5:$A$45,$A76,'4.2'!$E$5:$E$45,N$49)</f>
        <v>0</v>
      </c>
      <c r="O76" s="1">
        <f>SUMIFS('4.2'!$D$5:$D$45,'4.2'!$A$5:$A$45,$A76,'4.2'!$E$5:$E$45,O$49)</f>
        <v>0</v>
      </c>
      <c r="P76" s="1">
        <f>SUMIFS('4.2'!$D$5:$D$45,'4.2'!$A$5:$A$45,$A76,'4.2'!$E$5:$E$45,P$49)</f>
        <v>0</v>
      </c>
      <c r="Q76" s="1">
        <f>SUMIFS('4.2'!$D$5:$D$45,'4.2'!$A$5:$A$45,$A76,'4.2'!$E$5:$E$45,Q$49)</f>
        <v>0</v>
      </c>
      <c r="R76" s="1">
        <f t="shared" si="11"/>
        <v>-5343500</v>
      </c>
    </row>
    <row r="77" spans="1:18" x14ac:dyDescent="0.3">
      <c r="A77" s="2" t="s">
        <v>731</v>
      </c>
      <c r="B77" s="1">
        <f>SUMIFS('4.2'!$D$5:$D$45,'4.2'!$A$5:$A$45,$A77,'4.2'!$E$5:$E$45,B$49)</f>
        <v>0</v>
      </c>
      <c r="C77" s="1">
        <f>SUMIFS('4.2'!$D$5:$D$45,'4.2'!$A$5:$A$45,$A77,'4.2'!$E$5:$E$45,C$49)</f>
        <v>0</v>
      </c>
      <c r="D77" s="1">
        <f>SUMIFS('4.2'!$D$5:$D$45,'4.2'!$A$5:$A$45,$A77,'4.2'!$E$5:$E$45,D$49)</f>
        <v>0</v>
      </c>
      <c r="E77" s="1">
        <f>SUMIFS('4.2'!$D$5:$D$45,'4.2'!$A$5:$A$45,$A77,'4.2'!$E$5:$E$45,E$49)</f>
        <v>0</v>
      </c>
      <c r="F77" s="1">
        <f>SUMIFS('4.2'!$D$5:$D$45,'4.2'!$A$5:$A$45,$A77,'4.2'!$E$5:$E$45,F$49)</f>
        <v>0</v>
      </c>
      <c r="G77" s="1">
        <f>SUMIFS('4.2'!$D$5:$D$45,'4.2'!$A$5:$A$45,$A77,'4.2'!$E$5:$E$45,G$49)</f>
        <v>0</v>
      </c>
      <c r="H77" s="1">
        <f>SUMIFS('4.2'!$D$5:$D$45,'4.2'!$A$5:$A$45,$A77,'4.2'!$E$5:$E$45,H$49)</f>
        <v>0</v>
      </c>
      <c r="I77" s="1">
        <f>SUMIFS('4.2'!$D$5:$D$45,'4.2'!$A$5:$A$45,$A77,'4.2'!$E$5:$E$45,I$49)</f>
        <v>0</v>
      </c>
      <c r="J77" s="1">
        <f>SUMIFS('4.2'!$D$5:$D$45,'4.2'!$A$5:$A$45,$A77,'4.2'!$E$5:$E$45,J$49)</f>
        <v>0</v>
      </c>
      <c r="K77" s="1">
        <f>SUMIFS('4.2'!$D$5:$D$45,'4.2'!$A$5:$A$45,$A77,'4.2'!$E$5:$E$45,K$49)</f>
        <v>0</v>
      </c>
      <c r="L77" s="1">
        <f>SUMIFS('4.2'!$D$5:$D$45,'4.2'!$A$5:$A$45,$A77,'4.2'!$E$5:$E$45,L$49)</f>
        <v>0</v>
      </c>
      <c r="M77" s="1">
        <f>SUMIFS('4.2'!$D$5:$D$45,'4.2'!$A$5:$A$45,$A77,'4.2'!$E$5:$E$45,M$49)</f>
        <v>3558500</v>
      </c>
      <c r="N77" s="1">
        <f>SUMIFS('4.2'!$D$5:$D$45,'4.2'!$A$5:$A$45,$A77,'4.2'!$E$5:$E$45,N$49)</f>
        <v>0</v>
      </c>
      <c r="O77" s="1">
        <f>SUMIFS('4.2'!$D$5:$D$45,'4.2'!$A$5:$A$45,$A77,'4.2'!$E$5:$E$45,O$49)</f>
        <v>0</v>
      </c>
      <c r="P77" s="1">
        <f>SUMIFS('4.2'!$D$5:$D$45,'4.2'!$A$5:$A$45,$A77,'4.2'!$E$5:$E$45,P$49)</f>
        <v>0</v>
      </c>
      <c r="Q77" s="1">
        <f>SUMIFS('4.2'!$D$5:$D$45,'4.2'!$A$5:$A$45,$A77,'4.2'!$E$5:$E$45,Q$49)</f>
        <v>0</v>
      </c>
      <c r="R77" s="1">
        <f t="shared" si="11"/>
        <v>3558500</v>
      </c>
    </row>
    <row r="78" spans="1:18" x14ac:dyDescent="0.3">
      <c r="A78" s="2" t="s">
        <v>730</v>
      </c>
      <c r="B78" s="1">
        <f>SUMIFS('4.2'!$D$5:$D$45,'4.2'!$A$5:$A$45,$A78,'4.2'!$E$5:$E$45,B$49)</f>
        <v>0</v>
      </c>
      <c r="C78" s="1">
        <f>SUMIFS('4.2'!$D$5:$D$45,'4.2'!$A$5:$A$45,$A78,'4.2'!$E$5:$E$45,C$49)</f>
        <v>0</v>
      </c>
      <c r="D78" s="1">
        <f>SUMIFS('4.2'!$D$5:$D$45,'4.2'!$A$5:$A$45,$A78,'4.2'!$E$5:$E$45,D$49)</f>
        <v>0</v>
      </c>
      <c r="E78" s="1">
        <f>SUMIFS('4.2'!$D$5:$D$45,'4.2'!$A$5:$A$45,$A78,'4.2'!$E$5:$E$45,E$49)</f>
        <v>0</v>
      </c>
      <c r="F78" s="1">
        <f>SUMIFS('4.2'!$D$5:$D$45,'4.2'!$A$5:$A$45,$A78,'4.2'!$E$5:$E$45,F$49)</f>
        <v>0</v>
      </c>
      <c r="G78" s="1">
        <f>SUMIFS('4.2'!$D$5:$D$45,'4.2'!$A$5:$A$45,$A78,'4.2'!$E$5:$E$45,G$49)</f>
        <v>0</v>
      </c>
      <c r="H78" s="1">
        <f>SUMIFS('4.2'!$D$5:$D$45,'4.2'!$A$5:$A$45,$A78,'4.2'!$E$5:$E$45,H$49)</f>
        <v>0</v>
      </c>
      <c r="I78" s="1">
        <f>SUMIFS('4.2'!$D$5:$D$45,'4.2'!$A$5:$A$45,$A78,'4.2'!$E$5:$E$45,I$49)</f>
        <v>0</v>
      </c>
      <c r="J78" s="1">
        <f>SUMIFS('4.2'!$D$5:$D$45,'4.2'!$A$5:$A$45,$A78,'4.2'!$E$5:$E$45,J$49)</f>
        <v>0</v>
      </c>
      <c r="K78" s="1">
        <f>SUMIFS('4.2'!$D$5:$D$45,'4.2'!$A$5:$A$45,$A78,'4.2'!$E$5:$E$45,K$49)</f>
        <v>0</v>
      </c>
      <c r="L78" s="1">
        <f>SUMIFS('4.2'!$D$5:$D$45,'4.2'!$A$5:$A$45,$A78,'4.2'!$E$5:$E$45,L$49)</f>
        <v>0</v>
      </c>
      <c r="M78" s="1">
        <f>SUMIFS('4.2'!$D$5:$D$45,'4.2'!$A$5:$A$45,$A78,'4.2'!$E$5:$E$45,M$49)</f>
        <v>0</v>
      </c>
      <c r="N78" s="1">
        <f>SUMIFS('4.2'!$D$5:$D$45,'4.2'!$A$5:$A$45,$A78,'4.2'!$E$5:$E$45,N$49)</f>
        <v>0</v>
      </c>
      <c r="O78" s="1">
        <f>SUMIFS('4.2'!$D$5:$D$45,'4.2'!$A$5:$A$45,$A78,'4.2'!$E$5:$E$45,O$49)</f>
        <v>0</v>
      </c>
      <c r="P78" s="1">
        <f>SUMIFS('4.2'!$D$5:$D$45,'4.2'!$A$5:$A$45,$A78,'4.2'!$E$5:$E$45,P$49)</f>
        <v>0</v>
      </c>
      <c r="Q78" s="1">
        <f>SUMIFS('4.2'!$D$5:$D$45,'4.2'!$A$5:$A$45,$A78,'4.2'!$E$5:$E$45,Q$49)</f>
        <v>0</v>
      </c>
      <c r="R78" s="1">
        <f t="shared" si="11"/>
        <v>0</v>
      </c>
    </row>
    <row r="79" spans="1:18" x14ac:dyDescent="0.3">
      <c r="A79" s="2" t="s">
        <v>134</v>
      </c>
      <c r="B79" s="1">
        <f>SUMIFS('4.2'!$D$5:$D$45,'4.2'!$A$5:$A$45,$A79,'4.2'!$E$5:$E$45,B$49)</f>
        <v>0</v>
      </c>
      <c r="C79" s="1">
        <f>SUMIFS('4.2'!$D$5:$D$45,'4.2'!$A$5:$A$45,$A79,'4.2'!$E$5:$E$45,C$49)</f>
        <v>0</v>
      </c>
      <c r="D79" s="1">
        <f>SUMIFS('4.2'!$D$5:$D$45,'4.2'!$A$5:$A$45,$A79,'4.2'!$E$5:$E$45,D$49)</f>
        <v>0</v>
      </c>
      <c r="E79" s="1">
        <f>SUMIFS('4.2'!$D$5:$D$45,'4.2'!$A$5:$A$45,$A79,'4.2'!$E$5:$E$45,E$49)</f>
        <v>0</v>
      </c>
      <c r="F79" s="1">
        <f>SUMIFS('4.2'!$D$5:$D$45,'4.2'!$A$5:$A$45,$A79,'4.2'!$E$5:$E$45,F$49)</f>
        <v>0</v>
      </c>
      <c r="G79" s="1">
        <f>SUMIFS('4.2'!$D$5:$D$45,'4.2'!$A$5:$A$45,$A79,'4.2'!$E$5:$E$45,G$49)</f>
        <v>0</v>
      </c>
      <c r="H79" s="1">
        <f>SUMIFS('4.2'!$D$5:$D$45,'4.2'!$A$5:$A$45,$A79,'4.2'!$E$5:$E$45,H$49)</f>
        <v>0</v>
      </c>
      <c r="I79" s="1">
        <f>SUMIFS('4.2'!$D$5:$D$45,'4.2'!$A$5:$A$45,$A79,'4.2'!$E$5:$E$45,I$49)</f>
        <v>0</v>
      </c>
      <c r="J79" s="1">
        <f>SUMIFS('4.2'!$D$5:$D$45,'4.2'!$A$5:$A$45,$A79,'4.2'!$E$5:$E$45,J$49)</f>
        <v>0</v>
      </c>
      <c r="K79" s="1">
        <f>SUMIFS('4.2'!$D$5:$D$45,'4.2'!$A$5:$A$45,$A79,'4.2'!$E$5:$E$45,K$49)</f>
        <v>0</v>
      </c>
      <c r="L79" s="1">
        <f>SUMIFS('4.2'!$D$5:$D$45,'4.2'!$A$5:$A$45,$A79,'4.2'!$E$5:$E$45,L$49)</f>
        <v>0</v>
      </c>
      <c r="M79" s="1">
        <f>SUMIFS('4.2'!$D$5:$D$45,'4.2'!$A$5:$A$45,$A79,'4.2'!$E$5:$E$45,M$49)</f>
        <v>1019500</v>
      </c>
      <c r="N79" s="1">
        <f>SUMIFS('4.2'!$D$5:$D$45,'4.2'!$A$5:$A$45,$A79,'4.2'!$E$5:$E$45,N$49)</f>
        <v>0</v>
      </c>
      <c r="O79" s="1">
        <f>SUMIFS('4.2'!$D$5:$D$45,'4.2'!$A$5:$A$45,$A79,'4.2'!$E$5:$E$45,O$49)</f>
        <v>0</v>
      </c>
      <c r="P79" s="1">
        <f>SUMIFS('4.2'!$D$5:$D$45,'4.2'!$A$5:$A$45,$A79,'4.2'!$E$5:$E$45,P$49)</f>
        <v>0</v>
      </c>
      <c r="Q79" s="1">
        <f>SUMIFS('4.2'!$D$5:$D$45,'4.2'!$A$5:$A$45,$A79,'4.2'!$E$5:$E$45,Q$49)</f>
        <v>0</v>
      </c>
      <c r="R79" s="1">
        <f t="shared" si="11"/>
        <v>1019500</v>
      </c>
    </row>
    <row r="80" spans="1:18" x14ac:dyDescent="0.3">
      <c r="A80" s="2" t="s">
        <v>186</v>
      </c>
    </row>
    <row r="81" spans="1:18" x14ac:dyDescent="0.3">
      <c r="A81" s="3" t="s">
        <v>238</v>
      </c>
      <c r="B81" s="1">
        <f>SUMIFS('6.2'!$F$44:$F$46,'6.2'!$G$44:$G$46,$A81,'6.2'!$H$44:$H$46,B$49)</f>
        <v>0</v>
      </c>
      <c r="C81" s="1">
        <f>SUMIFS('6.2'!$F$44:$F$46,'6.2'!$G$44:$G$46,$A81,'6.2'!$H$44:$H$46,C$49)</f>
        <v>0</v>
      </c>
      <c r="D81" s="1">
        <f>SUMIFS('6.2'!$F$44:$F$46,'6.2'!$G$44:$G$46,$A81,'6.2'!$H$44:$H$46,D$49)</f>
        <v>0</v>
      </c>
      <c r="E81" s="1">
        <f>SUMIFS('6.2'!$F$44:$F$46,'6.2'!$G$44:$G$46,$A81,'6.2'!$H$44:$H$46,E$49)</f>
        <v>0</v>
      </c>
      <c r="F81" s="1">
        <f>SUMIFS('6.2'!$F$44:$F$46,'6.2'!$G$44:$G$46,$A81,'6.2'!$H$44:$H$46,F$49)</f>
        <v>198006</v>
      </c>
      <c r="G81" s="1">
        <f>SUMIFS('6.2'!$F$44:$F$46,'6.2'!$G$44:$G$46,$A81,'6.2'!$H$44:$H$46,G$49)</f>
        <v>0</v>
      </c>
      <c r="H81" s="1">
        <f>SUMIFS('6.2'!$F$44:$F$46,'6.2'!$G$44:$G$46,$A81,'6.2'!$H$44:$H$46,H$49)</f>
        <v>0</v>
      </c>
      <c r="I81" s="1">
        <f>SUMIFS('6.2'!$F$44:$F$46,'6.2'!$G$44:$G$46,$A81,'6.2'!$H$44:$H$46,I$49)</f>
        <v>0</v>
      </c>
      <c r="J81" s="1">
        <f>SUMIFS('6.2'!$F$44:$F$46,'6.2'!$G$44:$G$46,$A81,'6.2'!$H$44:$H$46,J$49)</f>
        <v>0</v>
      </c>
      <c r="K81" s="1">
        <f>SUMIFS('6.2'!$F$44:$F$46,'6.2'!$G$44:$G$46,$A81,'6.2'!$H$44:$H$46,K$49)</f>
        <v>0</v>
      </c>
      <c r="L81" s="1">
        <f>SUMIFS('6.2'!$F$44:$F$46,'6.2'!$G$44:$G$46,$A81,'6.2'!$H$44:$H$46,L$49)</f>
        <v>0</v>
      </c>
      <c r="M81" s="1">
        <f>SUMIFS('6.2'!$F$44:$F$46,'6.2'!$G$44:$G$46,$A81,'6.2'!$H$44:$H$46,M$49)</f>
        <v>0</v>
      </c>
      <c r="N81" s="1">
        <f>SUMIFS('6.2'!$F$44:$F$46,'6.2'!$G$44:$G$46,$A81,'6.2'!$H$44:$H$46,N$49)</f>
        <v>0</v>
      </c>
      <c r="O81" s="1">
        <f>SUMIFS('6.2'!$F$44:$F$46,'6.2'!$G$44:$G$46,$A81,'6.2'!$H$44:$H$46,O$49)</f>
        <v>0</v>
      </c>
      <c r="P81" s="1">
        <f>SUMIFS('6.2'!$F$44:$F$46,'6.2'!$G$44:$G$46,$A81,'6.2'!$H$44:$H$46,P$49)</f>
        <v>0</v>
      </c>
      <c r="Q81" s="1">
        <f>SUMIFS('6.2'!$F$44:$F$46,'6.2'!$G$44:$G$46,$A81,'6.2'!$H$44:$H$46,Q$49)</f>
        <v>0</v>
      </c>
      <c r="R81" s="1">
        <f>SUM(B81:Q81)</f>
        <v>198006</v>
      </c>
    </row>
    <row r="82" spans="1:18" x14ac:dyDescent="0.3">
      <c r="A82" s="3" t="s">
        <v>239</v>
      </c>
      <c r="B82" s="1">
        <f>SUMIFS('6.2'!$F$44:$F$46,'6.2'!$G$44:$G$46,$A82,'6.2'!$H$44:$H$46,B$49)</f>
        <v>0</v>
      </c>
      <c r="C82" s="1">
        <f>SUMIFS('6.2'!$F$44:$F$46,'6.2'!$G$44:$G$46,$A82,'6.2'!$H$44:$H$46,C$49)</f>
        <v>0</v>
      </c>
      <c r="D82" s="1">
        <f>SUMIFS('6.2'!$F$44:$F$46,'6.2'!$G$44:$G$46,$A82,'6.2'!$H$44:$H$46,D$49)</f>
        <v>0</v>
      </c>
      <c r="E82" s="1">
        <f>SUMIFS('6.2'!$F$44:$F$46,'6.2'!$G$44:$G$46,$A82,'6.2'!$H$44:$H$46,E$49)</f>
        <v>0</v>
      </c>
      <c r="F82" s="1">
        <f>SUMIFS('6.2'!$F$44:$F$46,'6.2'!$G$44:$G$46,$A82,'6.2'!$H$44:$H$46,F$49)</f>
        <v>0</v>
      </c>
      <c r="G82" s="1">
        <f>SUMIFS('6.2'!$F$44:$F$46,'6.2'!$G$44:$G$46,$A82,'6.2'!$H$44:$H$46,G$49)</f>
        <v>0</v>
      </c>
      <c r="H82" s="1">
        <f>SUMIFS('6.2'!$F$44:$F$46,'6.2'!$G$44:$G$46,$A82,'6.2'!$H$44:$H$46,H$49)</f>
        <v>0</v>
      </c>
      <c r="I82" s="1">
        <f>SUMIFS('6.2'!$F$44:$F$46,'6.2'!$G$44:$G$46,$A82,'6.2'!$H$44:$H$46,I$49)</f>
        <v>0</v>
      </c>
      <c r="J82" s="1">
        <f>SUMIFS('6.2'!$F$44:$F$46,'6.2'!$G$44:$G$46,$A82,'6.2'!$H$44:$H$46,J$49)</f>
        <v>1021501</v>
      </c>
      <c r="K82" s="1">
        <f>SUMIFS('6.2'!$F$44:$F$46,'6.2'!$G$44:$G$46,$A82,'6.2'!$H$44:$H$46,K$49)</f>
        <v>0</v>
      </c>
      <c r="L82" s="1">
        <f>SUMIFS('6.2'!$F$44:$F$46,'6.2'!$G$44:$G$46,$A82,'6.2'!$H$44:$H$46,L$49)</f>
        <v>0</v>
      </c>
      <c r="M82" s="1">
        <f>SUMIFS('6.2'!$F$44:$F$46,'6.2'!$G$44:$G$46,$A82,'6.2'!$H$44:$H$46,M$49)</f>
        <v>0</v>
      </c>
      <c r="N82" s="1">
        <f>SUMIFS('6.2'!$F$44:$F$46,'6.2'!$G$44:$G$46,$A82,'6.2'!$H$44:$H$46,N$49)</f>
        <v>0</v>
      </c>
      <c r="O82" s="1">
        <f>SUMIFS('6.2'!$F$44:$F$46,'6.2'!$G$44:$G$46,$A82,'6.2'!$H$44:$H$46,O$49)</f>
        <v>0</v>
      </c>
      <c r="P82" s="1">
        <f>SUMIFS('6.2'!$F$44:$F$46,'6.2'!$G$44:$G$46,$A82,'6.2'!$H$44:$H$46,P$49)</f>
        <v>0</v>
      </c>
      <c r="Q82" s="1">
        <f>SUMIFS('6.2'!$F$44:$F$46,'6.2'!$G$44:$G$46,$A82,'6.2'!$H$44:$H$46,Q$49)</f>
        <v>0</v>
      </c>
      <c r="R82" s="1">
        <f>SUM(B82:Q82)</f>
        <v>1021501</v>
      </c>
    </row>
    <row r="83" spans="1:18" x14ac:dyDescent="0.3">
      <c r="A83" s="3" t="s">
        <v>187</v>
      </c>
      <c r="B83" s="1">
        <f t="shared" ref="B83:P83" si="12">SUBTOTAL(9,B81:B82)</f>
        <v>0</v>
      </c>
      <c r="C83" s="1">
        <f t="shared" si="12"/>
        <v>0</v>
      </c>
      <c r="D83" s="1">
        <f t="shared" si="12"/>
        <v>0</v>
      </c>
      <c r="E83" s="1">
        <f t="shared" si="12"/>
        <v>0</v>
      </c>
      <c r="F83" s="1">
        <f t="shared" si="12"/>
        <v>198006</v>
      </c>
      <c r="G83" s="1">
        <f t="shared" si="12"/>
        <v>0</v>
      </c>
      <c r="H83" s="1">
        <f t="shared" si="12"/>
        <v>0</v>
      </c>
      <c r="I83" s="1">
        <f t="shared" si="12"/>
        <v>0</v>
      </c>
      <c r="J83" s="1">
        <f t="shared" si="12"/>
        <v>1021501</v>
      </c>
      <c r="K83" s="1">
        <f t="shared" si="12"/>
        <v>0</v>
      </c>
      <c r="L83" s="1">
        <f t="shared" si="12"/>
        <v>0</v>
      </c>
      <c r="M83" s="1">
        <f t="shared" si="12"/>
        <v>0</v>
      </c>
      <c r="N83" s="1">
        <f t="shared" si="12"/>
        <v>0</v>
      </c>
      <c r="O83" s="1">
        <f t="shared" si="12"/>
        <v>0</v>
      </c>
      <c r="P83" s="1">
        <f t="shared" si="12"/>
        <v>0</v>
      </c>
      <c r="Q83" s="1">
        <f>SUBTOTAL(9,Q81:Q82)</f>
        <v>0</v>
      </c>
      <c r="R83" s="1">
        <f>SUBTOTAL(9,R81:R82)</f>
        <v>1219507</v>
      </c>
    </row>
    <row r="84" spans="1:18" x14ac:dyDescent="0.3">
      <c r="A84" s="2" t="s">
        <v>135</v>
      </c>
      <c r="B84" s="1">
        <f>SUMIFS('4.2'!$D$5:$D$45,'4.2'!$A$5:$A$45,$A84,'4.2'!$E$5:$E$45,B$49)</f>
        <v>0</v>
      </c>
      <c r="C84" s="1">
        <f>SUMIFS('4.2'!$D$5:$D$45,'4.2'!$A$5:$A$45,$A84,'4.2'!$E$5:$E$45,C$49)</f>
        <v>0</v>
      </c>
      <c r="D84" s="1">
        <f>SUMIFS('4.2'!$D$5:$D$45,'4.2'!$A$5:$A$45,$A84,'4.2'!$E$5:$E$45,D$49)</f>
        <v>0</v>
      </c>
      <c r="E84" s="1">
        <f>SUMIFS('4.2'!$D$5:$D$45,'4.2'!$A$5:$A$45,$A84,'4.2'!$E$5:$E$45,E$49)</f>
        <v>0</v>
      </c>
      <c r="F84" s="1">
        <f>SUMIFS('4.2'!$D$5:$D$45,'4.2'!$A$5:$A$45,$A84,'4.2'!$E$5:$E$45,F$49)</f>
        <v>0</v>
      </c>
      <c r="G84" s="1">
        <f>SUMIFS('4.2'!$D$5:$D$45,'4.2'!$A$5:$A$45,$A84,'4.2'!$E$5:$E$45,G$49)</f>
        <v>0</v>
      </c>
      <c r="H84" s="1">
        <f>SUMIFS('4.2'!$D$5:$D$45,'4.2'!$A$5:$A$45,$A84,'4.2'!$E$5:$E$45,H$49)</f>
        <v>0</v>
      </c>
      <c r="I84" s="1">
        <f>SUMIFS('4.2'!$D$5:$D$45,'4.2'!$A$5:$A$45,$A84,'4.2'!$E$5:$E$45,I$49)</f>
        <v>0</v>
      </c>
      <c r="J84" s="1">
        <f>SUMIFS('4.2'!$D$5:$D$45,'4.2'!$A$5:$A$45,$A84,'4.2'!$E$5:$E$45,J$49)</f>
        <v>0</v>
      </c>
      <c r="K84" s="1">
        <f>SUMIFS('4.2'!$D$5:$D$45,'4.2'!$A$5:$A$45,$A84,'4.2'!$E$5:$E$45,K$49)</f>
        <v>0</v>
      </c>
      <c r="L84" s="1">
        <f>SUMIFS('4.2'!$D$5:$D$45,'4.2'!$A$5:$A$45,$A84,'4.2'!$E$5:$E$45,L$49)</f>
        <v>0</v>
      </c>
      <c r="M84" s="1">
        <f>SUMIFS('4.2'!$D$5:$D$45,'4.2'!$A$5:$A$45,$A84,'4.2'!$E$5:$E$45,M$49)</f>
        <v>0</v>
      </c>
      <c r="N84" s="1">
        <f>SUMIFS('4.2'!$D$5:$D$45,'4.2'!$A$5:$A$45,$A84,'4.2'!$E$5:$E$45,N$49)</f>
        <v>0</v>
      </c>
      <c r="O84" s="1">
        <f>SUMIFS('4.2'!$D$5:$D$45,'4.2'!$A$5:$A$45,$A84,'4.2'!$E$5:$E$45,O$49)</f>
        <v>0</v>
      </c>
      <c r="P84" s="1">
        <f>SUMIFS('4.2'!$D$5:$D$45,'4.2'!$A$5:$A$45,$A84,'4.2'!$E$5:$E$45,P$49)</f>
        <v>0</v>
      </c>
      <c r="Q84" s="1">
        <f>SUMIFS('4.2'!$D$5:$D$45,'4.2'!$A$5:$A$45,$A84,'4.2'!$E$5:$E$45,Q$49)</f>
        <v>0</v>
      </c>
      <c r="R84" s="1">
        <f>SUM(B84:Q84)</f>
        <v>0</v>
      </c>
    </row>
    <row r="85" spans="1:18" x14ac:dyDescent="0.3">
      <c r="A85" s="2" t="s">
        <v>136</v>
      </c>
      <c r="R85" s="1">
        <f>SUM(B85:Q85)</f>
        <v>0</v>
      </c>
    </row>
    <row r="86" spans="1:18" x14ac:dyDescent="0.3">
      <c r="A86" s="3" t="s">
        <v>177</v>
      </c>
      <c r="B86" s="1">
        <f>SUMIFS('4.2'!$D$5:$D$45,'4.2'!$A$5:$A$45,$A86,'4.2'!$E$5:$E$45,B$49)</f>
        <v>0</v>
      </c>
      <c r="C86" s="1">
        <f>SUMIFS('4.2'!$D$5:$D$45,'4.2'!$A$5:$A$45,$A86,'4.2'!$E$5:$E$45,C$49)</f>
        <v>0</v>
      </c>
      <c r="D86" s="1">
        <f>SUMIFS('4.2'!$D$5:$D$45,'4.2'!$A$5:$A$45,$A86,'4.2'!$E$5:$E$45,D$49)</f>
        <v>0</v>
      </c>
      <c r="E86" s="1">
        <f>SUMIFS('4.2'!$D$5:$D$45,'4.2'!$A$5:$A$45,$A86,'4.2'!$E$5:$E$45,E$49)</f>
        <v>0</v>
      </c>
      <c r="F86" s="1">
        <f>SUMIFS('4.2'!$D$5:$D$45,'4.2'!$A$5:$A$45,$A86,'4.2'!$E$5:$E$45,F$49)</f>
        <v>0</v>
      </c>
      <c r="G86" s="1">
        <f>SUMIFS('4.2'!$D$5:$D$45,'4.2'!$A$5:$A$45,$A86,'4.2'!$E$5:$E$45,G$49)</f>
        <v>2926000</v>
      </c>
      <c r="H86" s="1">
        <f>SUMIFS('4.2'!$D$5:$D$45,'4.2'!$A$5:$A$45,$A86,'4.2'!$E$5:$E$45,H$49)</f>
        <v>0</v>
      </c>
      <c r="I86" s="1">
        <f>SUMIFS('4.2'!$D$5:$D$45,'4.2'!$A$5:$A$45,$A86,'4.2'!$E$5:$E$45,I$49)</f>
        <v>0</v>
      </c>
      <c r="J86" s="1">
        <f>SUMIFS('4.2'!$D$5:$D$45,'4.2'!$A$5:$A$45,$A86,'4.2'!$E$5:$E$45,J$49)</f>
        <v>0</v>
      </c>
      <c r="K86" s="1">
        <f>SUMIFS('4.2'!$D$5:$D$45,'4.2'!$A$5:$A$45,$A86,'4.2'!$E$5:$E$45,K$49)</f>
        <v>0</v>
      </c>
      <c r="L86" s="1">
        <f>SUMIFS('4.2'!$D$5:$D$45,'4.2'!$A$5:$A$45,$A86,'4.2'!$E$5:$E$45,L$49)</f>
        <v>0</v>
      </c>
      <c r="M86" s="1">
        <f>SUMIFS('4.2'!$D$5:$D$45,'4.2'!$A$5:$A$45,$A86,'4.2'!$E$5:$E$45,M$49)</f>
        <v>0</v>
      </c>
      <c r="N86" s="1">
        <f>SUMIFS('4.2'!$D$5:$D$45,'4.2'!$A$5:$A$45,$A86,'4.2'!$E$5:$E$45,N$49)</f>
        <v>0</v>
      </c>
      <c r="O86" s="1">
        <f>SUMIFS('4.2'!$D$5:$D$45,'4.2'!$A$5:$A$45,$A86,'4.2'!$E$5:$E$45,O$49)</f>
        <v>0</v>
      </c>
      <c r="P86" s="1">
        <f>SUMIFS('4.2'!$D$5:$D$45,'4.2'!$A$5:$A$45,$A86,'4.2'!$E$5:$E$45,P$49)</f>
        <v>0</v>
      </c>
      <c r="Q86" s="1">
        <f>SUMIFS('4.2'!$D$5:$D$45,'4.2'!$A$5:$A$45,$A86,'4.2'!$E$5:$E$45,Q$49)</f>
        <v>0</v>
      </c>
      <c r="R86" s="1">
        <f>SUM(B86:Q86)</f>
        <v>2926000</v>
      </c>
    </row>
    <row r="87" spans="1:18" x14ac:dyDescent="0.3">
      <c r="A87" s="3" t="s">
        <v>241</v>
      </c>
      <c r="B87" s="1">
        <f>SUMIFS('4.2'!$D$5:$D$45,'4.2'!$A$5:$A$45,$A87,'4.2'!$E$5:$E$45,B$49)</f>
        <v>0</v>
      </c>
      <c r="C87" s="1">
        <f>SUMIFS('4.2'!$D$5:$D$45,'4.2'!$A$5:$A$45,$A87,'4.2'!$E$5:$E$45,C$49)</f>
        <v>0</v>
      </c>
      <c r="D87" s="1">
        <f>SUMIFS('4.2'!$D$5:$D$45,'4.2'!$A$5:$A$45,$A87,'4.2'!$E$5:$E$45,D$49)</f>
        <v>0</v>
      </c>
      <c r="E87" s="1">
        <f>SUMIFS('4.2'!$D$5:$D$45,'4.2'!$A$5:$A$45,$A87,'4.2'!$E$5:$E$45,E$49)</f>
        <v>0</v>
      </c>
      <c r="F87" s="1">
        <f>SUMIFS('4.2'!$D$5:$D$45,'4.2'!$A$5:$A$45,$A87,'4.2'!$E$5:$E$45,F$49)</f>
        <v>0</v>
      </c>
      <c r="G87" s="1">
        <f>SUMIFS('4.2'!$D$5:$D$45,'4.2'!$A$5:$A$45,$A87,'4.2'!$E$5:$E$45,G$49)</f>
        <v>0</v>
      </c>
      <c r="H87" s="1">
        <f>SUMIFS('4.2'!$D$5:$D$45,'4.2'!$A$5:$A$45,$A87,'4.2'!$E$5:$E$45,H$49)</f>
        <v>0</v>
      </c>
      <c r="I87" s="1">
        <f>SUMIFS('4.2'!$D$5:$D$45,'4.2'!$A$5:$A$45,$A87,'4.2'!$E$5:$E$45,I$49)</f>
        <v>0</v>
      </c>
      <c r="J87" s="1">
        <f>SUMIFS('4.2'!$D$5:$D$45,'4.2'!$A$5:$A$45,$A87,'4.2'!$E$5:$E$45,J$49)</f>
        <v>0</v>
      </c>
      <c r="K87" s="1">
        <f>SUMIFS('4.2'!$D$5:$D$45,'4.2'!$A$5:$A$45,$A87,'4.2'!$E$5:$E$45,K$49)</f>
        <v>0</v>
      </c>
      <c r="L87" s="1">
        <f>SUMIFS('4.2'!$D$5:$D$45,'4.2'!$A$5:$A$45,$A87,'4.2'!$E$5:$E$45,L$49)</f>
        <v>0</v>
      </c>
      <c r="M87" s="1">
        <f>SUMIFS('4.2'!$D$5:$D$45,'4.2'!$A$5:$A$45,$A87,'4.2'!$E$5:$E$45,M$49)</f>
        <v>0</v>
      </c>
      <c r="N87" s="1">
        <f>SUMIFS('4.2'!$D$5:$D$45,'4.2'!$A$5:$A$45,$A87,'4.2'!$E$5:$E$45,N$49)</f>
        <v>0</v>
      </c>
      <c r="O87" s="1">
        <f>SUMIFS('4.2'!$D$5:$D$45,'4.2'!$A$5:$A$45,$A87,'4.2'!$E$5:$E$45,O$49)</f>
        <v>6889500</v>
      </c>
      <c r="P87" s="1">
        <f>SUMIFS('4.2'!$D$5:$D$45,'4.2'!$A$5:$A$45,$A87,'4.2'!$E$5:$E$45,P$49)</f>
        <v>0</v>
      </c>
      <c r="Q87" s="1">
        <f>SUMIFS('4.2'!$D$5:$D$45,'4.2'!$A$5:$A$45,$A87,'4.2'!$E$5:$E$45,Q$49)</f>
        <v>0</v>
      </c>
      <c r="R87" s="1">
        <f>SUM(B87:Q87)</f>
        <v>6889500</v>
      </c>
    </row>
    <row r="88" spans="1:18" x14ac:dyDescent="0.3">
      <c r="A88" s="3" t="s">
        <v>242</v>
      </c>
      <c r="B88" s="1">
        <f>SUMIFS('4.2'!$D$5:$D$45,'4.2'!$A$5:$A$45,$A88,'4.2'!$E$5:$E$45,B$49)</f>
        <v>0</v>
      </c>
      <c r="C88" s="1">
        <f>SUMIFS('4.2'!$D$5:$D$45,'4.2'!$A$5:$A$45,$A88,'4.2'!$E$5:$E$45,C$49)</f>
        <v>0</v>
      </c>
      <c r="D88" s="1">
        <f>SUMIFS('4.2'!$D$5:$D$45,'4.2'!$A$5:$A$45,$A88,'4.2'!$E$5:$E$45,D$49)</f>
        <v>0</v>
      </c>
      <c r="E88" s="1">
        <f>SUMIFS('4.2'!$D$5:$D$45,'4.2'!$A$5:$A$45,$A88,'4.2'!$E$5:$E$45,E$49)</f>
        <v>0</v>
      </c>
      <c r="F88" s="1">
        <f>SUMIFS('4.2'!$D$5:$D$45,'4.2'!$A$5:$A$45,$A88,'4.2'!$E$5:$E$45,F$49)</f>
        <v>0</v>
      </c>
      <c r="G88" s="1">
        <f>SUMIFS('4.2'!$D$5:$D$45,'4.2'!$A$5:$A$45,$A88,'4.2'!$E$5:$E$45,G$49)</f>
        <v>0</v>
      </c>
      <c r="H88" s="1">
        <f>SUMIFS('4.2'!$D$5:$D$45,'4.2'!$A$5:$A$45,$A88,'4.2'!$E$5:$E$45,H$49)</f>
        <v>0</v>
      </c>
      <c r="I88" s="1">
        <f>SUMIFS('4.2'!$D$5:$D$45,'4.2'!$A$5:$A$45,$A88,'4.2'!$E$5:$E$45,I$49)</f>
        <v>0</v>
      </c>
      <c r="J88" s="1">
        <f>SUMIFS('4.2'!$D$5:$D$45,'4.2'!$A$5:$A$45,$A88,'4.2'!$E$5:$E$45,J$49)</f>
        <v>0</v>
      </c>
      <c r="K88" s="1">
        <f>SUMIFS('4.2'!$D$5:$D$45,'4.2'!$A$5:$A$45,$A88,'4.2'!$E$5:$E$45,K$49)</f>
        <v>0</v>
      </c>
      <c r="L88" s="1">
        <f>SUMIFS('4.2'!$D$5:$D$45,'4.2'!$A$5:$A$45,$A88,'4.2'!$E$5:$E$45,L$49)</f>
        <v>0</v>
      </c>
      <c r="M88" s="1">
        <f>SUMIFS('4.2'!$D$5:$D$45,'4.2'!$A$5:$A$45,$A88,'4.2'!$E$5:$E$45,M$49)</f>
        <v>0</v>
      </c>
      <c r="N88" s="1">
        <f>SUMIFS('4.2'!$D$5:$D$45,'4.2'!$A$5:$A$45,$A88,'4.2'!$E$5:$E$45,N$49)</f>
        <v>89000</v>
      </c>
      <c r="O88" s="1">
        <f>SUMIFS('4.2'!$D$5:$D$45,'4.2'!$A$5:$A$45,$A88,'4.2'!$E$5:$E$45,O$49)</f>
        <v>0</v>
      </c>
      <c r="P88" s="1">
        <f>SUMIFS('4.2'!$D$5:$D$45,'4.2'!$A$5:$A$45,$A88,'4.2'!$E$5:$E$45,P$49)</f>
        <v>0</v>
      </c>
      <c r="Q88" s="1">
        <f>SUMIFS('4.2'!$D$5:$D$45,'4.2'!$A$5:$A$45,$A88,'4.2'!$E$5:$E$45,Q$49)</f>
        <v>0</v>
      </c>
      <c r="R88" s="1">
        <f>SUM(B88:Q88)</f>
        <v>89000</v>
      </c>
    </row>
    <row r="89" spans="1:18" x14ac:dyDescent="0.3">
      <c r="A89" s="3" t="s">
        <v>178</v>
      </c>
      <c r="B89" s="1">
        <f t="shared" ref="B89:P89" si="13">SUBTOTAL(9,B86:B88)</f>
        <v>0</v>
      </c>
      <c r="C89" s="1">
        <f t="shared" si="13"/>
        <v>0</v>
      </c>
      <c r="D89" s="1">
        <f t="shared" si="13"/>
        <v>0</v>
      </c>
      <c r="E89" s="1">
        <f t="shared" si="13"/>
        <v>0</v>
      </c>
      <c r="F89" s="1">
        <f t="shared" si="13"/>
        <v>0</v>
      </c>
      <c r="G89" s="1">
        <f t="shared" si="13"/>
        <v>2926000</v>
      </c>
      <c r="H89" s="1">
        <f t="shared" si="13"/>
        <v>0</v>
      </c>
      <c r="I89" s="1">
        <f t="shared" si="13"/>
        <v>0</v>
      </c>
      <c r="J89" s="1">
        <f t="shared" si="13"/>
        <v>0</v>
      </c>
      <c r="K89" s="1">
        <f t="shared" si="13"/>
        <v>0</v>
      </c>
      <c r="L89" s="1">
        <f t="shared" si="13"/>
        <v>0</v>
      </c>
      <c r="M89" s="1">
        <f t="shared" si="13"/>
        <v>0</v>
      </c>
      <c r="N89" s="1">
        <f t="shared" si="13"/>
        <v>89000</v>
      </c>
      <c r="O89" s="1">
        <f t="shared" si="13"/>
        <v>6889500</v>
      </c>
      <c r="P89" s="1">
        <f t="shared" si="13"/>
        <v>0</v>
      </c>
      <c r="Q89" s="1">
        <f>SUBTOTAL(9,Q86:Q88)</f>
        <v>0</v>
      </c>
      <c r="R89" s="1">
        <f>SUBTOTAL(9,R86:R88)</f>
        <v>9904500</v>
      </c>
    </row>
    <row r="90" spans="1:18" x14ac:dyDescent="0.3">
      <c r="A90" s="2" t="s">
        <v>214</v>
      </c>
      <c r="B90" s="1">
        <f t="shared" ref="B90:R90" si="14">SUBTOTAL(9,B50:B89)</f>
        <v>56032334</v>
      </c>
      <c r="C90" s="1">
        <f t="shared" si="14"/>
        <v>1198075</v>
      </c>
      <c r="D90" s="1">
        <f t="shared" si="14"/>
        <v>6425991.5</v>
      </c>
      <c r="E90" s="1">
        <f t="shared" si="14"/>
        <v>176053527.5</v>
      </c>
      <c r="F90" s="1">
        <f t="shared" si="14"/>
        <v>-121330</v>
      </c>
      <c r="G90" s="1">
        <f t="shared" si="14"/>
        <v>2926000</v>
      </c>
      <c r="H90" s="1">
        <f t="shared" si="14"/>
        <v>14592259.243000001</v>
      </c>
      <c r="I90" s="1">
        <f t="shared" si="14"/>
        <v>9050555.5</v>
      </c>
      <c r="J90" s="1">
        <f t="shared" si="14"/>
        <v>5517867</v>
      </c>
      <c r="K90" s="1">
        <f t="shared" si="14"/>
        <v>3544283.5</v>
      </c>
      <c r="L90" s="1">
        <f t="shared" si="14"/>
        <v>-15207193.5</v>
      </c>
      <c r="M90" s="1">
        <f t="shared" si="14"/>
        <v>-24523500</v>
      </c>
      <c r="N90" s="1">
        <f t="shared" si="14"/>
        <v>89000</v>
      </c>
      <c r="O90" s="1">
        <f t="shared" si="14"/>
        <v>6889500</v>
      </c>
      <c r="P90" s="1">
        <f t="shared" si="14"/>
        <v>0</v>
      </c>
      <c r="Q90" s="1">
        <f t="shared" si="14"/>
        <v>0</v>
      </c>
      <c r="R90" s="1">
        <f t="shared" si="14"/>
        <v>242467369.74300003</v>
      </c>
    </row>
    <row r="92" spans="1:18" x14ac:dyDescent="0.3">
      <c r="A92" s="1" t="s">
        <v>229</v>
      </c>
    </row>
    <row r="93" spans="1:18" s="9" customFormat="1" ht="54" x14ac:dyDescent="0.25">
      <c r="B93" s="17" t="str">
        <f t="array" ref="B93:Q93">TRANSPOSE(List_Functions)</f>
        <v>Generation</v>
      </c>
      <c r="C93" s="17" t="str">
        <v>Purchased Power</v>
      </c>
      <c r="D93" s="17" t="str">
        <v>Transmission</v>
      </c>
      <c r="E93" s="17" t="str">
        <v>Substations</v>
      </c>
      <c r="F93" s="17" t="str">
        <v>Primary Lines</v>
      </c>
      <c r="G93" s="17" t="str">
        <v>Transformers</v>
      </c>
      <c r="H93" s="17" t="str">
        <v>Secondary Lines</v>
      </c>
      <c r="I93" s="17" t="str">
        <v>Service Lines</v>
      </c>
      <c r="J93" s="17" t="str">
        <v>Meter Assets</v>
      </c>
      <c r="K93" s="17" t="str">
        <v>Meter Reading</v>
      </c>
      <c r="L93" s="17" t="str">
        <v>Billing</v>
      </c>
      <c r="M93" s="17" t="str">
        <v>Remittance &amp; Collection</v>
      </c>
      <c r="N93" s="17" t="str">
        <v>Uncollectibles &amp; Damage Claims</v>
      </c>
      <c r="O93" s="17" t="str">
        <v>Service Connections</v>
      </c>
      <c r="P93" s="17" t="str">
        <v>Late Payments</v>
      </c>
      <c r="Q93" s="17" t="str">
        <v>Lighting</v>
      </c>
      <c r="R93" s="17" t="s">
        <v>214</v>
      </c>
    </row>
    <row r="94" spans="1:18" x14ac:dyDescent="0.3">
      <c r="A94" s="1" t="s">
        <v>628</v>
      </c>
      <c r="B94" s="30">
        <f t="shared" ref="B94:Q107" si="15">VLOOKUP($A94,Table_FunctionAllocators,COLUMN(),FALSE)</f>
        <v>0</v>
      </c>
      <c r="C94" s="30">
        <f t="shared" si="15"/>
        <v>0</v>
      </c>
      <c r="D94" s="30">
        <f t="shared" si="15"/>
        <v>0.49</v>
      </c>
      <c r="E94" s="30">
        <f t="shared" si="15"/>
        <v>0.51</v>
      </c>
      <c r="F94" s="30">
        <f t="shared" si="15"/>
        <v>0</v>
      </c>
      <c r="G94" s="30">
        <f t="shared" si="15"/>
        <v>0</v>
      </c>
      <c r="H94" s="30">
        <f t="shared" si="15"/>
        <v>0</v>
      </c>
      <c r="I94" s="30">
        <f t="shared" si="15"/>
        <v>0</v>
      </c>
      <c r="J94" s="30">
        <f t="shared" si="15"/>
        <v>0</v>
      </c>
      <c r="K94" s="30">
        <f t="shared" si="15"/>
        <v>0</v>
      </c>
      <c r="L94" s="30">
        <f t="shared" si="15"/>
        <v>0</v>
      </c>
      <c r="M94" s="30">
        <f t="shared" si="15"/>
        <v>0</v>
      </c>
      <c r="N94" s="30">
        <f t="shared" si="15"/>
        <v>0</v>
      </c>
      <c r="O94" s="30">
        <f t="shared" si="15"/>
        <v>0</v>
      </c>
      <c r="P94" s="30">
        <f t="shared" si="15"/>
        <v>0</v>
      </c>
      <c r="Q94" s="30">
        <f t="shared" si="15"/>
        <v>0</v>
      </c>
      <c r="R94" s="30">
        <f t="shared" ref="R94:R107" si="16">SUM(B94:Q94)</f>
        <v>1</v>
      </c>
    </row>
    <row r="95" spans="1:18" x14ac:dyDescent="0.3">
      <c r="A95" s="1" t="s">
        <v>200</v>
      </c>
      <c r="B95" s="30">
        <f t="shared" si="15"/>
        <v>8.3333333333333356E-2</v>
      </c>
      <c r="C95" s="30">
        <f t="shared" si="15"/>
        <v>0.16666666666666671</v>
      </c>
      <c r="D95" s="30">
        <f t="shared" si="15"/>
        <v>0.25000000000000006</v>
      </c>
      <c r="E95" s="30">
        <f t="shared" si="15"/>
        <v>0.25000000000000006</v>
      </c>
      <c r="F95" s="30">
        <f t="shared" si="15"/>
        <v>8.3333333333333356E-2</v>
      </c>
      <c r="G95" s="30">
        <f t="shared" si="15"/>
        <v>8.3333333333333356E-2</v>
      </c>
      <c r="H95" s="30">
        <f t="shared" si="15"/>
        <v>8.3333333333333356E-2</v>
      </c>
      <c r="I95" s="30">
        <f t="shared" si="15"/>
        <v>0</v>
      </c>
      <c r="J95" s="30">
        <f t="shared" si="15"/>
        <v>0</v>
      </c>
      <c r="K95" s="30">
        <f t="shared" si="15"/>
        <v>0</v>
      </c>
      <c r="L95" s="30">
        <f t="shared" si="15"/>
        <v>0</v>
      </c>
      <c r="M95" s="30">
        <f t="shared" si="15"/>
        <v>0</v>
      </c>
      <c r="N95" s="30">
        <f t="shared" si="15"/>
        <v>0</v>
      </c>
      <c r="O95" s="30">
        <f t="shared" si="15"/>
        <v>0</v>
      </c>
      <c r="P95" s="30">
        <f t="shared" si="15"/>
        <v>0</v>
      </c>
      <c r="Q95" s="30">
        <f t="shared" si="15"/>
        <v>0</v>
      </c>
      <c r="R95" s="30">
        <f t="shared" si="16"/>
        <v>1.0000000000000002</v>
      </c>
    </row>
    <row r="96" spans="1:18" x14ac:dyDescent="0.3">
      <c r="A96" s="1" t="s">
        <v>201</v>
      </c>
      <c r="B96" s="30">
        <f t="shared" si="15"/>
        <v>0.25000000000000006</v>
      </c>
      <c r="C96" s="30">
        <f t="shared" si="15"/>
        <v>0</v>
      </c>
      <c r="D96" s="30">
        <f t="shared" si="15"/>
        <v>0.25000000000000006</v>
      </c>
      <c r="E96" s="30">
        <f t="shared" si="15"/>
        <v>0.25000000000000006</v>
      </c>
      <c r="F96" s="30">
        <f t="shared" si="15"/>
        <v>8.3333333333333356E-2</v>
      </c>
      <c r="G96" s="30">
        <f t="shared" si="15"/>
        <v>8.3333333333333356E-2</v>
      </c>
      <c r="H96" s="30">
        <f t="shared" si="15"/>
        <v>8.3333333333333356E-2</v>
      </c>
      <c r="I96" s="30">
        <f t="shared" si="15"/>
        <v>0</v>
      </c>
      <c r="J96" s="30">
        <f t="shared" si="15"/>
        <v>0</v>
      </c>
      <c r="K96" s="30">
        <f t="shared" si="15"/>
        <v>0</v>
      </c>
      <c r="L96" s="30">
        <f t="shared" ref="L96:Q107" si="17">VLOOKUP($A96,Table_FunctionAllocators,COLUMN(),FALSE)</f>
        <v>0</v>
      </c>
      <c r="M96" s="30">
        <f t="shared" si="17"/>
        <v>0</v>
      </c>
      <c r="N96" s="30">
        <f t="shared" si="17"/>
        <v>0</v>
      </c>
      <c r="O96" s="30">
        <f t="shared" si="17"/>
        <v>0</v>
      </c>
      <c r="P96" s="30">
        <f t="shared" si="17"/>
        <v>0</v>
      </c>
      <c r="Q96" s="30">
        <f t="shared" si="17"/>
        <v>0</v>
      </c>
      <c r="R96" s="30">
        <f t="shared" si="16"/>
        <v>1.0000000000000002</v>
      </c>
    </row>
    <row r="97" spans="1:18" x14ac:dyDescent="0.3">
      <c r="A97" s="1" t="s">
        <v>198</v>
      </c>
      <c r="B97" s="30">
        <f t="shared" si="15"/>
        <v>0</v>
      </c>
      <c r="C97" s="30">
        <f t="shared" si="15"/>
        <v>0</v>
      </c>
      <c r="D97" s="30">
        <f t="shared" si="15"/>
        <v>0</v>
      </c>
      <c r="E97" s="30">
        <f t="shared" si="15"/>
        <v>0</v>
      </c>
      <c r="F97" s="30">
        <f t="shared" si="15"/>
        <v>0.75</v>
      </c>
      <c r="G97" s="30">
        <f t="shared" si="15"/>
        <v>0</v>
      </c>
      <c r="H97" s="30">
        <f t="shared" si="15"/>
        <v>0.25</v>
      </c>
      <c r="I97" s="30">
        <f t="shared" si="15"/>
        <v>0</v>
      </c>
      <c r="J97" s="30">
        <f t="shared" si="15"/>
        <v>0</v>
      </c>
      <c r="K97" s="30">
        <f t="shared" si="15"/>
        <v>0</v>
      </c>
      <c r="L97" s="30">
        <f t="shared" si="17"/>
        <v>0</v>
      </c>
      <c r="M97" s="30">
        <f t="shared" si="17"/>
        <v>0</v>
      </c>
      <c r="N97" s="30">
        <f t="shared" si="17"/>
        <v>0</v>
      </c>
      <c r="O97" s="30">
        <f t="shared" si="17"/>
        <v>0</v>
      </c>
      <c r="P97" s="30">
        <f t="shared" si="17"/>
        <v>0</v>
      </c>
      <c r="Q97" s="30">
        <f t="shared" si="17"/>
        <v>0</v>
      </c>
      <c r="R97" s="30">
        <f t="shared" si="16"/>
        <v>1</v>
      </c>
    </row>
    <row r="98" spans="1:18" x14ac:dyDescent="0.3">
      <c r="A98" s="1" t="s">
        <v>204</v>
      </c>
      <c r="B98" s="30">
        <f t="shared" si="15"/>
        <v>0</v>
      </c>
      <c r="C98" s="30">
        <f t="shared" si="15"/>
        <v>0</v>
      </c>
      <c r="D98" s="30">
        <f t="shared" si="15"/>
        <v>0</v>
      </c>
      <c r="E98" s="30">
        <f t="shared" si="15"/>
        <v>0</v>
      </c>
      <c r="F98" s="30">
        <f t="shared" si="15"/>
        <v>0.51163294230768275</v>
      </c>
      <c r="G98" s="30">
        <f t="shared" si="15"/>
        <v>0.31782274358975643</v>
      </c>
      <c r="H98" s="30">
        <f t="shared" si="15"/>
        <v>0.17054431410256091</v>
      </c>
      <c r="I98" s="30">
        <f t="shared" si="15"/>
        <v>0</v>
      </c>
      <c r="J98" s="30">
        <f t="shared" si="15"/>
        <v>0</v>
      </c>
      <c r="K98" s="30">
        <f t="shared" si="15"/>
        <v>0</v>
      </c>
      <c r="L98" s="30">
        <f t="shared" si="17"/>
        <v>0</v>
      </c>
      <c r="M98" s="30">
        <f t="shared" si="17"/>
        <v>0</v>
      </c>
      <c r="N98" s="30">
        <f t="shared" si="17"/>
        <v>0</v>
      </c>
      <c r="O98" s="30">
        <f t="shared" si="17"/>
        <v>0</v>
      </c>
      <c r="P98" s="30">
        <f t="shared" si="17"/>
        <v>0</v>
      </c>
      <c r="Q98" s="30">
        <f t="shared" si="17"/>
        <v>0</v>
      </c>
      <c r="R98" s="30">
        <f t="shared" si="16"/>
        <v>1</v>
      </c>
    </row>
    <row r="99" spans="1:18" x14ac:dyDescent="0.3">
      <c r="A99" s="1" t="s">
        <v>191</v>
      </c>
      <c r="B99" s="30">
        <f t="shared" si="15"/>
        <v>0</v>
      </c>
      <c r="C99" s="30">
        <f t="shared" si="15"/>
        <v>0</v>
      </c>
      <c r="D99" s="30">
        <f t="shared" si="15"/>
        <v>0</v>
      </c>
      <c r="E99" s="30">
        <f t="shared" si="15"/>
        <v>0</v>
      </c>
      <c r="F99" s="30">
        <f t="shared" si="15"/>
        <v>0.52622341571925935</v>
      </c>
      <c r="G99" s="30">
        <f t="shared" si="15"/>
        <v>0</v>
      </c>
      <c r="H99" s="30">
        <f t="shared" si="15"/>
        <v>0.17540780523975311</v>
      </c>
      <c r="I99" s="30">
        <f t="shared" si="15"/>
        <v>0.26674038100146935</v>
      </c>
      <c r="J99" s="30">
        <f t="shared" si="15"/>
        <v>0</v>
      </c>
      <c r="K99" s="30">
        <f t="shared" si="15"/>
        <v>0</v>
      </c>
      <c r="L99" s="30">
        <f t="shared" si="17"/>
        <v>0</v>
      </c>
      <c r="M99" s="30">
        <f t="shared" si="17"/>
        <v>0</v>
      </c>
      <c r="N99" s="30">
        <f t="shared" si="17"/>
        <v>0</v>
      </c>
      <c r="O99" s="30">
        <f t="shared" si="17"/>
        <v>0</v>
      </c>
      <c r="P99" s="30">
        <f t="shared" si="17"/>
        <v>0</v>
      </c>
      <c r="Q99" s="30">
        <f t="shared" si="17"/>
        <v>3.1628398039518231E-2</v>
      </c>
      <c r="R99" s="30">
        <f t="shared" si="16"/>
        <v>1</v>
      </c>
    </row>
    <row r="100" spans="1:18" x14ac:dyDescent="0.3">
      <c r="A100" s="1" t="s">
        <v>207</v>
      </c>
      <c r="B100" s="30">
        <f t="shared" si="15"/>
        <v>0</v>
      </c>
      <c r="C100" s="30">
        <f t="shared" si="15"/>
        <v>0</v>
      </c>
      <c r="D100" s="30">
        <f t="shared" si="15"/>
        <v>0</v>
      </c>
      <c r="E100" s="30">
        <f t="shared" si="15"/>
        <v>0.12285669081634128</v>
      </c>
      <c r="F100" s="30">
        <f t="shared" si="15"/>
        <v>0.44877541210313276</v>
      </c>
      <c r="G100" s="30">
        <f t="shared" si="15"/>
        <v>0.27877609304614837</v>
      </c>
      <c r="H100" s="30">
        <f t="shared" si="15"/>
        <v>0.14959180403437758</v>
      </c>
      <c r="I100" s="30">
        <f t="shared" si="15"/>
        <v>0</v>
      </c>
      <c r="J100" s="30">
        <f t="shared" si="15"/>
        <v>0</v>
      </c>
      <c r="K100" s="30">
        <f t="shared" si="15"/>
        <v>0</v>
      </c>
      <c r="L100" s="30">
        <f t="shared" si="17"/>
        <v>0</v>
      </c>
      <c r="M100" s="30">
        <f t="shared" si="17"/>
        <v>0</v>
      </c>
      <c r="N100" s="30">
        <f t="shared" si="17"/>
        <v>0</v>
      </c>
      <c r="O100" s="30">
        <f t="shared" si="17"/>
        <v>0</v>
      </c>
      <c r="P100" s="30">
        <f t="shared" si="17"/>
        <v>0</v>
      </c>
      <c r="Q100" s="30">
        <f t="shared" si="17"/>
        <v>0</v>
      </c>
      <c r="R100" s="30">
        <f t="shared" si="16"/>
        <v>1</v>
      </c>
    </row>
    <row r="101" spans="1:18" x14ac:dyDescent="0.3">
      <c r="A101" s="1" t="s">
        <v>144</v>
      </c>
      <c r="B101" s="30">
        <f t="shared" si="15"/>
        <v>6.6702602392113758E-2</v>
      </c>
      <c r="C101" s="30">
        <f t="shared" si="15"/>
        <v>7.6976893097969153E-3</v>
      </c>
      <c r="D101" s="30">
        <f t="shared" si="15"/>
        <v>0.17857700456130085</v>
      </c>
      <c r="E101" s="30">
        <f t="shared" si="15"/>
        <v>7.7290269872384063E-2</v>
      </c>
      <c r="F101" s="30">
        <f t="shared" si="15"/>
        <v>0.20178136807558739</v>
      </c>
      <c r="G101" s="30">
        <f t="shared" si="15"/>
        <v>0.3546170985742334</v>
      </c>
      <c r="H101" s="30">
        <f t="shared" si="15"/>
        <v>7.1965917025765838E-2</v>
      </c>
      <c r="I101" s="30">
        <f t="shared" si="15"/>
        <v>8.0249425291610346E-3</v>
      </c>
      <c r="J101" s="30">
        <f t="shared" si="15"/>
        <v>3.2391560407592147E-2</v>
      </c>
      <c r="K101" s="30">
        <f t="shared" si="15"/>
        <v>0</v>
      </c>
      <c r="L101" s="30">
        <f t="shared" si="17"/>
        <v>0</v>
      </c>
      <c r="M101" s="30">
        <f t="shared" si="17"/>
        <v>0</v>
      </c>
      <c r="N101" s="30">
        <f t="shared" si="17"/>
        <v>0</v>
      </c>
      <c r="O101" s="30">
        <f t="shared" si="17"/>
        <v>0</v>
      </c>
      <c r="P101" s="30">
        <f t="shared" si="17"/>
        <v>0</v>
      </c>
      <c r="Q101" s="30">
        <f t="shared" si="17"/>
        <v>9.5154725206441531E-4</v>
      </c>
      <c r="R101" s="30">
        <f t="shared" si="16"/>
        <v>0.99999999999999978</v>
      </c>
    </row>
    <row r="102" spans="1:18" x14ac:dyDescent="0.3">
      <c r="A102" s="1" t="s">
        <v>156</v>
      </c>
      <c r="B102" s="30">
        <f t="shared" si="15"/>
        <v>0.12113254655344105</v>
      </c>
      <c r="C102" s="30">
        <f t="shared" si="15"/>
        <v>3.4372820389175815E-2</v>
      </c>
      <c r="D102" s="30">
        <f t="shared" si="15"/>
        <v>0.22645835694866853</v>
      </c>
      <c r="E102" s="30">
        <f t="shared" si="15"/>
        <v>9.6658953553241098E-2</v>
      </c>
      <c r="F102" s="30">
        <f t="shared" si="15"/>
        <v>0.13558744221439376</v>
      </c>
      <c r="G102" s="30">
        <f t="shared" si="15"/>
        <v>0.18934991436201665</v>
      </c>
      <c r="H102" s="30">
        <f t="shared" si="15"/>
        <v>5.9471804714520057E-2</v>
      </c>
      <c r="I102" s="30">
        <f t="shared" si="15"/>
        <v>6.228740772611604E-3</v>
      </c>
      <c r="J102" s="30">
        <f t="shared" si="15"/>
        <v>1.9263744309704213E-2</v>
      </c>
      <c r="K102" s="30">
        <f t="shared" si="15"/>
        <v>7.6481470746461208E-2</v>
      </c>
      <c r="L102" s="30">
        <f t="shared" si="17"/>
        <v>2.2709214023798351E-2</v>
      </c>
      <c r="M102" s="30">
        <f t="shared" si="17"/>
        <v>2.3653796662825442E-3</v>
      </c>
      <c r="N102" s="30">
        <f t="shared" si="17"/>
        <v>2.3653796662825442E-3</v>
      </c>
      <c r="O102" s="30">
        <f t="shared" si="17"/>
        <v>2.3653796662825442E-3</v>
      </c>
      <c r="P102" s="30">
        <f t="shared" si="17"/>
        <v>2.3653796662825442E-3</v>
      </c>
      <c r="Q102" s="30">
        <f t="shared" si="17"/>
        <v>2.8234727468375125E-3</v>
      </c>
      <c r="R102" s="30">
        <f t="shared" si="16"/>
        <v>1.0000000000000002</v>
      </c>
    </row>
    <row r="103" spans="1:18" x14ac:dyDescent="0.3">
      <c r="A103" s="1" t="s">
        <v>212</v>
      </c>
      <c r="B103" s="30">
        <f t="shared" si="15"/>
        <v>4.8723181189309892E-2</v>
      </c>
      <c r="C103" s="30">
        <f t="shared" si="15"/>
        <v>1.3609626622862716E-2</v>
      </c>
      <c r="D103" s="30">
        <f t="shared" si="15"/>
        <v>0.14610035826605675</v>
      </c>
      <c r="E103" s="30">
        <f t="shared" si="15"/>
        <v>5.1573402198519233E-2</v>
      </c>
      <c r="F103" s="30">
        <f t="shared" si="15"/>
        <v>0.11362028574347134</v>
      </c>
      <c r="G103" s="30">
        <f t="shared" si="15"/>
        <v>0.11766433144923831</v>
      </c>
      <c r="H103" s="30">
        <f t="shared" si="15"/>
        <v>5.2469812066459016E-2</v>
      </c>
      <c r="I103" s="30">
        <f t="shared" si="15"/>
        <v>2.5687619194927975E-2</v>
      </c>
      <c r="J103" s="30">
        <f t="shared" si="15"/>
        <v>1.2309905552467488E-2</v>
      </c>
      <c r="K103" s="30">
        <f t="shared" si="15"/>
        <v>5.0423834991147158E-2</v>
      </c>
      <c r="L103" s="30">
        <f t="shared" si="17"/>
        <v>8.8922957450883799E-2</v>
      </c>
      <c r="M103" s="30">
        <f t="shared" si="17"/>
        <v>0.19278845988876089</v>
      </c>
      <c r="N103" s="30">
        <f t="shared" si="17"/>
        <v>4.0788459888760856E-2</v>
      </c>
      <c r="O103" s="30">
        <f t="shared" si="17"/>
        <v>4.0788459888760856E-2</v>
      </c>
      <c r="P103" s="30">
        <f t="shared" si="17"/>
        <v>7.8845988876084805E-4</v>
      </c>
      <c r="Q103" s="30">
        <f t="shared" si="17"/>
        <v>3.7408457196129474E-3</v>
      </c>
      <c r="R103" s="30">
        <f t="shared" si="16"/>
        <v>1.0000000000000002</v>
      </c>
    </row>
    <row r="104" spans="1:18" x14ac:dyDescent="0.3">
      <c r="A104" s="1" t="s">
        <v>236</v>
      </c>
      <c r="B104" s="30">
        <f t="shared" si="15"/>
        <v>0</v>
      </c>
      <c r="C104" s="30">
        <f t="shared" si="15"/>
        <v>0</v>
      </c>
      <c r="D104" s="30">
        <f t="shared" si="15"/>
        <v>0</v>
      </c>
      <c r="E104" s="30">
        <f t="shared" si="15"/>
        <v>0</v>
      </c>
      <c r="F104" s="30">
        <f t="shared" si="15"/>
        <v>0.38096105851918582</v>
      </c>
      <c r="G104" s="30">
        <f t="shared" si="15"/>
        <v>0.23665029908612131</v>
      </c>
      <c r="H104" s="30">
        <f t="shared" si="15"/>
        <v>0.12698701950639527</v>
      </c>
      <c r="I104" s="30">
        <f t="shared" si="15"/>
        <v>0.19310751832895215</v>
      </c>
      <c r="J104" s="30">
        <f t="shared" si="15"/>
        <v>3.9396628627128012E-2</v>
      </c>
      <c r="K104" s="30">
        <f t="shared" si="15"/>
        <v>0</v>
      </c>
      <c r="L104" s="30">
        <f t="shared" si="17"/>
        <v>0</v>
      </c>
      <c r="M104" s="30">
        <f t="shared" si="17"/>
        <v>0</v>
      </c>
      <c r="N104" s="30">
        <f t="shared" si="17"/>
        <v>0</v>
      </c>
      <c r="O104" s="30">
        <f t="shared" si="17"/>
        <v>0</v>
      </c>
      <c r="P104" s="30">
        <f t="shared" si="17"/>
        <v>0</v>
      </c>
      <c r="Q104" s="30">
        <f t="shared" si="17"/>
        <v>2.2897475932217463E-2</v>
      </c>
      <c r="R104" s="30">
        <f t="shared" si="16"/>
        <v>1</v>
      </c>
    </row>
    <row r="105" spans="1:18" x14ac:dyDescent="0.3">
      <c r="A105" s="1" t="s">
        <v>240</v>
      </c>
      <c r="B105" s="30">
        <f t="shared" si="15"/>
        <v>7.3096806680939319E-2</v>
      </c>
      <c r="C105" s="30">
        <f t="shared" si="15"/>
        <v>1.2736064026903236E-3</v>
      </c>
      <c r="D105" s="30">
        <f t="shared" si="15"/>
        <v>0.17453166012216581</v>
      </c>
      <c r="E105" s="30">
        <f t="shared" si="15"/>
        <v>7.8253791915694176E-2</v>
      </c>
      <c r="F105" s="30">
        <f t="shared" si="15"/>
        <v>0.27954603233647979</v>
      </c>
      <c r="G105" s="30">
        <f t="shared" si="15"/>
        <v>0.16773671647016361</v>
      </c>
      <c r="H105" s="30">
        <f t="shared" si="15"/>
        <v>9.4499688739963575E-2</v>
      </c>
      <c r="I105" s="30">
        <f t="shared" si="15"/>
        <v>8.5016052665687722E-2</v>
      </c>
      <c r="J105" s="30">
        <f t="shared" si="15"/>
        <v>2.4975523556079939E-2</v>
      </c>
      <c r="K105" s="30">
        <f t="shared" si="15"/>
        <v>1.7550757325950693E-3</v>
      </c>
      <c r="L105" s="30">
        <f t="shared" si="17"/>
        <v>1.0567093875069305E-3</v>
      </c>
      <c r="M105" s="30">
        <f t="shared" si="17"/>
        <v>1.4392437151071896E-3</v>
      </c>
      <c r="N105" s="30">
        <f t="shared" si="17"/>
        <v>3.383934402454842E-4</v>
      </c>
      <c r="O105" s="30">
        <f t="shared" si="17"/>
        <v>3.383934402454842E-4</v>
      </c>
      <c r="P105" s="30">
        <f t="shared" si="17"/>
        <v>4.869599949240382E-5</v>
      </c>
      <c r="Q105" s="30">
        <f t="shared" si="17"/>
        <v>1.6093609394943073E-2</v>
      </c>
      <c r="R105" s="30">
        <f t="shared" si="16"/>
        <v>0.99999999999999978</v>
      </c>
    </row>
    <row r="106" spans="1:18" x14ac:dyDescent="0.3">
      <c r="A106" s="1" t="s">
        <v>490</v>
      </c>
      <c r="B106" s="30">
        <f t="shared" si="15"/>
        <v>9.108006023325213E-2</v>
      </c>
      <c r="C106" s="30">
        <f t="shared" si="15"/>
        <v>1.7662290359229896E-2</v>
      </c>
      <c r="D106" s="30">
        <f t="shared" si="15"/>
        <v>0.16643815927011282</v>
      </c>
      <c r="E106" s="30">
        <f t="shared" si="15"/>
        <v>7.4659046255878589E-2</v>
      </c>
      <c r="F106" s="30">
        <f t="shared" si="15"/>
        <v>0.27135922525129319</v>
      </c>
      <c r="G106" s="30">
        <f t="shared" si="15"/>
        <v>0.16015609123105543</v>
      </c>
      <c r="H106" s="30">
        <f t="shared" si="15"/>
        <v>9.1621803527874204E-2</v>
      </c>
      <c r="I106" s="30">
        <f t="shared" si="15"/>
        <v>8.341757134223593E-2</v>
      </c>
      <c r="J106" s="30">
        <f t="shared" si="15"/>
        <v>2.3909214985314325E-2</v>
      </c>
      <c r="K106" s="30">
        <f t="shared" si="15"/>
        <v>1.1549594018072E-3</v>
      </c>
      <c r="L106" s="30">
        <f t="shared" si="17"/>
        <v>8.5854167878832599E-4</v>
      </c>
      <c r="M106" s="30">
        <f t="shared" si="17"/>
        <v>1.3690213062789633E-3</v>
      </c>
      <c r="N106" s="30">
        <f t="shared" si="17"/>
        <v>3.0923527072115544E-4</v>
      </c>
      <c r="O106" s="30">
        <f t="shared" si="17"/>
        <v>3.0923527072115544E-4</v>
      </c>
      <c r="P106" s="30">
        <f t="shared" si="17"/>
        <v>3.0344208732258548E-5</v>
      </c>
      <c r="Q106" s="30">
        <f t="shared" si="17"/>
        <v>1.5665200406704341E-2</v>
      </c>
      <c r="R106" s="30">
        <f t="shared" si="16"/>
        <v>0.99999999999999978</v>
      </c>
    </row>
    <row r="107" spans="1:18" x14ac:dyDescent="0.3">
      <c r="A107" s="1" t="s">
        <v>192</v>
      </c>
      <c r="B107" s="30">
        <f t="shared" si="15"/>
        <v>1.6094702610278375E-2</v>
      </c>
      <c r="C107" s="30">
        <f t="shared" si="15"/>
        <v>0.79825459581710867</v>
      </c>
      <c r="D107" s="30">
        <f t="shared" si="15"/>
        <v>6.8371658017848849E-2</v>
      </c>
      <c r="E107" s="30">
        <f t="shared" si="15"/>
        <v>1.5208242563986913E-2</v>
      </c>
      <c r="F107" s="30">
        <f t="shared" si="15"/>
        <v>3.4749345782733254E-2</v>
      </c>
      <c r="G107" s="30">
        <f t="shared" si="15"/>
        <v>2.659548282515347E-2</v>
      </c>
      <c r="H107" s="30">
        <f t="shared" si="15"/>
        <v>1.2809118734086536E-2</v>
      </c>
      <c r="I107" s="30">
        <f t="shared" si="15"/>
        <v>4.825883822906169E-3</v>
      </c>
      <c r="J107" s="30">
        <f t="shared" si="15"/>
        <v>2.3012208992433626E-3</v>
      </c>
      <c r="K107" s="30">
        <f t="shared" si="15"/>
        <v>6.9304712039867673E-3</v>
      </c>
      <c r="L107" s="30">
        <f t="shared" si="17"/>
        <v>5.6451837777335067E-3</v>
      </c>
      <c r="M107" s="30">
        <f t="shared" si="17"/>
        <v>4.2645524299740455E-3</v>
      </c>
      <c r="N107" s="30">
        <f t="shared" si="17"/>
        <v>2.2956739651228781E-3</v>
      </c>
      <c r="O107" s="30">
        <f t="shared" si="17"/>
        <v>9.0861641339421394E-4</v>
      </c>
      <c r="P107" s="30">
        <f t="shared" si="17"/>
        <v>9.1966484463176532E-5</v>
      </c>
      <c r="Q107" s="30">
        <f t="shared" si="17"/>
        <v>6.5328465197987847E-4</v>
      </c>
      <c r="R107" s="30">
        <f t="shared" si="16"/>
        <v>1</v>
      </c>
    </row>
    <row r="109" spans="1:18" x14ac:dyDescent="0.3">
      <c r="A109" s="1" t="s">
        <v>226</v>
      </c>
    </row>
    <row r="110" spans="1:18" s="9" customFormat="1" ht="54" x14ac:dyDescent="0.25">
      <c r="B110" s="17" t="str">
        <f t="array" ref="B110:Q110">TRANSPOSE(List_Functions)</f>
        <v>Generation</v>
      </c>
      <c r="C110" s="17" t="str">
        <v>Purchased Power</v>
      </c>
      <c r="D110" s="17" t="str">
        <v>Transmission</v>
      </c>
      <c r="E110" s="17" t="str">
        <v>Substations</v>
      </c>
      <c r="F110" s="17" t="str">
        <v>Primary Lines</v>
      </c>
      <c r="G110" s="17" t="str">
        <v>Transformers</v>
      </c>
      <c r="H110" s="17" t="str">
        <v>Secondary Lines</v>
      </c>
      <c r="I110" s="17" t="str">
        <v>Service Lines</v>
      </c>
      <c r="J110" s="17" t="str">
        <v>Meter Assets</v>
      </c>
      <c r="K110" s="17" t="str">
        <v>Meter Reading</v>
      </c>
      <c r="L110" s="17" t="str">
        <v>Billing</v>
      </c>
      <c r="M110" s="17" t="str">
        <v>Remittance &amp; Collection</v>
      </c>
      <c r="N110" s="17" t="str">
        <v>Uncollectibles &amp; Damage Claims</v>
      </c>
      <c r="O110" s="17" t="str">
        <v>Service Connections</v>
      </c>
      <c r="P110" s="17" t="str">
        <v>Late Payments</v>
      </c>
      <c r="Q110" s="17" t="str">
        <v>Lighting</v>
      </c>
      <c r="R110" s="17" t="s">
        <v>214</v>
      </c>
    </row>
    <row r="111" spans="1:18" x14ac:dyDescent="0.3">
      <c r="A111" s="1" t="s">
        <v>129</v>
      </c>
    </row>
    <row r="112" spans="1:18" x14ac:dyDescent="0.3">
      <c r="A112" s="3" t="s">
        <v>172</v>
      </c>
      <c r="B112" s="1">
        <f t="array" ref="B112:Q112">MMULT(B51:L51,$B$94:$Q$104)</f>
        <v>0</v>
      </c>
      <c r="C112" s="1">
        <v>0</v>
      </c>
      <c r="D112" s="1">
        <v>0</v>
      </c>
      <c r="E112" s="1">
        <v>0</v>
      </c>
      <c r="F112" s="1">
        <v>0</v>
      </c>
      <c r="G112" s="1">
        <v>0</v>
      </c>
      <c r="H112" s="1">
        <v>0</v>
      </c>
      <c r="I112" s="1">
        <v>0</v>
      </c>
      <c r="J112" s="1">
        <v>0</v>
      </c>
      <c r="K112" s="1">
        <v>0</v>
      </c>
      <c r="L112" s="1">
        <v>0</v>
      </c>
      <c r="M112" s="1">
        <v>0</v>
      </c>
      <c r="N112" s="1">
        <v>0</v>
      </c>
      <c r="O112" s="1">
        <v>0</v>
      </c>
      <c r="P112" s="1">
        <v>0</v>
      </c>
      <c r="Q112" s="1">
        <v>0</v>
      </c>
      <c r="R112" s="1">
        <f>SUM(B112:Q112)</f>
        <v>0</v>
      </c>
    </row>
    <row r="113" spans="1:18" x14ac:dyDescent="0.3">
      <c r="A113" s="3" t="s">
        <v>173</v>
      </c>
    </row>
    <row r="114" spans="1:18" x14ac:dyDescent="0.3">
      <c r="A114" s="4" t="s">
        <v>13</v>
      </c>
      <c r="B114" s="1">
        <f t="array" ref="B114:Q114">MMULT(B53:L53,$B$94:$Q$104)</f>
        <v>0</v>
      </c>
      <c r="C114" s="1">
        <v>0</v>
      </c>
      <c r="D114" s="1">
        <v>27455843.66</v>
      </c>
      <c r="E114" s="1">
        <v>28576490.34</v>
      </c>
      <c r="F114" s="1">
        <v>0</v>
      </c>
      <c r="G114" s="1">
        <v>0</v>
      </c>
      <c r="H114" s="1">
        <v>0</v>
      </c>
      <c r="I114" s="1">
        <v>0</v>
      </c>
      <c r="J114" s="1">
        <v>0</v>
      </c>
      <c r="K114" s="1">
        <v>0</v>
      </c>
      <c r="L114" s="1">
        <v>0</v>
      </c>
      <c r="M114" s="1">
        <v>0</v>
      </c>
      <c r="N114" s="1">
        <v>0</v>
      </c>
      <c r="O114" s="1">
        <v>0</v>
      </c>
      <c r="P114" s="1">
        <v>0</v>
      </c>
      <c r="Q114" s="1">
        <v>0</v>
      </c>
      <c r="R114" s="1">
        <f>SUM(B114:Q114)</f>
        <v>56032334</v>
      </c>
    </row>
    <row r="115" spans="1:18" x14ac:dyDescent="0.3">
      <c r="A115" s="4" t="s">
        <v>140</v>
      </c>
      <c r="B115" s="1">
        <f t="array" ref="B115:Q115">MMULT(B54:L54,$B$94:$Q$104)</f>
        <v>0</v>
      </c>
      <c r="C115" s="1">
        <v>0</v>
      </c>
      <c r="D115" s="1">
        <v>0</v>
      </c>
      <c r="E115" s="1">
        <v>881627.5674087985</v>
      </c>
      <c r="F115" s="1">
        <v>135260587.03731859</v>
      </c>
      <c r="G115" s="1">
        <v>2000515.2924997527</v>
      </c>
      <c r="H115" s="1">
        <v>45086862.345772862</v>
      </c>
      <c r="I115" s="1">
        <v>0</v>
      </c>
      <c r="J115" s="1">
        <v>0</v>
      </c>
      <c r="K115" s="1">
        <v>0</v>
      </c>
      <c r="L115" s="1">
        <v>0</v>
      </c>
      <c r="M115" s="1">
        <v>0</v>
      </c>
      <c r="N115" s="1">
        <v>0</v>
      </c>
      <c r="O115" s="1">
        <v>0</v>
      </c>
      <c r="P115" s="1">
        <v>0</v>
      </c>
      <c r="Q115" s="1">
        <v>0</v>
      </c>
      <c r="R115" s="1">
        <f>SUM(B115:Q115)</f>
        <v>183229592.243</v>
      </c>
    </row>
    <row r="116" spans="1:18" x14ac:dyDescent="0.3">
      <c r="A116" s="4" t="s">
        <v>141</v>
      </c>
      <c r="B116" s="1">
        <f t="array" ref="B116:Q116">MMULT(B55:L55,$B$94:$Q$104)</f>
        <v>1606497.8750000005</v>
      </c>
      <c r="C116" s="1">
        <v>0</v>
      </c>
      <c r="D116" s="1">
        <v>1606497.8750000005</v>
      </c>
      <c r="E116" s="1">
        <v>1606497.8750000005</v>
      </c>
      <c r="F116" s="1">
        <v>535499.29166666686</v>
      </c>
      <c r="G116" s="1">
        <v>535499.29166666686</v>
      </c>
      <c r="H116" s="1">
        <v>535499.29166666686</v>
      </c>
      <c r="I116" s="1">
        <v>0</v>
      </c>
      <c r="J116" s="1">
        <v>0</v>
      </c>
      <c r="K116" s="1">
        <v>0</v>
      </c>
      <c r="L116" s="1">
        <v>0</v>
      </c>
      <c r="M116" s="1">
        <v>0</v>
      </c>
      <c r="N116" s="1">
        <v>0</v>
      </c>
      <c r="O116" s="1">
        <v>0</v>
      </c>
      <c r="P116" s="1">
        <v>0</v>
      </c>
      <c r="Q116" s="1">
        <v>0</v>
      </c>
      <c r="R116" s="1">
        <f>SUM(B116:Q116)</f>
        <v>6425991.5000000028</v>
      </c>
    </row>
    <row r="117" spans="1:18" x14ac:dyDescent="0.3">
      <c r="A117" s="4" t="s">
        <v>142</v>
      </c>
      <c r="B117" s="1">
        <f t="array" ref="B117:Q117">MMULT(B56:L56,$B$94:$Q$104)</f>
        <v>0</v>
      </c>
      <c r="C117" s="1">
        <v>0</v>
      </c>
      <c r="D117" s="1">
        <v>0</v>
      </c>
      <c r="E117" s="1">
        <v>0</v>
      </c>
      <c r="F117" s="1">
        <v>0</v>
      </c>
      <c r="G117" s="1">
        <v>0</v>
      </c>
      <c r="H117" s="1">
        <v>0</v>
      </c>
      <c r="I117" s="1">
        <v>0</v>
      </c>
      <c r="J117" s="1">
        <v>0</v>
      </c>
      <c r="K117" s="1">
        <v>0</v>
      </c>
      <c r="L117" s="1">
        <v>0</v>
      </c>
      <c r="M117" s="1">
        <v>0</v>
      </c>
      <c r="N117" s="1">
        <v>0</v>
      </c>
      <c r="O117" s="1">
        <v>0</v>
      </c>
      <c r="P117" s="1">
        <v>0</v>
      </c>
      <c r="Q117" s="1">
        <v>0</v>
      </c>
      <c r="R117" s="1">
        <f>SUM(B117:Q117)</f>
        <v>0</v>
      </c>
    </row>
    <row r="118" spans="1:18" x14ac:dyDescent="0.3">
      <c r="A118" s="4" t="s">
        <v>143</v>
      </c>
      <c r="B118" s="1">
        <f t="array" ref="B118:Q118">MMULT(B57:L57,$B$94:$Q$104)</f>
        <v>0</v>
      </c>
      <c r="C118" s="1">
        <v>0</v>
      </c>
      <c r="D118" s="1">
        <v>0</v>
      </c>
      <c r="E118" s="1">
        <v>0</v>
      </c>
      <c r="F118" s="1">
        <v>0</v>
      </c>
      <c r="G118" s="1">
        <v>0</v>
      </c>
      <c r="H118" s="1">
        <v>0</v>
      </c>
      <c r="I118" s="1">
        <v>0</v>
      </c>
      <c r="J118" s="1">
        <v>0</v>
      </c>
      <c r="K118" s="1">
        <v>0</v>
      </c>
      <c r="L118" s="1">
        <v>0</v>
      </c>
      <c r="M118" s="1">
        <v>0</v>
      </c>
      <c r="N118" s="1">
        <v>0</v>
      </c>
      <c r="O118" s="1">
        <v>0</v>
      </c>
      <c r="P118" s="1">
        <v>0</v>
      </c>
      <c r="Q118" s="1">
        <v>0</v>
      </c>
      <c r="R118" s="1">
        <f>SUM(B118:Q118)</f>
        <v>0</v>
      </c>
    </row>
    <row r="119" spans="1:18" x14ac:dyDescent="0.3">
      <c r="A119" s="4" t="s">
        <v>174</v>
      </c>
      <c r="B119" s="1">
        <f t="shared" ref="B119:Q119" si="18">SUBTOTAL(9,B113:B118)</f>
        <v>1606497.8750000005</v>
      </c>
      <c r="C119" s="1">
        <f t="shared" si="18"/>
        <v>0</v>
      </c>
      <c r="D119" s="1">
        <f t="shared" si="18"/>
        <v>29062341.535</v>
      </c>
      <c r="E119" s="1">
        <f t="shared" si="18"/>
        <v>31064615.7824088</v>
      </c>
      <c r="F119" s="1">
        <f t="shared" si="18"/>
        <v>135796086.32898524</v>
      </c>
      <c r="G119" s="1">
        <f t="shared" si="18"/>
        <v>2536014.5841664197</v>
      </c>
      <c r="H119" s="1">
        <f t="shared" si="18"/>
        <v>45622361.637439527</v>
      </c>
      <c r="I119" s="1">
        <f t="shared" si="18"/>
        <v>0</v>
      </c>
      <c r="J119" s="1">
        <f t="shared" si="18"/>
        <v>0</v>
      </c>
      <c r="K119" s="1">
        <f t="shared" si="18"/>
        <v>0</v>
      </c>
      <c r="L119" s="1">
        <f t="shared" si="18"/>
        <v>0</v>
      </c>
      <c r="M119" s="1">
        <f t="shared" si="18"/>
        <v>0</v>
      </c>
      <c r="N119" s="1">
        <f t="shared" si="18"/>
        <v>0</v>
      </c>
      <c r="O119" s="1">
        <f t="shared" si="18"/>
        <v>0</v>
      </c>
      <c r="P119" s="1">
        <f t="shared" si="18"/>
        <v>0</v>
      </c>
      <c r="Q119" s="1">
        <f t="shared" si="18"/>
        <v>0</v>
      </c>
      <c r="R119" s="1">
        <f>SUBTOTAL(9,R113:R118)</f>
        <v>245687917.743</v>
      </c>
    </row>
    <row r="120" spans="1:18" x14ac:dyDescent="0.3">
      <c r="A120" s="3" t="s">
        <v>175</v>
      </c>
      <c r="B120" s="1">
        <f t="array" ref="B120:Q120">MMULT(B59:L59,$B$94:$Q$104)</f>
        <v>1829763.1301418229</v>
      </c>
      <c r="C120" s="1">
        <v>588162.14221297333</v>
      </c>
      <c r="D120" s="1">
        <v>4216210.7704323679</v>
      </c>
      <c r="E120" s="1">
        <v>2853844.8303327537</v>
      </c>
      <c r="F120" s="1">
        <v>6724307.4773621745</v>
      </c>
      <c r="G120" s="1">
        <v>7284351.9446720742</v>
      </c>
      <c r="H120" s="1">
        <v>2514694.9904543725</v>
      </c>
      <c r="I120" s="1">
        <v>212706.20532208384</v>
      </c>
      <c r="J120" s="1">
        <v>488433.02420093835</v>
      </c>
      <c r="K120" s="1">
        <v>780768.25556490815</v>
      </c>
      <c r="L120" s="1">
        <v>493932.06062503089</v>
      </c>
      <c r="M120" s="1">
        <v>701916.9091462479</v>
      </c>
      <c r="N120" s="1">
        <v>163185.81714624783</v>
      </c>
      <c r="O120" s="1">
        <v>163185.81714624783</v>
      </c>
      <c r="P120" s="1">
        <v>21414.477146247817</v>
      </c>
      <c r="Q120" s="1">
        <v>44096.648093508098</v>
      </c>
      <c r="R120" s="1">
        <f>SUM(B120:Q120)</f>
        <v>29080974.500000007</v>
      </c>
    </row>
    <row r="121" spans="1:18" x14ac:dyDescent="0.3">
      <c r="A121" s="3" t="s">
        <v>213</v>
      </c>
      <c r="B121" s="1">
        <f t="shared" ref="B121:R121" si="19">SUBTOTAL(9,B111:B120)</f>
        <v>3436261.0051418236</v>
      </c>
      <c r="C121" s="1">
        <f t="shared" si="19"/>
        <v>588162.14221297333</v>
      </c>
      <c r="D121" s="1">
        <f t="shared" si="19"/>
        <v>33278552.305432368</v>
      </c>
      <c r="E121" s="1">
        <f t="shared" si="19"/>
        <v>33918460.612741552</v>
      </c>
      <c r="F121" s="1">
        <f t="shared" si="19"/>
        <v>142520393.80634743</v>
      </c>
      <c r="G121" s="1">
        <f t="shared" si="19"/>
        <v>9820366.5288384929</v>
      </c>
      <c r="H121" s="1">
        <f t="shared" si="19"/>
        <v>48137056.627893902</v>
      </c>
      <c r="I121" s="1">
        <f t="shared" si="19"/>
        <v>212706.20532208384</v>
      </c>
      <c r="J121" s="1">
        <f t="shared" si="19"/>
        <v>488433.02420093835</v>
      </c>
      <c r="K121" s="1">
        <f t="shared" si="19"/>
        <v>780768.25556490815</v>
      </c>
      <c r="L121" s="1">
        <f t="shared" si="19"/>
        <v>493932.06062503089</v>
      </c>
      <c r="M121" s="1">
        <f t="shared" si="19"/>
        <v>701916.9091462479</v>
      </c>
      <c r="N121" s="1">
        <f t="shared" si="19"/>
        <v>163185.81714624783</v>
      </c>
      <c r="O121" s="1">
        <f t="shared" si="19"/>
        <v>163185.81714624783</v>
      </c>
      <c r="P121" s="1">
        <f t="shared" si="19"/>
        <v>21414.477146247817</v>
      </c>
      <c r="Q121" s="1">
        <f t="shared" si="19"/>
        <v>44096.648093508098</v>
      </c>
      <c r="R121" s="1">
        <f t="shared" si="19"/>
        <v>274768892.24300003</v>
      </c>
    </row>
    <row r="122" spans="1:18" x14ac:dyDescent="0.3">
      <c r="A122" s="2" t="s">
        <v>176</v>
      </c>
      <c r="B122" s="1">
        <f t="array" ref="B122:Q122">MMULT(B61:L61,$B$94:$Q$104)</f>
        <v>0</v>
      </c>
      <c r="C122" s="1">
        <v>0</v>
      </c>
      <c r="D122" s="1">
        <v>0</v>
      </c>
      <c r="E122" s="1">
        <v>0</v>
      </c>
      <c r="F122" s="1">
        <v>-5956731.3501308486</v>
      </c>
      <c r="G122" s="1">
        <v>-3700279.1336824982</v>
      </c>
      <c r="H122" s="1">
        <v>-1985577.1167102826</v>
      </c>
      <c r="I122" s="1">
        <v>-2936623.3975331718</v>
      </c>
      <c r="J122" s="1">
        <v>-599112.15478037507</v>
      </c>
      <c r="K122" s="1">
        <v>0</v>
      </c>
      <c r="L122" s="1">
        <v>0</v>
      </c>
      <c r="M122" s="1">
        <v>0</v>
      </c>
      <c r="N122" s="1">
        <v>0</v>
      </c>
      <c r="O122" s="1">
        <v>0</v>
      </c>
      <c r="P122" s="1">
        <v>0</v>
      </c>
      <c r="Q122" s="1">
        <v>-348206.34716282383</v>
      </c>
      <c r="R122" s="1">
        <f>SUM(B122:Q122)</f>
        <v>-15526529.500000002</v>
      </c>
    </row>
    <row r="123" spans="1:18" x14ac:dyDescent="0.3">
      <c r="A123" s="2" t="s">
        <v>147</v>
      </c>
    </row>
    <row r="124" spans="1:18" x14ac:dyDescent="0.3">
      <c r="A124" s="3" t="s">
        <v>148</v>
      </c>
      <c r="B124" s="1">
        <f t="array" ref="B124:Q124">MMULT(B63:L63,$B$94:$Q$104)</f>
        <v>0</v>
      </c>
      <c r="C124" s="1">
        <v>0</v>
      </c>
      <c r="D124" s="1">
        <v>0</v>
      </c>
      <c r="E124" s="1">
        <v>0</v>
      </c>
      <c r="F124" s="1">
        <v>0</v>
      </c>
      <c r="G124" s="1">
        <v>0</v>
      </c>
      <c r="H124" s="1">
        <v>0</v>
      </c>
      <c r="I124" s="1">
        <v>0</v>
      </c>
      <c r="J124" s="1">
        <v>0</v>
      </c>
      <c r="K124" s="1">
        <v>0</v>
      </c>
      <c r="L124" s="1">
        <v>0</v>
      </c>
      <c r="M124" s="1">
        <v>0</v>
      </c>
      <c r="N124" s="1">
        <v>0</v>
      </c>
      <c r="O124" s="1">
        <v>0</v>
      </c>
      <c r="P124" s="1">
        <v>0</v>
      </c>
      <c r="Q124" s="1">
        <v>0</v>
      </c>
      <c r="R124" s="1">
        <f t="shared" ref="R124:R132" si="20">SUM(B124:Q124)</f>
        <v>0</v>
      </c>
    </row>
    <row r="125" spans="1:18" x14ac:dyDescent="0.3">
      <c r="A125" s="3" t="s">
        <v>149</v>
      </c>
      <c r="B125" s="1">
        <f t="array" ref="B125:Q125">MMULT(B64:L64,$B$94:$Q$104)</f>
        <v>0</v>
      </c>
      <c r="C125" s="1">
        <v>0</v>
      </c>
      <c r="D125" s="1">
        <v>0</v>
      </c>
      <c r="E125" s="1">
        <v>0</v>
      </c>
      <c r="F125" s="1">
        <v>0</v>
      </c>
      <c r="G125" s="1">
        <v>0</v>
      </c>
      <c r="H125" s="1">
        <v>0</v>
      </c>
      <c r="I125" s="1">
        <v>0</v>
      </c>
      <c r="J125" s="1">
        <v>0</v>
      </c>
      <c r="K125" s="1">
        <v>0</v>
      </c>
      <c r="L125" s="1">
        <v>0</v>
      </c>
      <c r="M125" s="1">
        <v>0</v>
      </c>
      <c r="N125" s="1">
        <v>0</v>
      </c>
      <c r="O125" s="1">
        <v>0</v>
      </c>
      <c r="P125" s="1">
        <v>0</v>
      </c>
      <c r="Q125" s="1">
        <v>0</v>
      </c>
      <c r="R125" s="1">
        <f t="shared" si="20"/>
        <v>0</v>
      </c>
    </row>
    <row r="126" spans="1:18" x14ac:dyDescent="0.3">
      <c r="A126" s="3" t="s">
        <v>150</v>
      </c>
      <c r="B126" s="1">
        <f t="array" ref="B126:Q126">MMULT(B65:L65,$B$94:$Q$104)</f>
        <v>0</v>
      </c>
      <c r="C126" s="1">
        <v>0</v>
      </c>
      <c r="D126" s="1">
        <v>0</v>
      </c>
      <c r="E126" s="1">
        <v>0</v>
      </c>
      <c r="F126" s="1">
        <v>0</v>
      </c>
      <c r="G126" s="1">
        <v>0</v>
      </c>
      <c r="H126" s="1">
        <v>0</v>
      </c>
      <c r="I126" s="1">
        <v>0</v>
      </c>
      <c r="J126" s="1">
        <v>0</v>
      </c>
      <c r="K126" s="1">
        <v>0</v>
      </c>
      <c r="L126" s="1">
        <v>0</v>
      </c>
      <c r="M126" s="1">
        <v>0</v>
      </c>
      <c r="N126" s="1">
        <v>0</v>
      </c>
      <c r="O126" s="1">
        <v>0</v>
      </c>
      <c r="P126" s="1">
        <v>0</v>
      </c>
      <c r="Q126" s="1">
        <v>0</v>
      </c>
      <c r="R126" s="1">
        <f t="shared" si="20"/>
        <v>0</v>
      </c>
    </row>
    <row r="127" spans="1:18" x14ac:dyDescent="0.3">
      <c r="A127" s="3" t="s">
        <v>151</v>
      </c>
      <c r="B127" s="1">
        <f t="array" ref="B127:Q127">MMULT(B66:L66,$B$94:$Q$104)</f>
        <v>238388.85161717198</v>
      </c>
      <c r="C127" s="1">
        <v>67645.710525898001</v>
      </c>
      <c r="D127" s="1">
        <v>445670.04647497967</v>
      </c>
      <c r="E127" s="1">
        <v>190224.82059277847</v>
      </c>
      <c r="F127" s="1">
        <v>266836.08627792692</v>
      </c>
      <c r="G127" s="1">
        <v>372640.63146444876</v>
      </c>
      <c r="H127" s="1">
        <v>117040.51167817548</v>
      </c>
      <c r="I127" s="1">
        <v>12258.161840499637</v>
      </c>
      <c r="J127" s="1">
        <v>37911.048801497891</v>
      </c>
      <c r="K127" s="1">
        <v>150515.53442903564</v>
      </c>
      <c r="L127" s="1">
        <v>44691.733198835151</v>
      </c>
      <c r="M127" s="1">
        <v>4655.0671832440466</v>
      </c>
      <c r="N127" s="1">
        <v>4655.0671832440466</v>
      </c>
      <c r="O127" s="1">
        <v>4655.0671832440466</v>
      </c>
      <c r="P127" s="1">
        <v>4655.0671832440466</v>
      </c>
      <c r="Q127" s="1">
        <v>5556.5943657762245</v>
      </c>
      <c r="R127" s="1">
        <f t="shared" si="20"/>
        <v>1967999.9999999998</v>
      </c>
    </row>
    <row r="128" spans="1:18" x14ac:dyDescent="0.3">
      <c r="A128" s="3" t="s">
        <v>152</v>
      </c>
      <c r="B128" s="1">
        <f t="array" ref="B128:Q128">MMULT(B67:L67,$B$94:$Q$104)</f>
        <v>0</v>
      </c>
      <c r="C128" s="1">
        <v>0</v>
      </c>
      <c r="D128" s="1">
        <v>0</v>
      </c>
      <c r="E128" s="1">
        <v>0</v>
      </c>
      <c r="F128" s="1">
        <v>0</v>
      </c>
      <c r="G128" s="1">
        <v>0</v>
      </c>
      <c r="H128" s="1">
        <v>0</v>
      </c>
      <c r="I128" s="1">
        <v>0</v>
      </c>
      <c r="J128" s="1">
        <v>0</v>
      </c>
      <c r="K128" s="1">
        <v>0</v>
      </c>
      <c r="L128" s="1">
        <v>0</v>
      </c>
      <c r="M128" s="1">
        <v>0</v>
      </c>
      <c r="N128" s="1">
        <v>0</v>
      </c>
      <c r="O128" s="1">
        <v>0</v>
      </c>
      <c r="P128" s="1">
        <v>0</v>
      </c>
      <c r="Q128" s="1">
        <v>0</v>
      </c>
      <c r="R128" s="1">
        <f t="shared" si="20"/>
        <v>0</v>
      </c>
    </row>
    <row r="129" spans="1:18" x14ac:dyDescent="0.3">
      <c r="A129" s="3" t="s">
        <v>189</v>
      </c>
      <c r="B129" s="1">
        <f t="array" ref="B129:Q129">MMULT(B68:L68,$B$94:$Q$104)</f>
        <v>0</v>
      </c>
      <c r="C129" s="1">
        <v>0</v>
      </c>
      <c r="D129" s="1">
        <v>0</v>
      </c>
      <c r="E129" s="1">
        <v>0</v>
      </c>
      <c r="F129" s="1">
        <v>0</v>
      </c>
      <c r="G129" s="1">
        <v>0</v>
      </c>
      <c r="H129" s="1">
        <v>0</v>
      </c>
      <c r="I129" s="1">
        <v>0</v>
      </c>
      <c r="J129" s="1">
        <v>0</v>
      </c>
      <c r="K129" s="1">
        <v>0</v>
      </c>
      <c r="L129" s="1">
        <v>0</v>
      </c>
      <c r="M129" s="1">
        <v>0</v>
      </c>
      <c r="N129" s="1">
        <v>0</v>
      </c>
      <c r="O129" s="1">
        <v>0</v>
      </c>
      <c r="P129" s="1">
        <v>0</v>
      </c>
      <c r="Q129" s="1">
        <v>0</v>
      </c>
      <c r="R129" s="1">
        <f t="shared" si="20"/>
        <v>0</v>
      </c>
    </row>
    <row r="130" spans="1:18" x14ac:dyDescent="0.3">
      <c r="A130" s="3" t="s">
        <v>188</v>
      </c>
      <c r="B130" s="1">
        <f t="array" ref="B130:Q130">MMULT(B69:L69,$B$94:$Q$104)</f>
        <v>0</v>
      </c>
      <c r="C130" s="1">
        <v>0</v>
      </c>
      <c r="D130" s="1">
        <v>0</v>
      </c>
      <c r="E130" s="1">
        <v>0</v>
      </c>
      <c r="F130" s="1">
        <v>0</v>
      </c>
      <c r="G130" s="1">
        <v>0</v>
      </c>
      <c r="H130" s="1">
        <v>0</v>
      </c>
      <c r="I130" s="1">
        <v>0</v>
      </c>
      <c r="J130" s="1">
        <v>0</v>
      </c>
      <c r="K130" s="1">
        <v>0</v>
      </c>
      <c r="L130" s="1">
        <v>0</v>
      </c>
      <c r="M130" s="1">
        <v>0</v>
      </c>
      <c r="N130" s="1">
        <v>0</v>
      </c>
      <c r="O130" s="1">
        <v>0</v>
      </c>
      <c r="P130" s="1">
        <v>0</v>
      </c>
      <c r="Q130" s="1">
        <v>0</v>
      </c>
      <c r="R130" s="1">
        <f t="shared" si="20"/>
        <v>0</v>
      </c>
    </row>
    <row r="131" spans="1:18" x14ac:dyDescent="0.3">
      <c r="A131" s="3" t="s">
        <v>125</v>
      </c>
      <c r="B131" s="1">
        <f t="array" ref="B131:Q131">MMULT(B70:L70,$B$94:$Q$104)</f>
        <v>0</v>
      </c>
      <c r="C131" s="1">
        <v>0</v>
      </c>
      <c r="D131" s="1">
        <v>0</v>
      </c>
      <c r="E131" s="1">
        <v>0</v>
      </c>
      <c r="F131" s="1">
        <v>0</v>
      </c>
      <c r="G131" s="1">
        <v>0</v>
      </c>
      <c r="H131" s="1">
        <v>0</v>
      </c>
      <c r="I131" s="1">
        <v>0</v>
      </c>
      <c r="J131" s="1">
        <v>0</v>
      </c>
      <c r="K131" s="1">
        <v>0</v>
      </c>
      <c r="L131" s="1">
        <v>0</v>
      </c>
      <c r="M131" s="1">
        <v>0</v>
      </c>
      <c r="N131" s="1">
        <v>0</v>
      </c>
      <c r="O131" s="1">
        <v>0</v>
      </c>
      <c r="P131" s="1">
        <v>0</v>
      </c>
      <c r="Q131" s="1">
        <v>0</v>
      </c>
      <c r="R131" s="1">
        <f t="shared" si="20"/>
        <v>0</v>
      </c>
    </row>
    <row r="132" spans="1:18" x14ac:dyDescent="0.3">
      <c r="A132" s="3" t="s">
        <v>190</v>
      </c>
      <c r="B132" s="1">
        <f t="array" ref="B132:Q132">MMULT(B71:L71,$B$94:$Q$104)</f>
        <v>0</v>
      </c>
      <c r="C132" s="1">
        <v>0</v>
      </c>
      <c r="D132" s="1">
        <v>0</v>
      </c>
      <c r="E132" s="1">
        <v>0</v>
      </c>
      <c r="F132" s="1">
        <v>0</v>
      </c>
      <c r="G132" s="1">
        <v>0</v>
      </c>
      <c r="H132" s="1">
        <v>0</v>
      </c>
      <c r="I132" s="1">
        <v>0</v>
      </c>
      <c r="J132" s="1">
        <v>0</v>
      </c>
      <c r="K132" s="1">
        <v>0</v>
      </c>
      <c r="L132" s="1">
        <v>0</v>
      </c>
      <c r="M132" s="1">
        <v>0</v>
      </c>
      <c r="N132" s="1">
        <v>0</v>
      </c>
      <c r="O132" s="1">
        <v>0</v>
      </c>
      <c r="P132" s="1">
        <v>0</v>
      </c>
      <c r="Q132" s="1">
        <v>0</v>
      </c>
      <c r="R132" s="1">
        <f t="shared" si="20"/>
        <v>0</v>
      </c>
    </row>
    <row r="133" spans="1:18" x14ac:dyDescent="0.3">
      <c r="A133" s="3" t="s">
        <v>153</v>
      </c>
      <c r="B133" s="1">
        <f>SUBTOTAL(9,B124:B132)</f>
        <v>238388.85161717198</v>
      </c>
      <c r="C133" s="1">
        <f t="shared" ref="C133:R133" si="21">SUBTOTAL(9,C124:C132)</f>
        <v>67645.710525898001</v>
      </c>
      <c r="D133" s="1">
        <f t="shared" si="21"/>
        <v>445670.04647497967</v>
      </c>
      <c r="E133" s="1">
        <f t="shared" si="21"/>
        <v>190224.82059277847</v>
      </c>
      <c r="F133" s="1">
        <f t="shared" si="21"/>
        <v>266836.08627792692</v>
      </c>
      <c r="G133" s="1">
        <f t="shared" si="21"/>
        <v>372640.63146444876</v>
      </c>
      <c r="H133" s="1">
        <f t="shared" si="21"/>
        <v>117040.51167817548</v>
      </c>
      <c r="I133" s="1">
        <f t="shared" si="21"/>
        <v>12258.161840499637</v>
      </c>
      <c r="J133" s="1">
        <f t="shared" si="21"/>
        <v>37911.048801497891</v>
      </c>
      <c r="K133" s="1">
        <f t="shared" si="21"/>
        <v>150515.53442903564</v>
      </c>
      <c r="L133" s="1">
        <f t="shared" si="21"/>
        <v>44691.733198835151</v>
      </c>
      <c r="M133" s="1">
        <f t="shared" si="21"/>
        <v>4655.0671832440466</v>
      </c>
      <c r="N133" s="1">
        <f t="shared" si="21"/>
        <v>4655.0671832440466</v>
      </c>
      <c r="O133" s="1">
        <f t="shared" si="21"/>
        <v>4655.0671832440466</v>
      </c>
      <c r="P133" s="1">
        <f t="shared" si="21"/>
        <v>4655.0671832440466</v>
      </c>
      <c r="Q133" s="1">
        <f t="shared" si="21"/>
        <v>5556.5943657762245</v>
      </c>
      <c r="R133" s="1">
        <f t="shared" si="21"/>
        <v>1967999.9999999998</v>
      </c>
    </row>
    <row r="134" spans="1:18" x14ac:dyDescent="0.3">
      <c r="A134" s="2" t="s">
        <v>132</v>
      </c>
      <c r="B134" s="1">
        <f t="array" ref="B134:Q134">MMULT(B73:L73,$B$94:$Q$104)</f>
        <v>0</v>
      </c>
      <c r="C134" s="1">
        <v>0</v>
      </c>
      <c r="D134" s="1">
        <v>0</v>
      </c>
      <c r="E134" s="1">
        <v>0</v>
      </c>
      <c r="F134" s="1">
        <v>0</v>
      </c>
      <c r="G134" s="1">
        <v>0</v>
      </c>
      <c r="H134" s="1">
        <v>0</v>
      </c>
      <c r="I134" s="1">
        <v>0</v>
      </c>
      <c r="J134" s="1">
        <v>0</v>
      </c>
      <c r="K134" s="1">
        <v>0</v>
      </c>
      <c r="L134" s="1">
        <v>0</v>
      </c>
      <c r="M134" s="1">
        <v>0</v>
      </c>
      <c r="N134" s="1">
        <v>0</v>
      </c>
      <c r="O134" s="1">
        <v>0</v>
      </c>
      <c r="P134" s="1">
        <v>0</v>
      </c>
      <c r="Q134" s="1">
        <v>0</v>
      </c>
      <c r="R134" s="1">
        <f>SUM(B134:Q134)</f>
        <v>0</v>
      </c>
    </row>
    <row r="135" spans="1:18" x14ac:dyDescent="0.3">
      <c r="A135" s="2" t="s">
        <v>145</v>
      </c>
      <c r="B135" s="1">
        <f t="array" ref="B135:Q135">MMULT(B74:L74,$B$94:$Q$104)</f>
        <v>0</v>
      </c>
      <c r="C135" s="1">
        <v>0</v>
      </c>
      <c r="D135" s="1">
        <v>0</v>
      </c>
      <c r="E135" s="1">
        <v>0</v>
      </c>
      <c r="F135" s="1">
        <v>0</v>
      </c>
      <c r="G135" s="1">
        <v>0</v>
      </c>
      <c r="H135" s="1">
        <v>0</v>
      </c>
      <c r="I135" s="1">
        <v>0</v>
      </c>
      <c r="J135" s="1">
        <v>0</v>
      </c>
      <c r="K135" s="1">
        <v>0</v>
      </c>
      <c r="L135" s="1">
        <v>0</v>
      </c>
      <c r="M135" s="1">
        <v>0</v>
      </c>
      <c r="N135" s="1">
        <v>0</v>
      </c>
      <c r="O135" s="1">
        <v>0</v>
      </c>
      <c r="P135" s="1">
        <v>0</v>
      </c>
      <c r="Q135" s="1">
        <v>0</v>
      </c>
      <c r="R135" s="1">
        <f>SUM(B135:Q135)</f>
        <v>0</v>
      </c>
    </row>
    <row r="136" spans="1:18" x14ac:dyDescent="0.3">
      <c r="A136" s="2" t="s">
        <v>146</v>
      </c>
      <c r="B136" s="1">
        <f t="array" ref="B136:Q136">MMULT(B75:L75,$B$94:$Q$104)</f>
        <v>0</v>
      </c>
      <c r="C136" s="1">
        <v>0</v>
      </c>
      <c r="D136" s="1">
        <v>0</v>
      </c>
      <c r="E136" s="1">
        <v>0</v>
      </c>
      <c r="F136" s="1">
        <v>0</v>
      </c>
      <c r="G136" s="1">
        <v>0</v>
      </c>
      <c r="H136" s="1">
        <v>0</v>
      </c>
      <c r="I136" s="1">
        <v>0</v>
      </c>
      <c r="J136" s="1">
        <v>0</v>
      </c>
      <c r="K136" s="1">
        <v>0</v>
      </c>
      <c r="L136" s="1">
        <v>0</v>
      </c>
      <c r="M136" s="1">
        <v>0</v>
      </c>
      <c r="N136" s="1">
        <v>0</v>
      </c>
      <c r="O136" s="1">
        <v>0</v>
      </c>
      <c r="P136" s="1">
        <v>0</v>
      </c>
      <c r="Q136" s="1">
        <v>0</v>
      </c>
      <c r="R136" s="1">
        <f>SUM(B136:Q136)</f>
        <v>0</v>
      </c>
    </row>
    <row r="137" spans="1:18" x14ac:dyDescent="0.3">
      <c r="A137" s="2" t="s">
        <v>133</v>
      </c>
      <c r="B137" s="1">
        <f t="array" ref="B137:Q137">MMULT(B76:L76,$B$94:$Q$104)</f>
        <v>-647271.76250831224</v>
      </c>
      <c r="C137" s="1">
        <v>-183671.16574956095</v>
      </c>
      <c r="D137" s="1">
        <v>-1210080.2303552104</v>
      </c>
      <c r="E137" s="1">
        <v>-516497.11831174383</v>
      </c>
      <c r="F137" s="1">
        <v>-724511.497472613</v>
      </c>
      <c r="G137" s="1">
        <v>-1011791.2673934359</v>
      </c>
      <c r="H137" s="1">
        <v>-317787.5884920379</v>
      </c>
      <c r="I137" s="1">
        <v>-33283.276318450109</v>
      </c>
      <c r="J137" s="1">
        <v>-102935.81771890447</v>
      </c>
      <c r="K137" s="1">
        <v>-408678.73893371545</v>
      </c>
      <c r="L137" s="1">
        <v>-121346.68513616649</v>
      </c>
      <c r="M137" s="1">
        <v>-12639.406246780774</v>
      </c>
      <c r="N137" s="1">
        <v>-12639.406246780774</v>
      </c>
      <c r="O137" s="1">
        <v>-12639.406246780774</v>
      </c>
      <c r="P137" s="1">
        <v>-12639.406246780774</v>
      </c>
      <c r="Q137" s="1">
        <v>-15087.226622726248</v>
      </c>
      <c r="R137" s="1">
        <f>SUM(B137:Q137)</f>
        <v>-5343499.9999999981</v>
      </c>
    </row>
    <row r="138" spans="1:18" x14ac:dyDescent="0.3">
      <c r="A138" s="2" t="s">
        <v>731</v>
      </c>
      <c r="B138" s="1">
        <f t="array" ref="B138:Q138">MMULT(B77:L77,$B$94:$Q$104)</f>
        <v>0</v>
      </c>
      <c r="C138" s="1">
        <v>0</v>
      </c>
      <c r="D138" s="1">
        <v>0</v>
      </c>
      <c r="E138" s="1">
        <v>0</v>
      </c>
      <c r="F138" s="1">
        <v>0</v>
      </c>
      <c r="G138" s="1">
        <v>0</v>
      </c>
      <c r="H138" s="1">
        <v>0</v>
      </c>
      <c r="I138" s="1">
        <v>0</v>
      </c>
      <c r="J138" s="1">
        <v>0</v>
      </c>
      <c r="K138" s="1">
        <v>0</v>
      </c>
      <c r="L138" s="1">
        <v>0</v>
      </c>
      <c r="M138" s="1">
        <v>0</v>
      </c>
      <c r="N138" s="1">
        <v>0</v>
      </c>
      <c r="O138" s="1">
        <v>0</v>
      </c>
      <c r="P138" s="1">
        <v>0</v>
      </c>
      <c r="Q138" s="1">
        <v>0</v>
      </c>
      <c r="R138" s="1">
        <f t="shared" ref="R138:R139" si="22">SUM(B138:Q138)</f>
        <v>0</v>
      </c>
    </row>
    <row r="139" spans="1:18" x14ac:dyDescent="0.3">
      <c r="A139" s="2" t="s">
        <v>730</v>
      </c>
      <c r="B139" s="1">
        <f t="array" ref="B139:Q139">MMULT(B78:L78,$B$94:$Q$104)</f>
        <v>0</v>
      </c>
      <c r="C139" s="1">
        <v>0</v>
      </c>
      <c r="D139" s="1">
        <v>0</v>
      </c>
      <c r="E139" s="1">
        <v>0</v>
      </c>
      <c r="F139" s="1">
        <v>0</v>
      </c>
      <c r="G139" s="1">
        <v>0</v>
      </c>
      <c r="H139" s="1">
        <v>0</v>
      </c>
      <c r="I139" s="1">
        <v>0</v>
      </c>
      <c r="J139" s="1">
        <v>0</v>
      </c>
      <c r="K139" s="1">
        <v>0</v>
      </c>
      <c r="L139" s="1">
        <v>0</v>
      </c>
      <c r="M139" s="1">
        <v>0</v>
      </c>
      <c r="N139" s="1">
        <v>0</v>
      </c>
      <c r="O139" s="1">
        <v>0</v>
      </c>
      <c r="P139" s="1">
        <v>0</v>
      </c>
      <c r="Q139" s="1">
        <v>0</v>
      </c>
      <c r="R139" s="1">
        <f t="shared" si="22"/>
        <v>0</v>
      </c>
    </row>
    <row r="140" spans="1:18" x14ac:dyDescent="0.3">
      <c r="A140" s="2" t="s">
        <v>134</v>
      </c>
      <c r="B140" s="1">
        <f t="array" ref="B140:Q140">MMULT(B79:L79,$B$94:$Q$104)</f>
        <v>0</v>
      </c>
      <c r="C140" s="1">
        <v>0</v>
      </c>
      <c r="D140" s="1">
        <v>0</v>
      </c>
      <c r="E140" s="1">
        <v>0</v>
      </c>
      <c r="F140" s="1">
        <v>0</v>
      </c>
      <c r="G140" s="1">
        <v>0</v>
      </c>
      <c r="H140" s="1">
        <v>0</v>
      </c>
      <c r="I140" s="1">
        <v>0</v>
      </c>
      <c r="J140" s="1">
        <v>0</v>
      </c>
      <c r="K140" s="1">
        <v>0</v>
      </c>
      <c r="L140" s="1">
        <v>0</v>
      </c>
      <c r="M140" s="1">
        <v>0</v>
      </c>
      <c r="N140" s="1">
        <v>0</v>
      </c>
      <c r="O140" s="1">
        <v>0</v>
      </c>
      <c r="P140" s="1">
        <v>0</v>
      </c>
      <c r="Q140" s="1">
        <v>0</v>
      </c>
      <c r="R140" s="1">
        <f>SUM(B140:Q140)</f>
        <v>0</v>
      </c>
    </row>
    <row r="141" spans="1:18" x14ac:dyDescent="0.3">
      <c r="A141" s="2" t="s">
        <v>186</v>
      </c>
    </row>
    <row r="142" spans="1:18" x14ac:dyDescent="0.3">
      <c r="A142" s="3" t="s">
        <v>238</v>
      </c>
      <c r="B142" s="1">
        <f t="array" ref="B142:Q142">MMULT(B81:L81,$B$94:$Q$104)</f>
        <v>0</v>
      </c>
      <c r="C142" s="1">
        <v>0</v>
      </c>
      <c r="D142" s="1">
        <v>0</v>
      </c>
      <c r="E142" s="1">
        <v>0</v>
      </c>
      <c r="F142" s="1">
        <v>101306.39237457504</v>
      </c>
      <c r="G142" s="1">
        <v>62930.810167233314</v>
      </c>
      <c r="H142" s="1">
        <v>33768.797458191671</v>
      </c>
      <c r="I142" s="1">
        <v>0</v>
      </c>
      <c r="J142" s="1">
        <v>0</v>
      </c>
      <c r="K142" s="1">
        <v>0</v>
      </c>
      <c r="L142" s="1">
        <v>0</v>
      </c>
      <c r="M142" s="1">
        <v>0</v>
      </c>
      <c r="N142" s="1">
        <v>0</v>
      </c>
      <c r="O142" s="1">
        <v>0</v>
      </c>
      <c r="P142" s="1">
        <v>0</v>
      </c>
      <c r="Q142" s="1">
        <v>0</v>
      </c>
      <c r="R142" s="1">
        <f>SUM(B142:Q142)</f>
        <v>198006.00000000003</v>
      </c>
    </row>
    <row r="143" spans="1:18" x14ac:dyDescent="0.3">
      <c r="A143" s="3" t="s">
        <v>239</v>
      </c>
      <c r="B143" s="1">
        <f t="array" ref="B143:Q143">MMULT(B82:L82,$B$94:$Q$104)</f>
        <v>123737.01743688658</v>
      </c>
      <c r="C143" s="1">
        <v>35111.870400363485</v>
      </c>
      <c r="D143" s="1">
        <v>231327.43808142186</v>
      </c>
      <c r="E143" s="1">
        <v>98737.217713589329</v>
      </c>
      <c r="F143" s="1">
        <v>138502.70780944545</v>
      </c>
      <c r="G143" s="1">
        <v>193421.12687071436</v>
      </c>
      <c r="H143" s="1">
        <v>60750.507987686949</v>
      </c>
      <c r="I143" s="1">
        <v>6362.6649279635258</v>
      </c>
      <c r="J143" s="1">
        <v>19677.934076107162</v>
      </c>
      <c r="K143" s="1">
        <v>78125.898848980869</v>
      </c>
      <c r="L143" s="1">
        <v>23197.484834524039</v>
      </c>
      <c r="M143" s="1">
        <v>2416.2376944872854</v>
      </c>
      <c r="N143" s="1">
        <v>2416.2376944872854</v>
      </c>
      <c r="O143" s="1">
        <v>2416.2376944872854</v>
      </c>
      <c r="P143" s="1">
        <v>2416.2376944872854</v>
      </c>
      <c r="Q143" s="1">
        <v>2884.1802343672657</v>
      </c>
      <c r="R143" s="1">
        <f>SUM(B143:Q143)</f>
        <v>1021501</v>
      </c>
    </row>
    <row r="144" spans="1:18" x14ac:dyDescent="0.3">
      <c r="A144" s="3" t="s">
        <v>187</v>
      </c>
      <c r="B144" s="1">
        <f t="shared" ref="B144:R144" si="23">SUBTOTAL(9,B142:B143)</f>
        <v>123737.01743688658</v>
      </c>
      <c r="C144" s="1">
        <f t="shared" si="23"/>
        <v>35111.870400363485</v>
      </c>
      <c r="D144" s="1">
        <f t="shared" si="23"/>
        <v>231327.43808142186</v>
      </c>
      <c r="E144" s="1">
        <f t="shared" si="23"/>
        <v>98737.217713589329</v>
      </c>
      <c r="F144" s="1">
        <f t="shared" si="23"/>
        <v>239809.10018402047</v>
      </c>
      <c r="G144" s="1">
        <f t="shared" si="23"/>
        <v>256351.93703794767</v>
      </c>
      <c r="H144" s="1">
        <f t="shared" si="23"/>
        <v>94519.305445878621</v>
      </c>
      <c r="I144" s="1">
        <f t="shared" si="23"/>
        <v>6362.6649279635258</v>
      </c>
      <c r="J144" s="1">
        <f t="shared" si="23"/>
        <v>19677.934076107162</v>
      </c>
      <c r="K144" s="1">
        <f t="shared" si="23"/>
        <v>78125.898848980869</v>
      </c>
      <c r="L144" s="1">
        <f t="shared" si="23"/>
        <v>23197.484834524039</v>
      </c>
      <c r="M144" s="1">
        <f t="shared" si="23"/>
        <v>2416.2376944872854</v>
      </c>
      <c r="N144" s="1">
        <f t="shared" si="23"/>
        <v>2416.2376944872854</v>
      </c>
      <c r="O144" s="1">
        <f t="shared" si="23"/>
        <v>2416.2376944872854</v>
      </c>
      <c r="P144" s="1">
        <f t="shared" si="23"/>
        <v>2416.2376944872854</v>
      </c>
      <c r="Q144" s="1">
        <f t="shared" si="23"/>
        <v>2884.1802343672657</v>
      </c>
      <c r="R144" s="1">
        <f t="shared" si="23"/>
        <v>1219507</v>
      </c>
    </row>
    <row r="145" spans="1:18" x14ac:dyDescent="0.3">
      <c r="A145" s="2" t="s">
        <v>135</v>
      </c>
      <c r="B145" s="1">
        <f t="array" ref="B145:Q145">MMULT(B84:L84,$B$94:$Q$104)</f>
        <v>0</v>
      </c>
      <c r="C145" s="1">
        <v>0</v>
      </c>
      <c r="D145" s="1">
        <v>0</v>
      </c>
      <c r="E145" s="1">
        <v>0</v>
      </c>
      <c r="F145" s="1">
        <v>0</v>
      </c>
      <c r="G145" s="1">
        <v>0</v>
      </c>
      <c r="H145" s="1">
        <v>0</v>
      </c>
      <c r="I145" s="1">
        <v>0</v>
      </c>
      <c r="J145" s="1">
        <v>0</v>
      </c>
      <c r="K145" s="1">
        <v>0</v>
      </c>
      <c r="L145" s="1">
        <v>0</v>
      </c>
      <c r="M145" s="1">
        <v>0</v>
      </c>
      <c r="N145" s="1">
        <v>0</v>
      </c>
      <c r="O145" s="1">
        <v>0</v>
      </c>
      <c r="P145" s="1">
        <v>0</v>
      </c>
      <c r="Q145" s="1">
        <v>0</v>
      </c>
      <c r="R145" s="1">
        <f>SUM(B145:Q145)</f>
        <v>0</v>
      </c>
    </row>
    <row r="146" spans="1:18" x14ac:dyDescent="0.3">
      <c r="A146" s="2" t="s">
        <v>136</v>
      </c>
    </row>
    <row r="147" spans="1:18" x14ac:dyDescent="0.3">
      <c r="A147" s="3" t="s">
        <v>177</v>
      </c>
      <c r="B147" s="1">
        <f t="array" ref="B147:Q147">MMULT(B86:L86,$B$94:$Q$104)</f>
        <v>0</v>
      </c>
      <c r="C147" s="1">
        <v>0</v>
      </c>
      <c r="D147" s="1">
        <v>0</v>
      </c>
      <c r="E147" s="1">
        <v>0</v>
      </c>
      <c r="F147" s="1">
        <v>1539729.7143945529</v>
      </c>
      <c r="G147" s="1">
        <v>0</v>
      </c>
      <c r="H147" s="1">
        <v>513243.2381315176</v>
      </c>
      <c r="I147" s="1">
        <v>780482.35481029935</v>
      </c>
      <c r="J147" s="1">
        <v>0</v>
      </c>
      <c r="K147" s="1">
        <v>0</v>
      </c>
      <c r="L147" s="1">
        <v>0</v>
      </c>
      <c r="M147" s="1">
        <v>0</v>
      </c>
      <c r="N147" s="1">
        <v>0</v>
      </c>
      <c r="O147" s="1">
        <v>0</v>
      </c>
      <c r="P147" s="1">
        <v>0</v>
      </c>
      <c r="Q147" s="1">
        <v>92544.69266363034</v>
      </c>
      <c r="R147" s="1">
        <f>SUM(B147:Q147)</f>
        <v>2926000</v>
      </c>
    </row>
    <row r="148" spans="1:18" x14ac:dyDescent="0.3">
      <c r="A148" s="3" t="s">
        <v>241</v>
      </c>
      <c r="B148" s="1">
        <f t="array" ref="B148:Q148">MMULT(B87:L87,$B$94:$Q$104)</f>
        <v>0</v>
      </c>
      <c r="C148" s="1">
        <v>0</v>
      </c>
      <c r="D148" s="1">
        <v>0</v>
      </c>
      <c r="E148" s="1">
        <v>0</v>
      </c>
      <c r="F148" s="1">
        <v>0</v>
      </c>
      <c r="G148" s="1">
        <v>0</v>
      </c>
      <c r="H148" s="1">
        <v>0</v>
      </c>
      <c r="I148" s="1">
        <v>0</v>
      </c>
      <c r="J148" s="1">
        <v>0</v>
      </c>
      <c r="K148" s="1">
        <v>0</v>
      </c>
      <c r="L148" s="1">
        <v>0</v>
      </c>
      <c r="M148" s="1">
        <v>0</v>
      </c>
      <c r="N148" s="1">
        <v>0</v>
      </c>
      <c r="O148" s="1">
        <v>0</v>
      </c>
      <c r="P148" s="1">
        <v>0</v>
      </c>
      <c r="Q148" s="1">
        <v>0</v>
      </c>
      <c r="R148" s="1">
        <f>SUM(B148:Q148)</f>
        <v>0</v>
      </c>
    </row>
    <row r="149" spans="1:18" x14ac:dyDescent="0.3">
      <c r="A149" s="3" t="s">
        <v>242</v>
      </c>
      <c r="B149" s="1">
        <f t="array" ref="B149:Q149">MMULT(B88:L88,$B$94:$Q$104)</f>
        <v>0</v>
      </c>
      <c r="C149" s="1">
        <v>0</v>
      </c>
      <c r="D149" s="1">
        <v>0</v>
      </c>
      <c r="E149" s="1">
        <v>0</v>
      </c>
      <c r="F149" s="1">
        <v>0</v>
      </c>
      <c r="G149" s="1">
        <v>0</v>
      </c>
      <c r="H149" s="1">
        <v>0</v>
      </c>
      <c r="I149" s="1">
        <v>0</v>
      </c>
      <c r="J149" s="1">
        <v>0</v>
      </c>
      <c r="K149" s="1">
        <v>0</v>
      </c>
      <c r="L149" s="1">
        <v>0</v>
      </c>
      <c r="M149" s="1">
        <v>0</v>
      </c>
      <c r="N149" s="1">
        <v>0</v>
      </c>
      <c r="O149" s="1">
        <v>0</v>
      </c>
      <c r="P149" s="1">
        <v>0</v>
      </c>
      <c r="Q149" s="1">
        <v>0</v>
      </c>
      <c r="R149" s="1">
        <f>SUM(B149:Q149)</f>
        <v>0</v>
      </c>
    </row>
    <row r="150" spans="1:18" x14ac:dyDescent="0.3">
      <c r="A150" s="3" t="s">
        <v>178</v>
      </c>
      <c r="B150" s="1">
        <f>SUBTOTAL(9,B147:B149)</f>
        <v>0</v>
      </c>
      <c r="C150" s="1">
        <f t="shared" ref="C150:R150" si="24">SUBTOTAL(9,C147:C149)</f>
        <v>0</v>
      </c>
      <c r="D150" s="1">
        <f t="shared" si="24"/>
        <v>0</v>
      </c>
      <c r="E150" s="1">
        <f t="shared" si="24"/>
        <v>0</v>
      </c>
      <c r="F150" s="1">
        <f t="shared" si="24"/>
        <v>1539729.7143945529</v>
      </c>
      <c r="G150" s="1">
        <f t="shared" si="24"/>
        <v>0</v>
      </c>
      <c r="H150" s="1">
        <f t="shared" si="24"/>
        <v>513243.2381315176</v>
      </c>
      <c r="I150" s="1">
        <f t="shared" si="24"/>
        <v>780482.35481029935</v>
      </c>
      <c r="J150" s="1">
        <f t="shared" si="24"/>
        <v>0</v>
      </c>
      <c r="K150" s="1">
        <f t="shared" si="24"/>
        <v>0</v>
      </c>
      <c r="L150" s="1">
        <f t="shared" si="24"/>
        <v>0</v>
      </c>
      <c r="M150" s="1">
        <f t="shared" si="24"/>
        <v>0</v>
      </c>
      <c r="N150" s="1">
        <f t="shared" si="24"/>
        <v>0</v>
      </c>
      <c r="O150" s="1">
        <f t="shared" si="24"/>
        <v>0</v>
      </c>
      <c r="P150" s="1">
        <f t="shared" si="24"/>
        <v>0</v>
      </c>
      <c r="Q150" s="1">
        <f t="shared" si="24"/>
        <v>92544.69266363034</v>
      </c>
      <c r="R150" s="1">
        <f t="shared" si="24"/>
        <v>2926000</v>
      </c>
    </row>
    <row r="151" spans="1:18" x14ac:dyDescent="0.3">
      <c r="A151" s="2" t="s">
        <v>214</v>
      </c>
      <c r="B151" s="1">
        <f t="shared" ref="B151:R151" si="25">SUBTOTAL(9,B111:B150)</f>
        <v>3151115.1116875699</v>
      </c>
      <c r="C151" s="1">
        <f t="shared" si="25"/>
        <v>507248.55738967389</v>
      </c>
      <c r="D151" s="1">
        <f t="shared" si="25"/>
        <v>32745469.55963356</v>
      </c>
      <c r="E151" s="1">
        <f t="shared" si="25"/>
        <v>33690925.532736175</v>
      </c>
      <c r="F151" s="1">
        <f t="shared" si="25"/>
        <v>137885525.85960045</v>
      </c>
      <c r="G151" s="1">
        <f t="shared" si="25"/>
        <v>5737288.6962649543</v>
      </c>
      <c r="H151" s="1">
        <f t="shared" si="25"/>
        <v>46558494.977947153</v>
      </c>
      <c r="I151" s="1">
        <f t="shared" si="25"/>
        <v>-1958097.286950775</v>
      </c>
      <c r="J151" s="1">
        <f t="shared" si="25"/>
        <v>-156025.96542073612</v>
      </c>
      <c r="K151" s="1">
        <f t="shared" si="25"/>
        <v>600730.94990920916</v>
      </c>
      <c r="L151" s="1">
        <f t="shared" si="25"/>
        <v>440474.59352222359</v>
      </c>
      <c r="M151" s="1">
        <f t="shared" si="25"/>
        <v>696348.8077771985</v>
      </c>
      <c r="N151" s="1">
        <f t="shared" si="25"/>
        <v>157617.71577719841</v>
      </c>
      <c r="O151" s="1">
        <f t="shared" si="25"/>
        <v>157617.71577719841</v>
      </c>
      <c r="P151" s="1">
        <f t="shared" si="25"/>
        <v>15846.375777198373</v>
      </c>
      <c r="Q151" s="1">
        <f t="shared" si="25"/>
        <v>-218211.45842826815</v>
      </c>
      <c r="R151" s="1">
        <f t="shared" si="25"/>
        <v>260012369.74300003</v>
      </c>
    </row>
    <row r="153" spans="1:18" x14ac:dyDescent="0.3">
      <c r="A153" s="1" t="s">
        <v>227</v>
      </c>
    </row>
    <row r="154" spans="1:18" s="9" customFormat="1" ht="54" x14ac:dyDescent="0.25">
      <c r="B154" s="17" t="str">
        <f t="array" ref="B154:Q154">TRANSPOSE(List_Functions)</f>
        <v>Generation</v>
      </c>
      <c r="C154" s="17" t="str">
        <v>Purchased Power</v>
      </c>
      <c r="D154" s="17" t="str">
        <v>Transmission</v>
      </c>
      <c r="E154" s="17" t="str">
        <v>Substations</v>
      </c>
      <c r="F154" s="17" t="str">
        <v>Primary Lines</v>
      </c>
      <c r="G154" s="17" t="str">
        <v>Transformers</v>
      </c>
      <c r="H154" s="17" t="str">
        <v>Secondary Lines</v>
      </c>
      <c r="I154" s="17" t="str">
        <v>Service Lines</v>
      </c>
      <c r="J154" s="17" t="str">
        <v>Meter Assets</v>
      </c>
      <c r="K154" s="17" t="str">
        <v>Meter Reading</v>
      </c>
      <c r="L154" s="17" t="str">
        <v>Billing</v>
      </c>
      <c r="M154" s="17" t="str">
        <v>Remittance &amp; Collection</v>
      </c>
      <c r="N154" s="17" t="str">
        <v>Uncollectibles &amp; Damage Claims</v>
      </c>
      <c r="O154" s="17" t="str">
        <v>Service Connections</v>
      </c>
      <c r="P154" s="17" t="str">
        <v>Late Payments</v>
      </c>
      <c r="Q154" s="17" t="str">
        <v>Lighting</v>
      </c>
      <c r="R154" s="17" t="s">
        <v>214</v>
      </c>
    </row>
    <row r="155" spans="1:18" x14ac:dyDescent="0.3">
      <c r="A155" s="1" t="s">
        <v>129</v>
      </c>
    </row>
    <row r="156" spans="1:18" x14ac:dyDescent="0.3">
      <c r="A156" s="3" t="s">
        <v>172</v>
      </c>
      <c r="B156" s="1">
        <f t="array" ref="B156:Q156">MMULT(M51,$B$105:$Q$105)</f>
        <v>0</v>
      </c>
      <c r="C156" s="1">
        <v>0</v>
      </c>
      <c r="D156" s="1">
        <v>0</v>
      </c>
      <c r="E156" s="1">
        <v>0</v>
      </c>
      <c r="F156" s="1">
        <v>0</v>
      </c>
      <c r="G156" s="1">
        <v>0</v>
      </c>
      <c r="H156" s="1">
        <v>0</v>
      </c>
      <c r="I156" s="1">
        <v>0</v>
      </c>
      <c r="J156" s="1">
        <v>0</v>
      </c>
      <c r="K156" s="1">
        <v>0</v>
      </c>
      <c r="L156" s="1">
        <v>0</v>
      </c>
      <c r="M156" s="1">
        <v>0</v>
      </c>
      <c r="N156" s="1">
        <v>0</v>
      </c>
      <c r="O156" s="1">
        <v>0</v>
      </c>
      <c r="P156" s="1">
        <v>0</v>
      </c>
      <c r="Q156" s="1">
        <v>0</v>
      </c>
      <c r="R156" s="1">
        <f>SUM(B156:Q156)</f>
        <v>0</v>
      </c>
    </row>
    <row r="157" spans="1:18" x14ac:dyDescent="0.3">
      <c r="A157" s="3" t="s">
        <v>173</v>
      </c>
    </row>
    <row r="158" spans="1:18" x14ac:dyDescent="0.3">
      <c r="A158" s="4" t="s">
        <v>13</v>
      </c>
      <c r="B158" s="1">
        <f t="array" ref="B158:Q158">MMULT(M53,$B$105:$Q$105)</f>
        <v>0</v>
      </c>
      <c r="C158" s="1">
        <v>0</v>
      </c>
      <c r="D158" s="1">
        <v>0</v>
      </c>
      <c r="E158" s="1">
        <v>0</v>
      </c>
      <c r="F158" s="1">
        <v>0</v>
      </c>
      <c r="G158" s="1">
        <v>0</v>
      </c>
      <c r="H158" s="1">
        <v>0</v>
      </c>
      <c r="I158" s="1">
        <v>0</v>
      </c>
      <c r="J158" s="1">
        <v>0</v>
      </c>
      <c r="K158" s="1">
        <v>0</v>
      </c>
      <c r="L158" s="1">
        <v>0</v>
      </c>
      <c r="M158" s="1">
        <v>0</v>
      </c>
      <c r="N158" s="1">
        <v>0</v>
      </c>
      <c r="O158" s="1">
        <v>0</v>
      </c>
      <c r="P158" s="1">
        <v>0</v>
      </c>
      <c r="Q158" s="1">
        <v>0</v>
      </c>
      <c r="R158" s="1">
        <f>SUM(B158:Q158)</f>
        <v>0</v>
      </c>
    </row>
    <row r="159" spans="1:18" x14ac:dyDescent="0.3">
      <c r="A159" s="4" t="s">
        <v>140</v>
      </c>
      <c r="B159" s="1">
        <f t="array" ref="B159:Q159">MMULT(M54,$B$105:$Q$105)</f>
        <v>0</v>
      </c>
      <c r="C159" s="1">
        <v>0</v>
      </c>
      <c r="D159" s="1">
        <v>0</v>
      </c>
      <c r="E159" s="1">
        <v>0</v>
      </c>
      <c r="F159" s="1">
        <v>0</v>
      </c>
      <c r="G159" s="1">
        <v>0</v>
      </c>
      <c r="H159" s="1">
        <v>0</v>
      </c>
      <c r="I159" s="1">
        <v>0</v>
      </c>
      <c r="J159" s="1">
        <v>0</v>
      </c>
      <c r="K159" s="1">
        <v>0</v>
      </c>
      <c r="L159" s="1">
        <v>0</v>
      </c>
      <c r="M159" s="1">
        <v>0</v>
      </c>
      <c r="N159" s="1">
        <v>0</v>
      </c>
      <c r="O159" s="1">
        <v>0</v>
      </c>
      <c r="P159" s="1">
        <v>0</v>
      </c>
      <c r="Q159" s="1">
        <v>0</v>
      </c>
      <c r="R159" s="1">
        <f>SUM(B159:Q159)</f>
        <v>0</v>
      </c>
    </row>
    <row r="160" spans="1:18" x14ac:dyDescent="0.3">
      <c r="A160" s="4" t="s">
        <v>141</v>
      </c>
      <c r="B160" s="1">
        <f t="array" ref="B160:Q160">MMULT(M55,$B$105:$Q$105)</f>
        <v>0</v>
      </c>
      <c r="C160" s="1">
        <v>0</v>
      </c>
      <c r="D160" s="1">
        <v>0</v>
      </c>
      <c r="E160" s="1">
        <v>0</v>
      </c>
      <c r="F160" s="1">
        <v>0</v>
      </c>
      <c r="G160" s="1">
        <v>0</v>
      </c>
      <c r="H160" s="1">
        <v>0</v>
      </c>
      <c r="I160" s="1">
        <v>0</v>
      </c>
      <c r="J160" s="1">
        <v>0</v>
      </c>
      <c r="K160" s="1">
        <v>0</v>
      </c>
      <c r="L160" s="1">
        <v>0</v>
      </c>
      <c r="M160" s="1">
        <v>0</v>
      </c>
      <c r="N160" s="1">
        <v>0</v>
      </c>
      <c r="O160" s="1">
        <v>0</v>
      </c>
      <c r="P160" s="1">
        <v>0</v>
      </c>
      <c r="Q160" s="1">
        <v>0</v>
      </c>
      <c r="R160" s="1">
        <f>SUM(B160:Q160)</f>
        <v>0</v>
      </c>
    </row>
    <row r="161" spans="1:18" x14ac:dyDescent="0.3">
      <c r="A161" s="4" t="s">
        <v>142</v>
      </c>
      <c r="B161" s="1">
        <f t="array" ref="B161:Q161">MMULT(M56,$B$105:$Q$105)</f>
        <v>0</v>
      </c>
      <c r="C161" s="1">
        <v>0</v>
      </c>
      <c r="D161" s="1">
        <v>0</v>
      </c>
      <c r="E161" s="1">
        <v>0</v>
      </c>
      <c r="F161" s="1">
        <v>0</v>
      </c>
      <c r="G161" s="1">
        <v>0</v>
      </c>
      <c r="H161" s="1">
        <v>0</v>
      </c>
      <c r="I161" s="1">
        <v>0</v>
      </c>
      <c r="J161" s="1">
        <v>0</v>
      </c>
      <c r="K161" s="1">
        <v>0</v>
      </c>
      <c r="L161" s="1">
        <v>0</v>
      </c>
      <c r="M161" s="1">
        <v>0</v>
      </c>
      <c r="N161" s="1">
        <v>0</v>
      </c>
      <c r="O161" s="1">
        <v>0</v>
      </c>
      <c r="P161" s="1">
        <v>0</v>
      </c>
      <c r="Q161" s="1">
        <v>0</v>
      </c>
      <c r="R161" s="1">
        <f>SUM(B161:Q161)</f>
        <v>0</v>
      </c>
    </row>
    <row r="162" spans="1:18" x14ac:dyDescent="0.3">
      <c r="A162" s="4" t="s">
        <v>143</v>
      </c>
      <c r="B162" s="1">
        <f t="array" ref="B162:Q162">MMULT(M57,$B$105:$Q$105)</f>
        <v>0</v>
      </c>
      <c r="C162" s="1">
        <v>0</v>
      </c>
      <c r="D162" s="1">
        <v>0</v>
      </c>
      <c r="E162" s="1">
        <v>0</v>
      </c>
      <c r="F162" s="1">
        <v>0</v>
      </c>
      <c r="G162" s="1">
        <v>0</v>
      </c>
      <c r="H162" s="1">
        <v>0</v>
      </c>
      <c r="I162" s="1">
        <v>0</v>
      </c>
      <c r="J162" s="1">
        <v>0</v>
      </c>
      <c r="K162" s="1">
        <v>0</v>
      </c>
      <c r="L162" s="1">
        <v>0</v>
      </c>
      <c r="M162" s="1">
        <v>0</v>
      </c>
      <c r="N162" s="1">
        <v>0</v>
      </c>
      <c r="O162" s="1">
        <v>0</v>
      </c>
      <c r="P162" s="1">
        <v>0</v>
      </c>
      <c r="Q162" s="1">
        <v>0</v>
      </c>
      <c r="R162" s="1">
        <f>SUM(B162:Q162)</f>
        <v>0</v>
      </c>
    </row>
    <row r="163" spans="1:18" x14ac:dyDescent="0.3">
      <c r="A163" s="4" t="s">
        <v>174</v>
      </c>
      <c r="B163" s="1">
        <f t="shared" ref="B163:Q163" si="26">SUBTOTAL(9,B157:B162)</f>
        <v>0</v>
      </c>
      <c r="C163" s="1">
        <f t="shared" si="26"/>
        <v>0</v>
      </c>
      <c r="D163" s="1">
        <f t="shared" si="26"/>
        <v>0</v>
      </c>
      <c r="E163" s="1">
        <f t="shared" si="26"/>
        <v>0</v>
      </c>
      <c r="F163" s="1">
        <f t="shared" si="26"/>
        <v>0</v>
      </c>
      <c r="G163" s="1">
        <f t="shared" si="26"/>
        <v>0</v>
      </c>
      <c r="H163" s="1">
        <f t="shared" si="26"/>
        <v>0</v>
      </c>
      <c r="I163" s="1">
        <f t="shared" si="26"/>
        <v>0</v>
      </c>
      <c r="J163" s="1">
        <f t="shared" si="26"/>
        <v>0</v>
      </c>
      <c r="K163" s="1">
        <f t="shared" si="26"/>
        <v>0</v>
      </c>
      <c r="L163" s="1">
        <f t="shared" si="26"/>
        <v>0</v>
      </c>
      <c r="M163" s="1">
        <f t="shared" si="26"/>
        <v>0</v>
      </c>
      <c r="N163" s="1">
        <f t="shared" si="26"/>
        <v>0</v>
      </c>
      <c r="O163" s="1">
        <f t="shared" si="26"/>
        <v>0</v>
      </c>
      <c r="P163" s="1">
        <f t="shared" si="26"/>
        <v>0</v>
      </c>
      <c r="Q163" s="1">
        <f t="shared" si="26"/>
        <v>0</v>
      </c>
      <c r="R163" s="1">
        <f>SUBTOTAL(9,R157:R162)</f>
        <v>0</v>
      </c>
    </row>
    <row r="164" spans="1:18" x14ac:dyDescent="0.3">
      <c r="A164" s="3" t="s">
        <v>175</v>
      </c>
      <c r="B164" s="1">
        <f t="array" ref="B164:Q164">MMULT(M59,$B$105:$Q$105)</f>
        <v>0</v>
      </c>
      <c r="C164" s="1">
        <v>0</v>
      </c>
      <c r="D164" s="1">
        <v>0</v>
      </c>
      <c r="E164" s="1">
        <v>0</v>
      </c>
      <c r="F164" s="1">
        <v>0</v>
      </c>
      <c r="G164" s="1">
        <v>0</v>
      </c>
      <c r="H164" s="1">
        <v>0</v>
      </c>
      <c r="I164" s="1">
        <v>0</v>
      </c>
      <c r="J164" s="1">
        <v>0</v>
      </c>
      <c r="K164" s="1">
        <v>0</v>
      </c>
      <c r="L164" s="1">
        <v>0</v>
      </c>
      <c r="M164" s="1">
        <v>0</v>
      </c>
      <c r="N164" s="1">
        <v>0</v>
      </c>
      <c r="O164" s="1">
        <v>0</v>
      </c>
      <c r="P164" s="1">
        <v>0</v>
      </c>
      <c r="Q164" s="1">
        <v>0</v>
      </c>
      <c r="R164" s="1">
        <f>SUM(B164:Q164)</f>
        <v>0</v>
      </c>
    </row>
    <row r="165" spans="1:18" x14ac:dyDescent="0.3">
      <c r="A165" s="3" t="s">
        <v>213</v>
      </c>
      <c r="B165" s="1">
        <f t="shared" ref="B165:R165" si="27">SUBTOTAL(9,B155:B164)</f>
        <v>0</v>
      </c>
      <c r="C165" s="1">
        <f t="shared" si="27"/>
        <v>0</v>
      </c>
      <c r="D165" s="1">
        <f t="shared" si="27"/>
        <v>0</v>
      </c>
      <c r="E165" s="1">
        <f t="shared" si="27"/>
        <v>0</v>
      </c>
      <c r="F165" s="1">
        <f t="shared" si="27"/>
        <v>0</v>
      </c>
      <c r="G165" s="1">
        <f t="shared" si="27"/>
        <v>0</v>
      </c>
      <c r="H165" s="1">
        <f t="shared" si="27"/>
        <v>0</v>
      </c>
      <c r="I165" s="1">
        <f t="shared" si="27"/>
        <v>0</v>
      </c>
      <c r="J165" s="1">
        <f t="shared" si="27"/>
        <v>0</v>
      </c>
      <c r="K165" s="1">
        <f t="shared" si="27"/>
        <v>0</v>
      </c>
      <c r="L165" s="1">
        <f t="shared" si="27"/>
        <v>0</v>
      </c>
      <c r="M165" s="1">
        <f t="shared" si="27"/>
        <v>0</v>
      </c>
      <c r="N165" s="1">
        <f t="shared" si="27"/>
        <v>0</v>
      </c>
      <c r="O165" s="1">
        <f t="shared" si="27"/>
        <v>0</v>
      </c>
      <c r="P165" s="1">
        <f t="shared" si="27"/>
        <v>0</v>
      </c>
      <c r="Q165" s="1">
        <f t="shared" si="27"/>
        <v>0</v>
      </c>
      <c r="R165" s="1">
        <f t="shared" si="27"/>
        <v>0</v>
      </c>
    </row>
    <row r="166" spans="1:18" x14ac:dyDescent="0.3">
      <c r="A166" s="2" t="s">
        <v>176</v>
      </c>
      <c r="B166" s="1">
        <f t="array" ref="B166:Q166">MMULT(M61,$B$105:$Q$105)</f>
        <v>0</v>
      </c>
      <c r="C166" s="1">
        <v>0</v>
      </c>
      <c r="D166" s="1">
        <v>0</v>
      </c>
      <c r="E166" s="1">
        <v>0</v>
      </c>
      <c r="F166" s="1">
        <v>0</v>
      </c>
      <c r="G166" s="1">
        <v>0</v>
      </c>
      <c r="H166" s="1">
        <v>0</v>
      </c>
      <c r="I166" s="1">
        <v>0</v>
      </c>
      <c r="J166" s="1">
        <v>0</v>
      </c>
      <c r="K166" s="1">
        <v>0</v>
      </c>
      <c r="L166" s="1">
        <v>0</v>
      </c>
      <c r="M166" s="1">
        <v>0</v>
      </c>
      <c r="N166" s="1">
        <v>0</v>
      </c>
      <c r="O166" s="1">
        <v>0</v>
      </c>
      <c r="P166" s="1">
        <v>0</v>
      </c>
      <c r="Q166" s="1">
        <v>0</v>
      </c>
      <c r="R166" s="1">
        <f>SUM(B166:Q166)</f>
        <v>0</v>
      </c>
    </row>
    <row r="167" spans="1:18" x14ac:dyDescent="0.3">
      <c r="A167" s="2" t="s">
        <v>147</v>
      </c>
    </row>
    <row r="168" spans="1:18" x14ac:dyDescent="0.3">
      <c r="A168" s="3" t="s">
        <v>148</v>
      </c>
      <c r="B168" s="1">
        <f t="array" ref="B168:Q168">MMULT(M63,$B$105:$Q$105)</f>
        <v>-3531270.1823528381</v>
      </c>
      <c r="C168" s="1">
        <v>-61527.288510768187</v>
      </c>
      <c r="D168" s="1">
        <v>-8431537.2346717697</v>
      </c>
      <c r="E168" s="1">
        <v>-3780401.560551228</v>
      </c>
      <c r="F168" s="1">
        <v>-13504729.049159171</v>
      </c>
      <c r="G168" s="1">
        <v>-8103276.9043153692</v>
      </c>
      <c r="H168" s="1">
        <v>-4565232.7131832708</v>
      </c>
      <c r="I168" s="1">
        <v>-4107082.9962530411</v>
      </c>
      <c r="J168" s="1">
        <v>-1206555.0552324438</v>
      </c>
      <c r="K168" s="1">
        <v>-84786.831103801494</v>
      </c>
      <c r="L168" s="1">
        <v>-51049.102155766057</v>
      </c>
      <c r="M168" s="1">
        <v>-69529.144254970772</v>
      </c>
      <c r="N168" s="1">
        <v>-16347.617901539219</v>
      </c>
      <c r="O168" s="1">
        <v>-16347.617901539219</v>
      </c>
      <c r="P168" s="1">
        <v>-2352.4793874782822</v>
      </c>
      <c r="Q168" s="1">
        <v>-777474.22306500236</v>
      </c>
      <c r="R168" s="1">
        <f t="shared" ref="R168:R176" si="28">SUM(B168:Q168)</f>
        <v>-48309500</v>
      </c>
    </row>
    <row r="169" spans="1:18" x14ac:dyDescent="0.3">
      <c r="A169" s="3" t="s">
        <v>149</v>
      </c>
      <c r="B169" s="1">
        <f t="array" ref="B169:Q169">MMULT(M64,$B$105:$Q$105)</f>
        <v>0</v>
      </c>
      <c r="C169" s="1">
        <v>0</v>
      </c>
      <c r="D169" s="1">
        <v>0</v>
      </c>
      <c r="E169" s="1">
        <v>0</v>
      </c>
      <c r="F169" s="1">
        <v>0</v>
      </c>
      <c r="G169" s="1">
        <v>0</v>
      </c>
      <c r="H169" s="1">
        <v>0</v>
      </c>
      <c r="I169" s="1">
        <v>0</v>
      </c>
      <c r="J169" s="1">
        <v>0</v>
      </c>
      <c r="K169" s="1">
        <v>0</v>
      </c>
      <c r="L169" s="1">
        <v>0</v>
      </c>
      <c r="M169" s="1">
        <v>0</v>
      </c>
      <c r="N169" s="1">
        <v>0</v>
      </c>
      <c r="O169" s="1">
        <v>0</v>
      </c>
      <c r="P169" s="1">
        <v>0</v>
      </c>
      <c r="Q169" s="1">
        <v>0</v>
      </c>
      <c r="R169" s="1">
        <f t="shared" si="28"/>
        <v>0</v>
      </c>
    </row>
    <row r="170" spans="1:18" x14ac:dyDescent="0.3">
      <c r="A170" s="3" t="s">
        <v>150</v>
      </c>
      <c r="B170" s="1">
        <f t="array" ref="B170:Q170">MMULT(M65,$B$105:$Q$105)</f>
        <v>0</v>
      </c>
      <c r="C170" s="1">
        <v>0</v>
      </c>
      <c r="D170" s="1">
        <v>0</v>
      </c>
      <c r="E170" s="1">
        <v>0</v>
      </c>
      <c r="F170" s="1">
        <v>0</v>
      </c>
      <c r="G170" s="1">
        <v>0</v>
      </c>
      <c r="H170" s="1">
        <v>0</v>
      </c>
      <c r="I170" s="1">
        <v>0</v>
      </c>
      <c r="J170" s="1">
        <v>0</v>
      </c>
      <c r="K170" s="1">
        <v>0</v>
      </c>
      <c r="L170" s="1">
        <v>0</v>
      </c>
      <c r="M170" s="1">
        <v>0</v>
      </c>
      <c r="N170" s="1">
        <v>0</v>
      </c>
      <c r="O170" s="1">
        <v>0</v>
      </c>
      <c r="P170" s="1">
        <v>0</v>
      </c>
      <c r="Q170" s="1">
        <v>0</v>
      </c>
      <c r="R170" s="1">
        <f t="shared" si="28"/>
        <v>0</v>
      </c>
    </row>
    <row r="171" spans="1:18" x14ac:dyDescent="0.3">
      <c r="A171" s="3" t="s">
        <v>151</v>
      </c>
      <c r="B171" s="1">
        <f t="array" ref="B171:Q171">MMULT(M66,$B$105:$Q$105)</f>
        <v>0</v>
      </c>
      <c r="C171" s="1">
        <v>0</v>
      </c>
      <c r="D171" s="1">
        <v>0</v>
      </c>
      <c r="E171" s="1">
        <v>0</v>
      </c>
      <c r="F171" s="1">
        <v>0</v>
      </c>
      <c r="G171" s="1">
        <v>0</v>
      </c>
      <c r="H171" s="1">
        <v>0</v>
      </c>
      <c r="I171" s="1">
        <v>0</v>
      </c>
      <c r="J171" s="1">
        <v>0</v>
      </c>
      <c r="K171" s="1">
        <v>0</v>
      </c>
      <c r="L171" s="1">
        <v>0</v>
      </c>
      <c r="M171" s="1">
        <v>0</v>
      </c>
      <c r="N171" s="1">
        <v>0</v>
      </c>
      <c r="O171" s="1">
        <v>0</v>
      </c>
      <c r="P171" s="1">
        <v>0</v>
      </c>
      <c r="Q171" s="1">
        <v>0</v>
      </c>
      <c r="R171" s="1">
        <f t="shared" si="28"/>
        <v>0</v>
      </c>
    </row>
    <row r="172" spans="1:18" x14ac:dyDescent="0.3">
      <c r="A172" s="3" t="s">
        <v>152</v>
      </c>
      <c r="B172" s="1">
        <f t="array" ref="B172:Q172">MMULT(M67,$B$105:$Q$105)</f>
        <v>0</v>
      </c>
      <c r="C172" s="1">
        <v>0</v>
      </c>
      <c r="D172" s="1">
        <v>0</v>
      </c>
      <c r="E172" s="1">
        <v>0</v>
      </c>
      <c r="F172" s="1">
        <v>0</v>
      </c>
      <c r="G172" s="1">
        <v>0</v>
      </c>
      <c r="H172" s="1">
        <v>0</v>
      </c>
      <c r="I172" s="1">
        <v>0</v>
      </c>
      <c r="J172" s="1">
        <v>0</v>
      </c>
      <c r="K172" s="1">
        <v>0</v>
      </c>
      <c r="L172" s="1">
        <v>0</v>
      </c>
      <c r="M172" s="1">
        <v>0</v>
      </c>
      <c r="N172" s="1">
        <v>0</v>
      </c>
      <c r="O172" s="1">
        <v>0</v>
      </c>
      <c r="P172" s="1">
        <v>0</v>
      </c>
      <c r="Q172" s="1">
        <v>0</v>
      </c>
      <c r="R172" s="1">
        <f t="shared" si="28"/>
        <v>0</v>
      </c>
    </row>
    <row r="173" spans="1:18" x14ac:dyDescent="0.3">
      <c r="A173" s="3" t="s">
        <v>189</v>
      </c>
      <c r="B173" s="1">
        <f t="array" ref="B173:Q173">MMULT(M68,$B$105:$Q$105)</f>
        <v>15094.49057961397</v>
      </c>
      <c r="C173" s="1">
        <v>262.99972215555181</v>
      </c>
      <c r="D173" s="1">
        <v>36040.787815227239</v>
      </c>
      <c r="E173" s="1">
        <v>16159.408030590848</v>
      </c>
      <c r="F173" s="1">
        <v>57726.255677483074</v>
      </c>
      <c r="G173" s="1">
        <v>34637.631951088784</v>
      </c>
      <c r="H173" s="1">
        <v>19514.185724802479</v>
      </c>
      <c r="I173" s="1">
        <v>17555.814875464515</v>
      </c>
      <c r="J173" s="1">
        <v>5157.4456143305069</v>
      </c>
      <c r="K173" s="1">
        <v>362.4231387808818</v>
      </c>
      <c r="L173" s="1">
        <v>218.21048852018114</v>
      </c>
      <c r="M173" s="1">
        <v>297.20382716963468</v>
      </c>
      <c r="N173" s="1">
        <v>69.878245410692486</v>
      </c>
      <c r="O173" s="1">
        <v>69.878245410692486</v>
      </c>
      <c r="P173" s="1">
        <v>10.055723895181389</v>
      </c>
      <c r="Q173" s="1">
        <v>3323.3303400557447</v>
      </c>
      <c r="R173" s="1">
        <f t="shared" si="28"/>
        <v>206499.99999999994</v>
      </c>
    </row>
    <row r="174" spans="1:18" x14ac:dyDescent="0.3">
      <c r="A174" s="3" t="s">
        <v>188</v>
      </c>
      <c r="B174" s="1">
        <f t="array" ref="B174:Q174">MMULT(M69,$B$105:$Q$105)</f>
        <v>2176822.9029583731</v>
      </c>
      <c r="C174" s="1">
        <v>37927.998672117836</v>
      </c>
      <c r="D174" s="1">
        <v>5197552.8384380974</v>
      </c>
      <c r="E174" s="1">
        <v>2330397.9232493727</v>
      </c>
      <c r="F174" s="1">
        <v>8324880.8429803681</v>
      </c>
      <c r="G174" s="1">
        <v>4995199.4164814726</v>
      </c>
      <c r="H174" s="1">
        <v>2814200.7306761155</v>
      </c>
      <c r="I174" s="1">
        <v>2531778.0483841803</v>
      </c>
      <c r="J174" s="1">
        <v>743771.09150006052</v>
      </c>
      <c r="K174" s="1">
        <v>52266.155316681165</v>
      </c>
      <c r="L174" s="1">
        <v>31468.805559956389</v>
      </c>
      <c r="M174" s="1">
        <v>42860.677835892107</v>
      </c>
      <c r="N174" s="1">
        <v>10077.356650510519</v>
      </c>
      <c r="O174" s="1">
        <v>10077.356650510519</v>
      </c>
      <c r="P174" s="1">
        <v>1450.1668648837858</v>
      </c>
      <c r="Q174" s="1">
        <v>479267.6877814047</v>
      </c>
      <c r="R174" s="1">
        <f t="shared" si="28"/>
        <v>29779999.999999989</v>
      </c>
    </row>
    <row r="175" spans="1:18" x14ac:dyDescent="0.3">
      <c r="A175" s="3" t="s">
        <v>125</v>
      </c>
      <c r="B175" s="1">
        <f t="array" ref="B175:Q175">MMULT(M70,$B$105:$Q$105)</f>
        <v>-896824.72116844449</v>
      </c>
      <c r="C175" s="1">
        <v>-15625.87695460758</v>
      </c>
      <c r="D175" s="1">
        <v>-2141328.9380388525</v>
      </c>
      <c r="E175" s="1">
        <v>-960095.77301365184</v>
      </c>
      <c r="F175" s="1">
        <v>-3429750.2707362706</v>
      </c>
      <c r="G175" s="1">
        <v>-2057961.7743724373</v>
      </c>
      <c r="H175" s="1">
        <v>-1159416.6811506131</v>
      </c>
      <c r="I175" s="1">
        <v>-1043061.9501553227</v>
      </c>
      <c r="J175" s="1">
        <v>-306424.69850954477</v>
      </c>
      <c r="K175" s="1">
        <v>-21533.024163208906</v>
      </c>
      <c r="L175" s="1">
        <v>-12964.767475322529</v>
      </c>
      <c r="M175" s="1">
        <v>-17658.081140650109</v>
      </c>
      <c r="N175" s="1">
        <v>-4151.7491183718457</v>
      </c>
      <c r="O175" s="1">
        <v>-4151.7491183718457</v>
      </c>
      <c r="P175" s="1">
        <v>-597.45121777230247</v>
      </c>
      <c r="Q175" s="1">
        <v>-197452.49366655658</v>
      </c>
      <c r="R175" s="1">
        <f t="shared" si="28"/>
        <v>-12268999.999999996</v>
      </c>
    </row>
    <row r="176" spans="1:18" x14ac:dyDescent="0.3">
      <c r="A176" s="3" t="s">
        <v>190</v>
      </c>
      <c r="B176" s="1">
        <f t="array" ref="B176:Q176">MMULT(M71,$B$105:$Q$105)</f>
        <v>0</v>
      </c>
      <c r="C176" s="1">
        <v>0</v>
      </c>
      <c r="D176" s="1">
        <v>0</v>
      </c>
      <c r="E176" s="1">
        <v>0</v>
      </c>
      <c r="F176" s="1">
        <v>0</v>
      </c>
      <c r="G176" s="1">
        <v>0</v>
      </c>
      <c r="H176" s="1">
        <v>0</v>
      </c>
      <c r="I176" s="1">
        <v>0</v>
      </c>
      <c r="J176" s="1">
        <v>0</v>
      </c>
      <c r="K176" s="1">
        <v>0</v>
      </c>
      <c r="L176" s="1">
        <v>0</v>
      </c>
      <c r="M176" s="1">
        <v>0</v>
      </c>
      <c r="N176" s="1">
        <v>0</v>
      </c>
      <c r="O176" s="1">
        <v>0</v>
      </c>
      <c r="P176" s="1">
        <v>0</v>
      </c>
      <c r="Q176" s="1">
        <v>0</v>
      </c>
      <c r="R176" s="1">
        <f t="shared" si="28"/>
        <v>0</v>
      </c>
    </row>
    <row r="177" spans="1:18" x14ac:dyDescent="0.3">
      <c r="A177" s="3" t="s">
        <v>153</v>
      </c>
      <c r="B177" s="1">
        <f>SUBTOTAL(9,B168:B176)</f>
        <v>-2236177.5099832956</v>
      </c>
      <c r="C177" s="1">
        <f t="shared" ref="C177:R177" si="29">SUBTOTAL(9,C168:C176)</f>
        <v>-38962.167071102376</v>
      </c>
      <c r="D177" s="1">
        <f t="shared" si="29"/>
        <v>-5339272.5464572962</v>
      </c>
      <c r="E177" s="1">
        <f t="shared" si="29"/>
        <v>-2393940.0022849161</v>
      </c>
      <c r="F177" s="1">
        <f t="shared" si="29"/>
        <v>-8551872.2212375887</v>
      </c>
      <c r="G177" s="1">
        <f t="shared" si="29"/>
        <v>-5131401.6302552447</v>
      </c>
      <c r="H177" s="1">
        <f t="shared" si="29"/>
        <v>-2890934.4779329663</v>
      </c>
      <c r="I177" s="1">
        <f t="shared" si="29"/>
        <v>-2600811.0831487188</v>
      </c>
      <c r="J177" s="1">
        <f t="shared" si="29"/>
        <v>-764051.21662759758</v>
      </c>
      <c r="K177" s="1">
        <f t="shared" si="29"/>
        <v>-53691.276811548349</v>
      </c>
      <c r="L177" s="1">
        <f t="shared" si="29"/>
        <v>-32326.853582612013</v>
      </c>
      <c r="M177" s="1">
        <f t="shared" si="29"/>
        <v>-44029.343732559137</v>
      </c>
      <c r="N177" s="1">
        <f t="shared" si="29"/>
        <v>-10352.132123989853</v>
      </c>
      <c r="O177" s="1">
        <f t="shared" si="29"/>
        <v>-10352.132123989853</v>
      </c>
      <c r="P177" s="1">
        <f t="shared" si="29"/>
        <v>-1489.7080164716174</v>
      </c>
      <c r="Q177" s="1">
        <f t="shared" si="29"/>
        <v>-492335.69861009845</v>
      </c>
      <c r="R177" s="1">
        <f t="shared" si="29"/>
        <v>-30592000.000000007</v>
      </c>
    </row>
    <row r="178" spans="1:18" x14ac:dyDescent="0.3">
      <c r="A178" s="2" t="s">
        <v>132</v>
      </c>
      <c r="B178" s="1">
        <f t="array" ref="B178:Q178">MMULT(M73,$B$105:$Q$105)</f>
        <v>108950.79035794006</v>
      </c>
      <c r="C178" s="1">
        <v>1898.3103432099274</v>
      </c>
      <c r="D178" s="1">
        <v>260139.43941208813</v>
      </c>
      <c r="E178" s="1">
        <v>116637.27685034217</v>
      </c>
      <c r="F178" s="1">
        <v>416663.36119752313</v>
      </c>
      <c r="G178" s="1">
        <v>250011.57589877886</v>
      </c>
      <c r="H178" s="1">
        <v>140851.78606691569</v>
      </c>
      <c r="I178" s="1">
        <v>126716.42649820755</v>
      </c>
      <c r="J178" s="1">
        <v>37226.017860337146</v>
      </c>
      <c r="K178" s="1">
        <v>2615.940379432951</v>
      </c>
      <c r="L178" s="1">
        <v>1575.0253420790798</v>
      </c>
      <c r="M178" s="1">
        <v>2145.192757367266</v>
      </c>
      <c r="N178" s="1">
        <v>504.37542268589419</v>
      </c>
      <c r="O178" s="1">
        <v>504.37542268589419</v>
      </c>
      <c r="P178" s="1">
        <v>72.581387243427898</v>
      </c>
      <c r="Q178" s="1">
        <v>23987.524803162651</v>
      </c>
      <c r="R178" s="1">
        <f t="shared" ref="R178:R184" si="30">SUM(B178:Q178)</f>
        <v>1490499.9999999995</v>
      </c>
    </row>
    <row r="179" spans="1:18" x14ac:dyDescent="0.3">
      <c r="A179" s="2" t="s">
        <v>145</v>
      </c>
      <c r="B179" s="1">
        <f t="array" ref="B179:Q179">MMULT(M74,$B$105:$Q$105)</f>
        <v>0</v>
      </c>
      <c r="C179" s="1">
        <v>0</v>
      </c>
      <c r="D179" s="1">
        <v>0</v>
      </c>
      <c r="E179" s="1">
        <v>0</v>
      </c>
      <c r="F179" s="1">
        <v>0</v>
      </c>
      <c r="G179" s="1">
        <v>0</v>
      </c>
      <c r="H179" s="1">
        <v>0</v>
      </c>
      <c r="I179" s="1">
        <v>0</v>
      </c>
      <c r="J179" s="1">
        <v>0</v>
      </c>
      <c r="K179" s="1">
        <v>0</v>
      </c>
      <c r="L179" s="1">
        <v>0</v>
      </c>
      <c r="M179" s="1">
        <v>0</v>
      </c>
      <c r="N179" s="1">
        <v>0</v>
      </c>
      <c r="O179" s="1">
        <v>0</v>
      </c>
      <c r="P179" s="1">
        <v>0</v>
      </c>
      <c r="Q179" s="1">
        <v>0</v>
      </c>
      <c r="R179" s="1">
        <f t="shared" si="30"/>
        <v>0</v>
      </c>
    </row>
    <row r="180" spans="1:18" x14ac:dyDescent="0.3">
      <c r="A180" s="2" t="s">
        <v>146</v>
      </c>
      <c r="B180" s="1">
        <f t="array" ref="B180:Q180">MMULT(M75,$B$105:$Q$105)</f>
        <v>0</v>
      </c>
      <c r="C180" s="1">
        <v>0</v>
      </c>
      <c r="D180" s="1">
        <v>0</v>
      </c>
      <c r="E180" s="1">
        <v>0</v>
      </c>
      <c r="F180" s="1">
        <v>0</v>
      </c>
      <c r="G180" s="1">
        <v>0</v>
      </c>
      <c r="H180" s="1">
        <v>0</v>
      </c>
      <c r="I180" s="1">
        <v>0</v>
      </c>
      <c r="J180" s="1">
        <v>0</v>
      </c>
      <c r="K180" s="1">
        <v>0</v>
      </c>
      <c r="L180" s="1">
        <v>0</v>
      </c>
      <c r="M180" s="1">
        <v>0</v>
      </c>
      <c r="N180" s="1">
        <v>0</v>
      </c>
      <c r="O180" s="1">
        <v>0</v>
      </c>
      <c r="P180" s="1">
        <v>0</v>
      </c>
      <c r="Q180" s="1">
        <v>0</v>
      </c>
      <c r="R180" s="1">
        <f t="shared" si="30"/>
        <v>0</v>
      </c>
    </row>
    <row r="181" spans="1:18" x14ac:dyDescent="0.3">
      <c r="A181" s="2" t="s">
        <v>133</v>
      </c>
      <c r="B181" s="1">
        <f t="array" ref="B181:Q181">MMULT(M76,$B$105:$Q$105)</f>
        <v>0</v>
      </c>
      <c r="C181" s="1">
        <v>0</v>
      </c>
      <c r="D181" s="1">
        <v>0</v>
      </c>
      <c r="E181" s="1">
        <v>0</v>
      </c>
      <c r="F181" s="1">
        <v>0</v>
      </c>
      <c r="G181" s="1">
        <v>0</v>
      </c>
      <c r="H181" s="1">
        <v>0</v>
      </c>
      <c r="I181" s="1">
        <v>0</v>
      </c>
      <c r="J181" s="1">
        <v>0</v>
      </c>
      <c r="K181" s="1">
        <v>0</v>
      </c>
      <c r="L181" s="1">
        <v>0</v>
      </c>
      <c r="M181" s="1">
        <v>0</v>
      </c>
      <c r="N181" s="1">
        <v>0</v>
      </c>
      <c r="O181" s="1">
        <v>0</v>
      </c>
      <c r="P181" s="1">
        <v>0</v>
      </c>
      <c r="Q181" s="1">
        <v>0</v>
      </c>
      <c r="R181" s="1">
        <f t="shared" si="30"/>
        <v>0</v>
      </c>
    </row>
    <row r="182" spans="1:18" x14ac:dyDescent="0.3">
      <c r="A182" s="2" t="s">
        <v>731</v>
      </c>
      <c r="B182" s="1">
        <f t="array" ref="B182:Q182">MMULT(M77,$B$105:$Q$105)</f>
        <v>260114.98657412257</v>
      </c>
      <c r="C182" s="1">
        <v>4532.128383973517</v>
      </c>
      <c r="D182" s="1">
        <v>621070.91254472709</v>
      </c>
      <c r="E182" s="1">
        <v>278466.11853199772</v>
      </c>
      <c r="F182" s="1">
        <v>994764.55606936337</v>
      </c>
      <c r="G182" s="1">
        <v>596891.10555907723</v>
      </c>
      <c r="H182" s="1">
        <v>336277.1423811604</v>
      </c>
      <c r="I182" s="1">
        <v>302529.62341084977</v>
      </c>
      <c r="J182" s="1">
        <v>88875.400574310464</v>
      </c>
      <c r="K182" s="1">
        <v>6245.4369944395539</v>
      </c>
      <c r="L182" s="1">
        <v>3760.3003554434122</v>
      </c>
      <c r="M182" s="1">
        <v>5121.5487602089343</v>
      </c>
      <c r="N182" s="1">
        <v>1204.1730571135556</v>
      </c>
      <c r="O182" s="1">
        <v>1204.1730571135556</v>
      </c>
      <c r="P182" s="1">
        <v>173.284714193719</v>
      </c>
      <c r="Q182" s="1">
        <v>57269.109031904925</v>
      </c>
      <c r="R182" s="1">
        <f t="shared" si="30"/>
        <v>3558500</v>
      </c>
    </row>
    <row r="183" spans="1:18" x14ac:dyDescent="0.3">
      <c r="A183" s="2" t="s">
        <v>730</v>
      </c>
      <c r="B183" s="1">
        <f t="array" ref="B183:Q183">MMULT(M78,$B$105:$Q$105)</f>
        <v>0</v>
      </c>
      <c r="C183" s="1">
        <v>0</v>
      </c>
      <c r="D183" s="1">
        <v>0</v>
      </c>
      <c r="E183" s="1">
        <v>0</v>
      </c>
      <c r="F183" s="1">
        <v>0</v>
      </c>
      <c r="G183" s="1">
        <v>0</v>
      </c>
      <c r="H183" s="1">
        <v>0</v>
      </c>
      <c r="I183" s="1">
        <v>0</v>
      </c>
      <c r="J183" s="1">
        <v>0</v>
      </c>
      <c r="K183" s="1">
        <v>0</v>
      </c>
      <c r="L183" s="1">
        <v>0</v>
      </c>
      <c r="M183" s="1">
        <v>0</v>
      </c>
      <c r="N183" s="1">
        <v>0</v>
      </c>
      <c r="O183" s="1">
        <v>0</v>
      </c>
      <c r="P183" s="1">
        <v>0</v>
      </c>
      <c r="Q183" s="1">
        <v>0</v>
      </c>
      <c r="R183" s="1">
        <f t="shared" si="30"/>
        <v>0</v>
      </c>
    </row>
    <row r="184" spans="1:18" x14ac:dyDescent="0.3">
      <c r="A184" s="2" t="s">
        <v>134</v>
      </c>
      <c r="B184" s="1">
        <f t="array" ref="B184:Q184">MMULT(M79,$B$105:$Q$105)</f>
        <v>74522.194411217642</v>
      </c>
      <c r="C184" s="1">
        <v>1298.441727542785</v>
      </c>
      <c r="D184" s="1">
        <v>177935.02749454803</v>
      </c>
      <c r="E184" s="1">
        <v>79779.740858050209</v>
      </c>
      <c r="F184" s="1">
        <v>284997.17996704113</v>
      </c>
      <c r="G184" s="1">
        <v>171007.58244133179</v>
      </c>
      <c r="H184" s="1">
        <v>96342.432670392867</v>
      </c>
      <c r="I184" s="1">
        <v>86673.865692668638</v>
      </c>
      <c r="J184" s="1">
        <v>25462.546265423498</v>
      </c>
      <c r="K184" s="1">
        <v>1789.2997093806732</v>
      </c>
      <c r="L184" s="1">
        <v>1077.3152205633157</v>
      </c>
      <c r="M184" s="1">
        <v>1467.3089675517797</v>
      </c>
      <c r="N184" s="1">
        <v>344.99211233027114</v>
      </c>
      <c r="O184" s="1">
        <v>344.99211233027114</v>
      </c>
      <c r="P184" s="1">
        <v>49.645571482505694</v>
      </c>
      <c r="Q184" s="1">
        <v>16407.434778144463</v>
      </c>
      <c r="R184" s="1">
        <f t="shared" si="30"/>
        <v>1019500</v>
      </c>
    </row>
    <row r="185" spans="1:18" x14ac:dyDescent="0.3">
      <c r="A185" s="2" t="s">
        <v>186</v>
      </c>
    </row>
    <row r="186" spans="1:18" x14ac:dyDescent="0.3">
      <c r="A186" s="3" t="s">
        <v>238</v>
      </c>
      <c r="B186" s="1">
        <f t="array" ref="B186:Q186">MMULT(M81,$B$105:$Q$105)</f>
        <v>0</v>
      </c>
      <c r="C186" s="1">
        <v>0</v>
      </c>
      <c r="D186" s="1">
        <v>0</v>
      </c>
      <c r="E186" s="1">
        <v>0</v>
      </c>
      <c r="F186" s="1">
        <v>0</v>
      </c>
      <c r="G186" s="1">
        <v>0</v>
      </c>
      <c r="H186" s="1">
        <v>0</v>
      </c>
      <c r="I186" s="1">
        <v>0</v>
      </c>
      <c r="J186" s="1">
        <v>0</v>
      </c>
      <c r="K186" s="1">
        <v>0</v>
      </c>
      <c r="L186" s="1">
        <v>0</v>
      </c>
      <c r="M186" s="1">
        <v>0</v>
      </c>
      <c r="N186" s="1">
        <v>0</v>
      </c>
      <c r="O186" s="1">
        <v>0</v>
      </c>
      <c r="P186" s="1">
        <v>0</v>
      </c>
      <c r="Q186" s="1">
        <v>0</v>
      </c>
      <c r="R186" s="1">
        <f>SUM(B186:Q186)</f>
        <v>0</v>
      </c>
    </row>
    <row r="187" spans="1:18" x14ac:dyDescent="0.3">
      <c r="A187" s="3" t="s">
        <v>239</v>
      </c>
      <c r="B187" s="1">
        <f t="array" ref="B187:Q187">MMULT(M82,$B$105:$Q$105)</f>
        <v>0</v>
      </c>
      <c r="C187" s="1">
        <v>0</v>
      </c>
      <c r="D187" s="1">
        <v>0</v>
      </c>
      <c r="E187" s="1">
        <v>0</v>
      </c>
      <c r="F187" s="1">
        <v>0</v>
      </c>
      <c r="G187" s="1">
        <v>0</v>
      </c>
      <c r="H187" s="1">
        <v>0</v>
      </c>
      <c r="I187" s="1">
        <v>0</v>
      </c>
      <c r="J187" s="1">
        <v>0</v>
      </c>
      <c r="K187" s="1">
        <v>0</v>
      </c>
      <c r="L187" s="1">
        <v>0</v>
      </c>
      <c r="M187" s="1">
        <v>0</v>
      </c>
      <c r="N187" s="1">
        <v>0</v>
      </c>
      <c r="O187" s="1">
        <v>0</v>
      </c>
      <c r="P187" s="1">
        <v>0</v>
      </c>
      <c r="Q187" s="1">
        <v>0</v>
      </c>
      <c r="R187" s="1">
        <f>SUM(B187:Q187)</f>
        <v>0</v>
      </c>
    </row>
    <row r="188" spans="1:18" x14ac:dyDescent="0.3">
      <c r="A188" s="3" t="s">
        <v>187</v>
      </c>
      <c r="B188" s="1">
        <f t="shared" ref="B188:R188" si="31">SUBTOTAL(9,B186:B187)</f>
        <v>0</v>
      </c>
      <c r="C188" s="1">
        <f t="shared" si="31"/>
        <v>0</v>
      </c>
      <c r="D188" s="1">
        <f t="shared" si="31"/>
        <v>0</v>
      </c>
      <c r="E188" s="1">
        <f t="shared" si="31"/>
        <v>0</v>
      </c>
      <c r="F188" s="1">
        <f t="shared" si="31"/>
        <v>0</v>
      </c>
      <c r="G188" s="1">
        <f t="shared" si="31"/>
        <v>0</v>
      </c>
      <c r="H188" s="1">
        <f t="shared" si="31"/>
        <v>0</v>
      </c>
      <c r="I188" s="1">
        <f t="shared" si="31"/>
        <v>0</v>
      </c>
      <c r="J188" s="1">
        <f t="shared" si="31"/>
        <v>0</v>
      </c>
      <c r="K188" s="1">
        <f t="shared" si="31"/>
        <v>0</v>
      </c>
      <c r="L188" s="1">
        <f t="shared" si="31"/>
        <v>0</v>
      </c>
      <c r="M188" s="1">
        <f t="shared" si="31"/>
        <v>0</v>
      </c>
      <c r="N188" s="1">
        <f t="shared" si="31"/>
        <v>0</v>
      </c>
      <c r="O188" s="1">
        <f t="shared" si="31"/>
        <v>0</v>
      </c>
      <c r="P188" s="1">
        <f t="shared" si="31"/>
        <v>0</v>
      </c>
      <c r="Q188" s="1">
        <f t="shared" si="31"/>
        <v>0</v>
      </c>
      <c r="R188" s="1">
        <f t="shared" si="31"/>
        <v>0</v>
      </c>
    </row>
    <row r="189" spans="1:18" x14ac:dyDescent="0.3">
      <c r="A189" s="2" t="s">
        <v>135</v>
      </c>
      <c r="B189" s="1">
        <f t="array" ref="B189:Q189">MMULT(M84,$B$105:$Q$105)</f>
        <v>0</v>
      </c>
      <c r="C189" s="1">
        <v>0</v>
      </c>
      <c r="D189" s="1">
        <v>0</v>
      </c>
      <c r="E189" s="1">
        <v>0</v>
      </c>
      <c r="F189" s="1">
        <v>0</v>
      </c>
      <c r="G189" s="1">
        <v>0</v>
      </c>
      <c r="H189" s="1">
        <v>0</v>
      </c>
      <c r="I189" s="1">
        <v>0</v>
      </c>
      <c r="J189" s="1">
        <v>0</v>
      </c>
      <c r="K189" s="1">
        <v>0</v>
      </c>
      <c r="L189" s="1">
        <v>0</v>
      </c>
      <c r="M189" s="1">
        <v>0</v>
      </c>
      <c r="N189" s="1">
        <v>0</v>
      </c>
      <c r="O189" s="1">
        <v>0</v>
      </c>
      <c r="P189" s="1">
        <v>0</v>
      </c>
      <c r="Q189" s="1">
        <v>0</v>
      </c>
      <c r="R189" s="1">
        <f>SUM(B189:Q189)</f>
        <v>0</v>
      </c>
    </row>
    <row r="190" spans="1:18" x14ac:dyDescent="0.3">
      <c r="A190" s="2" t="s">
        <v>136</v>
      </c>
    </row>
    <row r="191" spans="1:18" x14ac:dyDescent="0.3">
      <c r="A191" s="3" t="s">
        <v>177</v>
      </c>
      <c r="B191" s="1">
        <f t="array" ref="B191:Q191">MMULT(M86,$B$105:$Q$105)</f>
        <v>0</v>
      </c>
      <c r="C191" s="1">
        <v>0</v>
      </c>
      <c r="D191" s="1">
        <v>0</v>
      </c>
      <c r="E191" s="1">
        <v>0</v>
      </c>
      <c r="F191" s="1">
        <v>0</v>
      </c>
      <c r="G191" s="1">
        <v>0</v>
      </c>
      <c r="H191" s="1">
        <v>0</v>
      </c>
      <c r="I191" s="1">
        <v>0</v>
      </c>
      <c r="J191" s="1">
        <v>0</v>
      </c>
      <c r="K191" s="1">
        <v>0</v>
      </c>
      <c r="L191" s="1">
        <v>0</v>
      </c>
      <c r="M191" s="1">
        <v>0</v>
      </c>
      <c r="N191" s="1">
        <v>0</v>
      </c>
      <c r="O191" s="1">
        <v>0</v>
      </c>
      <c r="P191" s="1">
        <v>0</v>
      </c>
      <c r="Q191" s="1">
        <v>0</v>
      </c>
      <c r="R191" s="1">
        <f>SUM(B191:Q191)</f>
        <v>0</v>
      </c>
    </row>
    <row r="192" spans="1:18" x14ac:dyDescent="0.3">
      <c r="A192" s="3" t="s">
        <v>241</v>
      </c>
      <c r="B192" s="1">
        <f t="array" ref="B192:Q192">MMULT(M87,$B$105:$Q$105)</f>
        <v>0</v>
      </c>
      <c r="C192" s="1">
        <v>0</v>
      </c>
      <c r="D192" s="1">
        <v>0</v>
      </c>
      <c r="E192" s="1">
        <v>0</v>
      </c>
      <c r="F192" s="1">
        <v>0</v>
      </c>
      <c r="G192" s="1">
        <v>0</v>
      </c>
      <c r="H192" s="1">
        <v>0</v>
      </c>
      <c r="I192" s="1">
        <v>0</v>
      </c>
      <c r="J192" s="1">
        <v>0</v>
      </c>
      <c r="K192" s="1">
        <v>0</v>
      </c>
      <c r="L192" s="1">
        <v>0</v>
      </c>
      <c r="M192" s="1">
        <v>0</v>
      </c>
      <c r="N192" s="1">
        <v>0</v>
      </c>
      <c r="O192" s="1">
        <v>0</v>
      </c>
      <c r="P192" s="1">
        <v>0</v>
      </c>
      <c r="Q192" s="1">
        <v>0</v>
      </c>
      <c r="R192" s="1">
        <f>SUM(B192:Q192)</f>
        <v>0</v>
      </c>
    </row>
    <row r="193" spans="1:18" x14ac:dyDescent="0.3">
      <c r="A193" s="3" t="s">
        <v>242</v>
      </c>
      <c r="B193" s="1">
        <f t="array" ref="B193:Q193">MMULT(M88,$B$105:$Q$105)</f>
        <v>0</v>
      </c>
      <c r="C193" s="1">
        <v>0</v>
      </c>
      <c r="D193" s="1">
        <v>0</v>
      </c>
      <c r="E193" s="1">
        <v>0</v>
      </c>
      <c r="F193" s="1">
        <v>0</v>
      </c>
      <c r="G193" s="1">
        <v>0</v>
      </c>
      <c r="H193" s="1">
        <v>0</v>
      </c>
      <c r="I193" s="1">
        <v>0</v>
      </c>
      <c r="J193" s="1">
        <v>0</v>
      </c>
      <c r="K193" s="1">
        <v>0</v>
      </c>
      <c r="L193" s="1">
        <v>0</v>
      </c>
      <c r="M193" s="1">
        <v>0</v>
      </c>
      <c r="N193" s="1">
        <v>0</v>
      </c>
      <c r="O193" s="1">
        <v>0</v>
      </c>
      <c r="P193" s="1">
        <v>0</v>
      </c>
      <c r="Q193" s="1">
        <v>0</v>
      </c>
      <c r="R193" s="1">
        <f>SUM(B193:Q193)</f>
        <v>0</v>
      </c>
    </row>
    <row r="194" spans="1:18" x14ac:dyDescent="0.3">
      <c r="A194" s="3" t="s">
        <v>178</v>
      </c>
      <c r="B194" s="1">
        <f>SUBTOTAL(9,B191:B193)</f>
        <v>0</v>
      </c>
      <c r="C194" s="1">
        <f t="shared" ref="C194:R194" si="32">SUBTOTAL(9,C191:C193)</f>
        <v>0</v>
      </c>
      <c r="D194" s="1">
        <f t="shared" si="32"/>
        <v>0</v>
      </c>
      <c r="E194" s="1">
        <f t="shared" si="32"/>
        <v>0</v>
      </c>
      <c r="F194" s="1">
        <f t="shared" si="32"/>
        <v>0</v>
      </c>
      <c r="G194" s="1">
        <f t="shared" si="32"/>
        <v>0</v>
      </c>
      <c r="H194" s="1">
        <f t="shared" si="32"/>
        <v>0</v>
      </c>
      <c r="I194" s="1">
        <f t="shared" si="32"/>
        <v>0</v>
      </c>
      <c r="J194" s="1">
        <f t="shared" si="32"/>
        <v>0</v>
      </c>
      <c r="K194" s="1">
        <f t="shared" si="32"/>
        <v>0</v>
      </c>
      <c r="L194" s="1">
        <f t="shared" si="32"/>
        <v>0</v>
      </c>
      <c r="M194" s="1">
        <f t="shared" si="32"/>
        <v>0</v>
      </c>
      <c r="N194" s="1">
        <f t="shared" si="32"/>
        <v>0</v>
      </c>
      <c r="O194" s="1">
        <f t="shared" si="32"/>
        <v>0</v>
      </c>
      <c r="P194" s="1">
        <f t="shared" si="32"/>
        <v>0</v>
      </c>
      <c r="Q194" s="1">
        <f t="shared" si="32"/>
        <v>0</v>
      </c>
      <c r="R194" s="1">
        <f t="shared" si="32"/>
        <v>0</v>
      </c>
    </row>
    <row r="195" spans="1:18" x14ac:dyDescent="0.3">
      <c r="A195" s="2" t="s">
        <v>214</v>
      </c>
      <c r="B195" s="1">
        <f t="shared" ref="B195:R195" si="33">SUBTOTAL(9,B155:B194)</f>
        <v>-1792589.5386400153</v>
      </c>
      <c r="C195" s="1">
        <f t="shared" si="33"/>
        <v>-31233.286616376143</v>
      </c>
      <c r="D195" s="1">
        <f t="shared" si="33"/>
        <v>-4280127.1670059329</v>
      </c>
      <c r="E195" s="1">
        <f t="shared" si="33"/>
        <v>-1919056.8660445258</v>
      </c>
      <c r="F195" s="1">
        <f t="shared" si="33"/>
        <v>-6855447.1240036609</v>
      </c>
      <c r="G195" s="1">
        <f t="shared" si="33"/>
        <v>-4113491.3663560571</v>
      </c>
      <c r="H195" s="1">
        <f t="shared" si="33"/>
        <v>-2317463.1168144969</v>
      </c>
      <c r="I195" s="1">
        <f t="shared" si="33"/>
        <v>-2084891.1675469927</v>
      </c>
      <c r="J195" s="1">
        <f t="shared" si="33"/>
        <v>-612487.25192752643</v>
      </c>
      <c r="K195" s="1">
        <f t="shared" si="33"/>
        <v>-43040.599728295179</v>
      </c>
      <c r="L195" s="1">
        <f t="shared" si="33"/>
        <v>-25914.212664526207</v>
      </c>
      <c r="M195" s="1">
        <f t="shared" si="33"/>
        <v>-35295.29324743116</v>
      </c>
      <c r="N195" s="1">
        <f t="shared" si="33"/>
        <v>-8298.591531860131</v>
      </c>
      <c r="O195" s="1">
        <f t="shared" si="33"/>
        <v>-8298.591531860131</v>
      </c>
      <c r="P195" s="1">
        <f t="shared" si="33"/>
        <v>-1194.1963435519649</v>
      </c>
      <c r="Q195" s="1">
        <f t="shared" si="33"/>
        <v>-394671.62999688636</v>
      </c>
      <c r="R195" s="1">
        <f t="shared" si="33"/>
        <v>-24523500.000000007</v>
      </c>
    </row>
    <row r="197" spans="1:18" x14ac:dyDescent="0.3">
      <c r="A197" s="1" t="s">
        <v>228</v>
      </c>
    </row>
    <row r="198" spans="1:18" s="9" customFormat="1" ht="54" x14ac:dyDescent="0.25">
      <c r="B198" s="17" t="str">
        <f t="array" ref="B198:Q198">TRANSPOSE(List_Functions)</f>
        <v>Generation</v>
      </c>
      <c r="C198" s="17" t="str">
        <v>Purchased Power</v>
      </c>
      <c r="D198" s="17" t="str">
        <v>Transmission</v>
      </c>
      <c r="E198" s="17" t="str">
        <v>Substations</v>
      </c>
      <c r="F198" s="17" t="str">
        <v>Primary Lines</v>
      </c>
      <c r="G198" s="17" t="str">
        <v>Transformers</v>
      </c>
      <c r="H198" s="17" t="str">
        <v>Secondary Lines</v>
      </c>
      <c r="I198" s="17" t="str">
        <v>Service Lines</v>
      </c>
      <c r="J198" s="17" t="str">
        <v>Meter Assets</v>
      </c>
      <c r="K198" s="17" t="str">
        <v>Meter Reading</v>
      </c>
      <c r="L198" s="17" t="str">
        <v>Billing</v>
      </c>
      <c r="M198" s="17" t="str">
        <v>Remittance &amp; Collection</v>
      </c>
      <c r="N198" s="17" t="str">
        <v>Uncollectibles &amp; Damage Claims</v>
      </c>
      <c r="O198" s="17" t="str">
        <v>Service Connections</v>
      </c>
      <c r="P198" s="17" t="str">
        <v>Late Payments</v>
      </c>
      <c r="Q198" s="17" t="str">
        <v>Lighting</v>
      </c>
      <c r="R198" s="17" t="s">
        <v>214</v>
      </c>
    </row>
    <row r="199" spans="1:18" x14ac:dyDescent="0.3">
      <c r="A199" s="1" t="s">
        <v>129</v>
      </c>
    </row>
    <row r="200" spans="1:18" x14ac:dyDescent="0.3">
      <c r="A200" s="3" t="s">
        <v>172</v>
      </c>
      <c r="B200" s="1">
        <f t="array" ref="B200:Q200">MMULT(N51:O51,$B$106:$R$107)</f>
        <v>0</v>
      </c>
      <c r="C200" s="1">
        <v>0</v>
      </c>
      <c r="D200" s="1">
        <v>0</v>
      </c>
      <c r="E200" s="1">
        <v>0</v>
      </c>
      <c r="F200" s="1">
        <v>0</v>
      </c>
      <c r="G200" s="1">
        <v>0</v>
      </c>
      <c r="H200" s="1">
        <v>0</v>
      </c>
      <c r="I200" s="1">
        <v>0</v>
      </c>
      <c r="J200" s="1">
        <v>0</v>
      </c>
      <c r="K200" s="1">
        <v>0</v>
      </c>
      <c r="L200" s="1">
        <v>0</v>
      </c>
      <c r="M200" s="1">
        <v>0</v>
      </c>
      <c r="N200" s="1">
        <v>0</v>
      </c>
      <c r="O200" s="1">
        <v>0</v>
      </c>
      <c r="P200" s="1">
        <v>0</v>
      </c>
      <c r="Q200" s="1">
        <v>0</v>
      </c>
      <c r="R200" s="1">
        <f>SUM(B200:Q200)</f>
        <v>0</v>
      </c>
    </row>
    <row r="201" spans="1:18" x14ac:dyDescent="0.3">
      <c r="A201" s="3" t="s">
        <v>173</v>
      </c>
    </row>
    <row r="202" spans="1:18" x14ac:dyDescent="0.3">
      <c r="A202" s="4" t="s">
        <v>13</v>
      </c>
      <c r="B202" s="1">
        <f t="array" ref="B202:Q202">MMULT(N53:O53,$B$106:$R$107)</f>
        <v>0</v>
      </c>
      <c r="C202" s="1">
        <v>0</v>
      </c>
      <c r="D202" s="1">
        <v>0</v>
      </c>
      <c r="E202" s="1">
        <v>0</v>
      </c>
      <c r="F202" s="1">
        <v>0</v>
      </c>
      <c r="G202" s="1">
        <v>0</v>
      </c>
      <c r="H202" s="1">
        <v>0</v>
      </c>
      <c r="I202" s="1">
        <v>0</v>
      </c>
      <c r="J202" s="1">
        <v>0</v>
      </c>
      <c r="K202" s="1">
        <v>0</v>
      </c>
      <c r="L202" s="1">
        <v>0</v>
      </c>
      <c r="M202" s="1">
        <v>0</v>
      </c>
      <c r="N202" s="1">
        <v>0</v>
      </c>
      <c r="O202" s="1">
        <v>0</v>
      </c>
      <c r="P202" s="1">
        <v>0</v>
      </c>
      <c r="Q202" s="1">
        <v>0</v>
      </c>
      <c r="R202" s="1">
        <f>SUM(B202:Q202)</f>
        <v>0</v>
      </c>
    </row>
    <row r="203" spans="1:18" x14ac:dyDescent="0.3">
      <c r="A203" s="4" t="s">
        <v>140</v>
      </c>
      <c r="B203" s="1">
        <f t="array" ref="B203:Q203">MMULT(N54:O54,$B$106:$R$107)</f>
        <v>0</v>
      </c>
      <c r="C203" s="1">
        <v>0</v>
      </c>
      <c r="D203" s="1">
        <v>0</v>
      </c>
      <c r="E203" s="1">
        <v>0</v>
      </c>
      <c r="F203" s="1">
        <v>0</v>
      </c>
      <c r="G203" s="1">
        <v>0</v>
      </c>
      <c r="H203" s="1">
        <v>0</v>
      </c>
      <c r="I203" s="1">
        <v>0</v>
      </c>
      <c r="J203" s="1">
        <v>0</v>
      </c>
      <c r="K203" s="1">
        <v>0</v>
      </c>
      <c r="L203" s="1">
        <v>0</v>
      </c>
      <c r="M203" s="1">
        <v>0</v>
      </c>
      <c r="N203" s="1">
        <v>0</v>
      </c>
      <c r="O203" s="1">
        <v>0</v>
      </c>
      <c r="P203" s="1">
        <v>0</v>
      </c>
      <c r="Q203" s="1">
        <v>0</v>
      </c>
      <c r="R203" s="1">
        <f>SUM(B203:Q203)</f>
        <v>0</v>
      </c>
    </row>
    <row r="204" spans="1:18" x14ac:dyDescent="0.3">
      <c r="A204" s="4" t="s">
        <v>141</v>
      </c>
      <c r="B204" s="1">
        <f t="array" ref="B204:Q204">MMULT(N55:O55,$B$106:$R$107)</f>
        <v>0</v>
      </c>
      <c r="C204" s="1">
        <v>0</v>
      </c>
      <c r="D204" s="1">
        <v>0</v>
      </c>
      <c r="E204" s="1">
        <v>0</v>
      </c>
      <c r="F204" s="1">
        <v>0</v>
      </c>
      <c r="G204" s="1">
        <v>0</v>
      </c>
      <c r="H204" s="1">
        <v>0</v>
      </c>
      <c r="I204" s="1">
        <v>0</v>
      </c>
      <c r="J204" s="1">
        <v>0</v>
      </c>
      <c r="K204" s="1">
        <v>0</v>
      </c>
      <c r="L204" s="1">
        <v>0</v>
      </c>
      <c r="M204" s="1">
        <v>0</v>
      </c>
      <c r="N204" s="1">
        <v>0</v>
      </c>
      <c r="O204" s="1">
        <v>0</v>
      </c>
      <c r="P204" s="1">
        <v>0</v>
      </c>
      <c r="Q204" s="1">
        <v>0</v>
      </c>
      <c r="R204" s="1">
        <f>SUM(B204:Q204)</f>
        <v>0</v>
      </c>
    </row>
    <row r="205" spans="1:18" x14ac:dyDescent="0.3">
      <c r="A205" s="4" t="s">
        <v>142</v>
      </c>
      <c r="B205" s="1">
        <f t="array" ref="B205:Q205">MMULT(N56:O56,$B$106:$R$107)</f>
        <v>0</v>
      </c>
      <c r="C205" s="1">
        <v>0</v>
      </c>
      <c r="D205" s="1">
        <v>0</v>
      </c>
      <c r="E205" s="1">
        <v>0</v>
      </c>
      <c r="F205" s="1">
        <v>0</v>
      </c>
      <c r="G205" s="1">
        <v>0</v>
      </c>
      <c r="H205" s="1">
        <v>0</v>
      </c>
      <c r="I205" s="1">
        <v>0</v>
      </c>
      <c r="J205" s="1">
        <v>0</v>
      </c>
      <c r="K205" s="1">
        <v>0</v>
      </c>
      <c r="L205" s="1">
        <v>0</v>
      </c>
      <c r="M205" s="1">
        <v>0</v>
      </c>
      <c r="N205" s="1">
        <v>0</v>
      </c>
      <c r="O205" s="1">
        <v>0</v>
      </c>
      <c r="P205" s="1">
        <v>0</v>
      </c>
      <c r="Q205" s="1">
        <v>0</v>
      </c>
      <c r="R205" s="1">
        <f>SUM(B205:Q205)</f>
        <v>0</v>
      </c>
    </row>
    <row r="206" spans="1:18" x14ac:dyDescent="0.3">
      <c r="A206" s="4" t="s">
        <v>143</v>
      </c>
      <c r="B206" s="1">
        <f t="array" ref="B206:Q206">MMULT(N57:O57,$B$106:$R$107)</f>
        <v>0</v>
      </c>
      <c r="C206" s="1">
        <v>0</v>
      </c>
      <c r="D206" s="1">
        <v>0</v>
      </c>
      <c r="E206" s="1">
        <v>0</v>
      </c>
      <c r="F206" s="1">
        <v>0</v>
      </c>
      <c r="G206" s="1">
        <v>0</v>
      </c>
      <c r="H206" s="1">
        <v>0</v>
      </c>
      <c r="I206" s="1">
        <v>0</v>
      </c>
      <c r="J206" s="1">
        <v>0</v>
      </c>
      <c r="K206" s="1">
        <v>0</v>
      </c>
      <c r="L206" s="1">
        <v>0</v>
      </c>
      <c r="M206" s="1">
        <v>0</v>
      </c>
      <c r="N206" s="1">
        <v>0</v>
      </c>
      <c r="O206" s="1">
        <v>0</v>
      </c>
      <c r="P206" s="1">
        <v>0</v>
      </c>
      <c r="Q206" s="1">
        <v>0</v>
      </c>
      <c r="R206" s="1">
        <f>SUM(B206:Q206)</f>
        <v>0</v>
      </c>
    </row>
    <row r="207" spans="1:18" x14ac:dyDescent="0.3">
      <c r="A207" s="4" t="s">
        <v>174</v>
      </c>
      <c r="B207" s="1">
        <f t="shared" ref="B207:Q207" si="34">SUBTOTAL(9,B201:B206)</f>
        <v>0</v>
      </c>
      <c r="C207" s="1">
        <f t="shared" si="34"/>
        <v>0</v>
      </c>
      <c r="D207" s="1">
        <f t="shared" si="34"/>
        <v>0</v>
      </c>
      <c r="E207" s="1">
        <f t="shared" si="34"/>
        <v>0</v>
      </c>
      <c r="F207" s="1">
        <f t="shared" si="34"/>
        <v>0</v>
      </c>
      <c r="G207" s="1">
        <f t="shared" si="34"/>
        <v>0</v>
      </c>
      <c r="H207" s="1">
        <f t="shared" si="34"/>
        <v>0</v>
      </c>
      <c r="I207" s="1">
        <f t="shared" si="34"/>
        <v>0</v>
      </c>
      <c r="J207" s="1">
        <f t="shared" si="34"/>
        <v>0</v>
      </c>
      <c r="K207" s="1">
        <f t="shared" si="34"/>
        <v>0</v>
      </c>
      <c r="L207" s="1">
        <f t="shared" si="34"/>
        <v>0</v>
      </c>
      <c r="M207" s="1">
        <f t="shared" si="34"/>
        <v>0</v>
      </c>
      <c r="N207" s="1">
        <f t="shared" si="34"/>
        <v>0</v>
      </c>
      <c r="O207" s="1">
        <f t="shared" si="34"/>
        <v>0</v>
      </c>
      <c r="P207" s="1">
        <f t="shared" si="34"/>
        <v>0</v>
      </c>
      <c r="Q207" s="1">
        <f t="shared" si="34"/>
        <v>0</v>
      </c>
      <c r="R207" s="1">
        <f>SUBTOTAL(9,R201:R206)</f>
        <v>0</v>
      </c>
    </row>
    <row r="208" spans="1:18" x14ac:dyDescent="0.3">
      <c r="A208" s="3" t="s">
        <v>175</v>
      </c>
      <c r="B208" s="1">
        <f t="array" ref="B208:Q208">MMULT(N59:O59,$B$106:$R$107)</f>
        <v>0</v>
      </c>
      <c r="C208" s="1">
        <v>0</v>
      </c>
      <c r="D208" s="1">
        <v>0</v>
      </c>
      <c r="E208" s="1">
        <v>0</v>
      </c>
      <c r="F208" s="1">
        <v>0</v>
      </c>
      <c r="G208" s="1">
        <v>0</v>
      </c>
      <c r="H208" s="1">
        <v>0</v>
      </c>
      <c r="I208" s="1">
        <v>0</v>
      </c>
      <c r="J208" s="1">
        <v>0</v>
      </c>
      <c r="K208" s="1">
        <v>0</v>
      </c>
      <c r="L208" s="1">
        <v>0</v>
      </c>
      <c r="M208" s="1">
        <v>0</v>
      </c>
      <c r="N208" s="1">
        <v>0</v>
      </c>
      <c r="O208" s="1">
        <v>0</v>
      </c>
      <c r="P208" s="1">
        <v>0</v>
      </c>
      <c r="Q208" s="1">
        <v>0</v>
      </c>
      <c r="R208" s="1">
        <f>SUM(B208:Q208)</f>
        <v>0</v>
      </c>
    </row>
    <row r="209" spans="1:18" x14ac:dyDescent="0.3">
      <c r="A209" s="3" t="s">
        <v>213</v>
      </c>
      <c r="B209" s="1">
        <f t="shared" ref="B209:R209" si="35">SUBTOTAL(9,B199:B208)</f>
        <v>0</v>
      </c>
      <c r="C209" s="1">
        <f t="shared" si="35"/>
        <v>0</v>
      </c>
      <c r="D209" s="1">
        <f t="shared" si="35"/>
        <v>0</v>
      </c>
      <c r="E209" s="1">
        <f t="shared" si="35"/>
        <v>0</v>
      </c>
      <c r="F209" s="1">
        <f t="shared" si="35"/>
        <v>0</v>
      </c>
      <c r="G209" s="1">
        <f t="shared" si="35"/>
        <v>0</v>
      </c>
      <c r="H209" s="1">
        <f t="shared" si="35"/>
        <v>0</v>
      </c>
      <c r="I209" s="1">
        <f t="shared" si="35"/>
        <v>0</v>
      </c>
      <c r="J209" s="1">
        <f t="shared" si="35"/>
        <v>0</v>
      </c>
      <c r="K209" s="1">
        <f t="shared" si="35"/>
        <v>0</v>
      </c>
      <c r="L209" s="1">
        <f t="shared" si="35"/>
        <v>0</v>
      </c>
      <c r="M209" s="1">
        <f t="shared" si="35"/>
        <v>0</v>
      </c>
      <c r="N209" s="1">
        <f t="shared" si="35"/>
        <v>0</v>
      </c>
      <c r="O209" s="1">
        <f t="shared" si="35"/>
        <v>0</v>
      </c>
      <c r="P209" s="1">
        <f t="shared" si="35"/>
        <v>0</v>
      </c>
      <c r="Q209" s="1">
        <f t="shared" si="35"/>
        <v>0</v>
      </c>
      <c r="R209" s="1">
        <f t="shared" si="35"/>
        <v>0</v>
      </c>
    </row>
    <row r="210" spans="1:18" x14ac:dyDescent="0.3">
      <c r="A210" s="2" t="s">
        <v>176</v>
      </c>
      <c r="B210" s="1">
        <f t="array" ref="B210:Q210">MMULT(N61:O61,$B$106:$R$107)</f>
        <v>0</v>
      </c>
      <c r="C210" s="1">
        <v>0</v>
      </c>
      <c r="D210" s="1">
        <v>0</v>
      </c>
      <c r="E210" s="1">
        <v>0</v>
      </c>
      <c r="F210" s="1">
        <v>0</v>
      </c>
      <c r="G210" s="1">
        <v>0</v>
      </c>
      <c r="H210" s="1">
        <v>0</v>
      </c>
      <c r="I210" s="1">
        <v>0</v>
      </c>
      <c r="J210" s="1">
        <v>0</v>
      </c>
      <c r="K210" s="1">
        <v>0</v>
      </c>
      <c r="L210" s="1">
        <v>0</v>
      </c>
      <c r="M210" s="1">
        <v>0</v>
      </c>
      <c r="N210" s="1">
        <v>0</v>
      </c>
      <c r="O210" s="1">
        <v>0</v>
      </c>
      <c r="P210" s="1">
        <v>0</v>
      </c>
      <c r="Q210" s="1">
        <v>0</v>
      </c>
      <c r="R210" s="1">
        <f>SUM(B210:Q210)</f>
        <v>0</v>
      </c>
    </row>
    <row r="211" spans="1:18" x14ac:dyDescent="0.3">
      <c r="A211" s="2" t="s">
        <v>147</v>
      </c>
    </row>
    <row r="212" spans="1:18" x14ac:dyDescent="0.3">
      <c r="A212" s="3" t="s">
        <v>148</v>
      </c>
      <c r="B212" s="1">
        <f t="array" ref="B212:Q212">MMULT(N63:O63,$B$106:$R$107)</f>
        <v>0</v>
      </c>
      <c r="C212" s="1">
        <v>0</v>
      </c>
      <c r="D212" s="1">
        <v>0</v>
      </c>
      <c r="E212" s="1">
        <v>0</v>
      </c>
      <c r="F212" s="1">
        <v>0</v>
      </c>
      <c r="G212" s="1">
        <v>0</v>
      </c>
      <c r="H212" s="1">
        <v>0</v>
      </c>
      <c r="I212" s="1">
        <v>0</v>
      </c>
      <c r="J212" s="1">
        <v>0</v>
      </c>
      <c r="K212" s="1">
        <v>0</v>
      </c>
      <c r="L212" s="1">
        <v>0</v>
      </c>
      <c r="M212" s="1">
        <v>0</v>
      </c>
      <c r="N212" s="1">
        <v>0</v>
      </c>
      <c r="O212" s="1">
        <v>0</v>
      </c>
      <c r="P212" s="1">
        <v>0</v>
      </c>
      <c r="Q212" s="1">
        <v>0</v>
      </c>
      <c r="R212" s="1">
        <f t="shared" ref="R212:R220" si="36">SUM(B212:Q212)</f>
        <v>0</v>
      </c>
    </row>
    <row r="213" spans="1:18" x14ac:dyDescent="0.3">
      <c r="A213" s="3" t="s">
        <v>149</v>
      </c>
      <c r="B213" s="1">
        <f t="array" ref="B213:Q213">MMULT(N64:O64,$B$106:$R$107)</f>
        <v>0</v>
      </c>
      <c r="C213" s="1">
        <v>0</v>
      </c>
      <c r="D213" s="1">
        <v>0</v>
      </c>
      <c r="E213" s="1">
        <v>0</v>
      </c>
      <c r="F213" s="1">
        <v>0</v>
      </c>
      <c r="G213" s="1">
        <v>0</v>
      </c>
      <c r="H213" s="1">
        <v>0</v>
      </c>
      <c r="I213" s="1">
        <v>0</v>
      </c>
      <c r="J213" s="1">
        <v>0</v>
      </c>
      <c r="K213" s="1">
        <v>0</v>
      </c>
      <c r="L213" s="1">
        <v>0</v>
      </c>
      <c r="M213" s="1">
        <v>0</v>
      </c>
      <c r="N213" s="1">
        <v>0</v>
      </c>
      <c r="O213" s="1">
        <v>0</v>
      </c>
      <c r="P213" s="1">
        <v>0</v>
      </c>
      <c r="Q213" s="1">
        <v>0</v>
      </c>
      <c r="R213" s="1">
        <f t="shared" si="36"/>
        <v>0</v>
      </c>
    </row>
    <row r="214" spans="1:18" x14ac:dyDescent="0.3">
      <c r="A214" s="3" t="s">
        <v>150</v>
      </c>
      <c r="B214" s="1">
        <f t="array" ref="B214:Q214">MMULT(N65:O65,$B$106:$R$107)</f>
        <v>0</v>
      </c>
      <c r="C214" s="1">
        <v>0</v>
      </c>
      <c r="D214" s="1">
        <v>0</v>
      </c>
      <c r="E214" s="1">
        <v>0</v>
      </c>
      <c r="F214" s="1">
        <v>0</v>
      </c>
      <c r="G214" s="1">
        <v>0</v>
      </c>
      <c r="H214" s="1">
        <v>0</v>
      </c>
      <c r="I214" s="1">
        <v>0</v>
      </c>
      <c r="J214" s="1">
        <v>0</v>
      </c>
      <c r="K214" s="1">
        <v>0</v>
      </c>
      <c r="L214" s="1">
        <v>0</v>
      </c>
      <c r="M214" s="1">
        <v>0</v>
      </c>
      <c r="N214" s="1">
        <v>0</v>
      </c>
      <c r="O214" s="1">
        <v>0</v>
      </c>
      <c r="P214" s="1">
        <v>0</v>
      </c>
      <c r="Q214" s="1">
        <v>0</v>
      </c>
      <c r="R214" s="1">
        <f t="shared" si="36"/>
        <v>0</v>
      </c>
    </row>
    <row r="215" spans="1:18" x14ac:dyDescent="0.3">
      <c r="A215" s="3" t="s">
        <v>151</v>
      </c>
      <c r="B215" s="1">
        <f t="array" ref="B215:Q215">MMULT(N66:O66,$B$106:$R$107)</f>
        <v>0</v>
      </c>
      <c r="C215" s="1">
        <v>0</v>
      </c>
      <c r="D215" s="1">
        <v>0</v>
      </c>
      <c r="E215" s="1">
        <v>0</v>
      </c>
      <c r="F215" s="1">
        <v>0</v>
      </c>
      <c r="G215" s="1">
        <v>0</v>
      </c>
      <c r="H215" s="1">
        <v>0</v>
      </c>
      <c r="I215" s="1">
        <v>0</v>
      </c>
      <c r="J215" s="1">
        <v>0</v>
      </c>
      <c r="K215" s="1">
        <v>0</v>
      </c>
      <c r="L215" s="1">
        <v>0</v>
      </c>
      <c r="M215" s="1">
        <v>0</v>
      </c>
      <c r="N215" s="1">
        <v>0</v>
      </c>
      <c r="O215" s="1">
        <v>0</v>
      </c>
      <c r="P215" s="1">
        <v>0</v>
      </c>
      <c r="Q215" s="1">
        <v>0</v>
      </c>
      <c r="R215" s="1">
        <f t="shared" si="36"/>
        <v>0</v>
      </c>
    </row>
    <row r="216" spans="1:18" x14ac:dyDescent="0.3">
      <c r="A216" s="3" t="s">
        <v>152</v>
      </c>
      <c r="B216" s="1">
        <f t="array" ref="B216:Q216">MMULT(N67:O67,$B$106:$R$107)</f>
        <v>0</v>
      </c>
      <c r="C216" s="1">
        <v>0</v>
      </c>
      <c r="D216" s="1">
        <v>0</v>
      </c>
      <c r="E216" s="1">
        <v>0</v>
      </c>
      <c r="F216" s="1">
        <v>0</v>
      </c>
      <c r="G216" s="1">
        <v>0</v>
      </c>
      <c r="H216" s="1">
        <v>0</v>
      </c>
      <c r="I216" s="1">
        <v>0</v>
      </c>
      <c r="J216" s="1">
        <v>0</v>
      </c>
      <c r="K216" s="1">
        <v>0</v>
      </c>
      <c r="L216" s="1">
        <v>0</v>
      </c>
      <c r="M216" s="1">
        <v>0</v>
      </c>
      <c r="N216" s="1">
        <v>0</v>
      </c>
      <c r="O216" s="1">
        <v>0</v>
      </c>
      <c r="P216" s="1">
        <v>0</v>
      </c>
      <c r="Q216" s="1">
        <v>0</v>
      </c>
      <c r="R216" s="1">
        <f t="shared" si="36"/>
        <v>0</v>
      </c>
    </row>
    <row r="217" spans="1:18" x14ac:dyDescent="0.3">
      <c r="A217" s="3" t="s">
        <v>189</v>
      </c>
      <c r="B217" s="1">
        <f t="array" ref="B217:Q217">MMULT(N68:O68,$B$106:$R$107)</f>
        <v>0</v>
      </c>
      <c r="C217" s="1">
        <v>0</v>
      </c>
      <c r="D217" s="1">
        <v>0</v>
      </c>
      <c r="E217" s="1">
        <v>0</v>
      </c>
      <c r="F217" s="1">
        <v>0</v>
      </c>
      <c r="G217" s="1">
        <v>0</v>
      </c>
      <c r="H217" s="1">
        <v>0</v>
      </c>
      <c r="I217" s="1">
        <v>0</v>
      </c>
      <c r="J217" s="1">
        <v>0</v>
      </c>
      <c r="K217" s="1">
        <v>0</v>
      </c>
      <c r="L217" s="1">
        <v>0</v>
      </c>
      <c r="M217" s="1">
        <v>0</v>
      </c>
      <c r="N217" s="1">
        <v>0</v>
      </c>
      <c r="O217" s="1">
        <v>0</v>
      </c>
      <c r="P217" s="1">
        <v>0</v>
      </c>
      <c r="Q217" s="1">
        <v>0</v>
      </c>
      <c r="R217" s="1">
        <f t="shared" si="36"/>
        <v>0</v>
      </c>
    </row>
    <row r="218" spans="1:18" x14ac:dyDescent="0.3">
      <c r="A218" s="3" t="s">
        <v>188</v>
      </c>
      <c r="B218" s="1">
        <f t="array" ref="B218:Q218">MMULT(N69:O69,$B$106:$R$107)</f>
        <v>0</v>
      </c>
      <c r="C218" s="1">
        <v>0</v>
      </c>
      <c r="D218" s="1">
        <v>0</v>
      </c>
      <c r="E218" s="1">
        <v>0</v>
      </c>
      <c r="F218" s="1">
        <v>0</v>
      </c>
      <c r="G218" s="1">
        <v>0</v>
      </c>
      <c r="H218" s="1">
        <v>0</v>
      </c>
      <c r="I218" s="1">
        <v>0</v>
      </c>
      <c r="J218" s="1">
        <v>0</v>
      </c>
      <c r="K218" s="1">
        <v>0</v>
      </c>
      <c r="L218" s="1">
        <v>0</v>
      </c>
      <c r="M218" s="1">
        <v>0</v>
      </c>
      <c r="N218" s="1">
        <v>0</v>
      </c>
      <c r="O218" s="1">
        <v>0</v>
      </c>
      <c r="P218" s="1">
        <v>0</v>
      </c>
      <c r="Q218" s="1">
        <v>0</v>
      </c>
      <c r="R218" s="1">
        <f t="shared" si="36"/>
        <v>0</v>
      </c>
    </row>
    <row r="219" spans="1:18" x14ac:dyDescent="0.3">
      <c r="A219" s="3" t="s">
        <v>125</v>
      </c>
      <c r="B219" s="1">
        <f t="array" ref="B219:Q219">MMULT(N70:O70,$B$106:$R$107)</f>
        <v>0</v>
      </c>
      <c r="C219" s="1">
        <v>0</v>
      </c>
      <c r="D219" s="1">
        <v>0</v>
      </c>
      <c r="E219" s="1">
        <v>0</v>
      </c>
      <c r="F219" s="1">
        <v>0</v>
      </c>
      <c r="G219" s="1">
        <v>0</v>
      </c>
      <c r="H219" s="1">
        <v>0</v>
      </c>
      <c r="I219" s="1">
        <v>0</v>
      </c>
      <c r="J219" s="1">
        <v>0</v>
      </c>
      <c r="K219" s="1">
        <v>0</v>
      </c>
      <c r="L219" s="1">
        <v>0</v>
      </c>
      <c r="M219" s="1">
        <v>0</v>
      </c>
      <c r="N219" s="1">
        <v>0</v>
      </c>
      <c r="O219" s="1">
        <v>0</v>
      </c>
      <c r="P219" s="1">
        <v>0</v>
      </c>
      <c r="Q219" s="1">
        <v>0</v>
      </c>
      <c r="R219" s="1">
        <f t="shared" si="36"/>
        <v>0</v>
      </c>
    </row>
    <row r="220" spans="1:18" x14ac:dyDescent="0.3">
      <c r="A220" s="3" t="s">
        <v>190</v>
      </c>
      <c r="B220" s="1">
        <f t="array" ref="B220:Q220">MMULT(N71:O71,$B$106:$R$107)</f>
        <v>0</v>
      </c>
      <c r="C220" s="1">
        <v>0</v>
      </c>
      <c r="D220" s="1">
        <v>0</v>
      </c>
      <c r="E220" s="1">
        <v>0</v>
      </c>
      <c r="F220" s="1">
        <v>0</v>
      </c>
      <c r="G220" s="1">
        <v>0</v>
      </c>
      <c r="H220" s="1">
        <v>0</v>
      </c>
      <c r="I220" s="1">
        <v>0</v>
      </c>
      <c r="J220" s="1">
        <v>0</v>
      </c>
      <c r="K220" s="1">
        <v>0</v>
      </c>
      <c r="L220" s="1">
        <v>0</v>
      </c>
      <c r="M220" s="1">
        <v>0</v>
      </c>
      <c r="N220" s="1">
        <v>0</v>
      </c>
      <c r="O220" s="1">
        <v>0</v>
      </c>
      <c r="P220" s="1">
        <v>0</v>
      </c>
      <c r="Q220" s="1">
        <v>0</v>
      </c>
      <c r="R220" s="1">
        <f t="shared" si="36"/>
        <v>0</v>
      </c>
    </row>
    <row r="221" spans="1:18" x14ac:dyDescent="0.3">
      <c r="A221" s="3" t="s">
        <v>153</v>
      </c>
      <c r="B221" s="1">
        <f>SUBTOTAL(9,B212:B220)</f>
        <v>0</v>
      </c>
      <c r="C221" s="1">
        <f t="shared" ref="C221:R221" si="37">SUBTOTAL(9,C212:C220)</f>
        <v>0</v>
      </c>
      <c r="D221" s="1">
        <f t="shared" si="37"/>
        <v>0</v>
      </c>
      <c r="E221" s="1">
        <f t="shared" si="37"/>
        <v>0</v>
      </c>
      <c r="F221" s="1">
        <f t="shared" si="37"/>
        <v>0</v>
      </c>
      <c r="G221" s="1">
        <f t="shared" si="37"/>
        <v>0</v>
      </c>
      <c r="H221" s="1">
        <f t="shared" si="37"/>
        <v>0</v>
      </c>
      <c r="I221" s="1">
        <f t="shared" si="37"/>
        <v>0</v>
      </c>
      <c r="J221" s="1">
        <f t="shared" si="37"/>
        <v>0</v>
      </c>
      <c r="K221" s="1">
        <f t="shared" si="37"/>
        <v>0</v>
      </c>
      <c r="L221" s="1">
        <f t="shared" si="37"/>
        <v>0</v>
      </c>
      <c r="M221" s="1">
        <f t="shared" si="37"/>
        <v>0</v>
      </c>
      <c r="N221" s="1">
        <f t="shared" si="37"/>
        <v>0</v>
      </c>
      <c r="O221" s="1">
        <f t="shared" si="37"/>
        <v>0</v>
      </c>
      <c r="P221" s="1">
        <f t="shared" si="37"/>
        <v>0</v>
      </c>
      <c r="Q221" s="1">
        <f t="shared" si="37"/>
        <v>0</v>
      </c>
      <c r="R221" s="1">
        <f t="shared" si="37"/>
        <v>0</v>
      </c>
    </row>
    <row r="222" spans="1:18" x14ac:dyDescent="0.3">
      <c r="A222" s="2" t="s">
        <v>132</v>
      </c>
      <c r="B222" s="1">
        <f t="array" ref="B222:Q222">MMULT(N73:O73,$B$106:$R$107)</f>
        <v>0</v>
      </c>
      <c r="C222" s="1">
        <v>0</v>
      </c>
      <c r="D222" s="1">
        <v>0</v>
      </c>
      <c r="E222" s="1">
        <v>0</v>
      </c>
      <c r="F222" s="1">
        <v>0</v>
      </c>
      <c r="G222" s="1">
        <v>0</v>
      </c>
      <c r="H222" s="1">
        <v>0</v>
      </c>
      <c r="I222" s="1">
        <v>0</v>
      </c>
      <c r="J222" s="1">
        <v>0</v>
      </c>
      <c r="K222" s="1">
        <v>0</v>
      </c>
      <c r="L222" s="1">
        <v>0</v>
      </c>
      <c r="M222" s="1">
        <v>0</v>
      </c>
      <c r="N222" s="1">
        <v>0</v>
      </c>
      <c r="O222" s="1">
        <v>0</v>
      </c>
      <c r="P222" s="1">
        <v>0</v>
      </c>
      <c r="Q222" s="1">
        <v>0</v>
      </c>
      <c r="R222" s="1">
        <f t="shared" ref="R222:R228" si="38">SUM(B222:Q222)</f>
        <v>0</v>
      </c>
    </row>
    <row r="223" spans="1:18" x14ac:dyDescent="0.3">
      <c r="A223" s="2" t="s">
        <v>145</v>
      </c>
      <c r="B223" s="1">
        <f t="array" ref="B223:Q223">MMULT(N74:O74,$B$106:$R$107)</f>
        <v>0</v>
      </c>
      <c r="C223" s="1">
        <v>0</v>
      </c>
      <c r="D223" s="1">
        <v>0</v>
      </c>
      <c r="E223" s="1">
        <v>0</v>
      </c>
      <c r="F223" s="1">
        <v>0</v>
      </c>
      <c r="G223" s="1">
        <v>0</v>
      </c>
      <c r="H223" s="1">
        <v>0</v>
      </c>
      <c r="I223" s="1">
        <v>0</v>
      </c>
      <c r="J223" s="1">
        <v>0</v>
      </c>
      <c r="K223" s="1">
        <v>0</v>
      </c>
      <c r="L223" s="1">
        <v>0</v>
      </c>
      <c r="M223" s="1">
        <v>0</v>
      </c>
      <c r="N223" s="1">
        <v>0</v>
      </c>
      <c r="O223" s="1">
        <v>0</v>
      </c>
      <c r="P223" s="1">
        <v>0</v>
      </c>
      <c r="Q223" s="1">
        <v>0</v>
      </c>
      <c r="R223" s="1">
        <f t="shared" si="38"/>
        <v>0</v>
      </c>
    </row>
    <row r="224" spans="1:18" x14ac:dyDescent="0.3">
      <c r="A224" s="2" t="s">
        <v>146</v>
      </c>
      <c r="B224" s="1">
        <f t="array" ref="B224:Q224">MMULT(N75:O75,$B$106:$R$107)</f>
        <v>0</v>
      </c>
      <c r="C224" s="1">
        <v>0</v>
      </c>
      <c r="D224" s="1">
        <v>0</v>
      </c>
      <c r="E224" s="1">
        <v>0</v>
      </c>
      <c r="F224" s="1">
        <v>0</v>
      </c>
      <c r="G224" s="1">
        <v>0</v>
      </c>
      <c r="H224" s="1">
        <v>0</v>
      </c>
      <c r="I224" s="1">
        <v>0</v>
      </c>
      <c r="J224" s="1">
        <v>0</v>
      </c>
      <c r="K224" s="1">
        <v>0</v>
      </c>
      <c r="L224" s="1">
        <v>0</v>
      </c>
      <c r="M224" s="1">
        <v>0</v>
      </c>
      <c r="N224" s="1">
        <v>0</v>
      </c>
      <c r="O224" s="1">
        <v>0</v>
      </c>
      <c r="P224" s="1">
        <v>0</v>
      </c>
      <c r="Q224" s="1">
        <v>0</v>
      </c>
      <c r="R224" s="1">
        <f t="shared" si="38"/>
        <v>0</v>
      </c>
    </row>
    <row r="225" spans="1:18" x14ac:dyDescent="0.3">
      <c r="A225" s="2" t="s">
        <v>133</v>
      </c>
      <c r="B225" s="1">
        <f t="array" ref="B225:Q225">MMULT(N76:O76,$B$106:$R$107)</f>
        <v>0</v>
      </c>
      <c r="C225" s="1">
        <v>0</v>
      </c>
      <c r="D225" s="1">
        <v>0</v>
      </c>
      <c r="E225" s="1">
        <v>0</v>
      </c>
      <c r="F225" s="1">
        <v>0</v>
      </c>
      <c r="G225" s="1">
        <v>0</v>
      </c>
      <c r="H225" s="1">
        <v>0</v>
      </c>
      <c r="I225" s="1">
        <v>0</v>
      </c>
      <c r="J225" s="1">
        <v>0</v>
      </c>
      <c r="K225" s="1">
        <v>0</v>
      </c>
      <c r="L225" s="1">
        <v>0</v>
      </c>
      <c r="M225" s="1">
        <v>0</v>
      </c>
      <c r="N225" s="1">
        <v>0</v>
      </c>
      <c r="O225" s="1">
        <v>0</v>
      </c>
      <c r="P225" s="1">
        <v>0</v>
      </c>
      <c r="Q225" s="1">
        <v>0</v>
      </c>
      <c r="R225" s="1">
        <f t="shared" si="38"/>
        <v>0</v>
      </c>
    </row>
    <row r="226" spans="1:18" x14ac:dyDescent="0.3">
      <c r="A226" s="2" t="s">
        <v>731</v>
      </c>
      <c r="B226" s="1">
        <f t="array" ref="B226:Q226">MMULT(N77:O77,$B$106:$R$107)</f>
        <v>0</v>
      </c>
      <c r="C226" s="1">
        <v>0</v>
      </c>
      <c r="D226" s="1">
        <v>0</v>
      </c>
      <c r="E226" s="1">
        <v>0</v>
      </c>
      <c r="F226" s="1">
        <v>0</v>
      </c>
      <c r="G226" s="1">
        <v>0</v>
      </c>
      <c r="H226" s="1">
        <v>0</v>
      </c>
      <c r="I226" s="1">
        <v>0</v>
      </c>
      <c r="J226" s="1">
        <v>0</v>
      </c>
      <c r="K226" s="1">
        <v>0</v>
      </c>
      <c r="L226" s="1">
        <v>0</v>
      </c>
      <c r="M226" s="1">
        <v>0</v>
      </c>
      <c r="N226" s="1">
        <v>0</v>
      </c>
      <c r="O226" s="1">
        <v>0</v>
      </c>
      <c r="P226" s="1">
        <v>0</v>
      </c>
      <c r="Q226" s="1">
        <v>0</v>
      </c>
      <c r="R226" s="1">
        <f t="shared" si="38"/>
        <v>0</v>
      </c>
    </row>
    <row r="227" spans="1:18" x14ac:dyDescent="0.3">
      <c r="A227" s="2" t="s">
        <v>730</v>
      </c>
      <c r="B227" s="1">
        <f t="array" ref="B227:Q227">MMULT(N78:O78,$B$106:$R$107)</f>
        <v>0</v>
      </c>
      <c r="C227" s="1">
        <v>0</v>
      </c>
      <c r="D227" s="1">
        <v>0</v>
      </c>
      <c r="E227" s="1">
        <v>0</v>
      </c>
      <c r="F227" s="1">
        <v>0</v>
      </c>
      <c r="G227" s="1">
        <v>0</v>
      </c>
      <c r="H227" s="1">
        <v>0</v>
      </c>
      <c r="I227" s="1">
        <v>0</v>
      </c>
      <c r="J227" s="1">
        <v>0</v>
      </c>
      <c r="K227" s="1">
        <v>0</v>
      </c>
      <c r="L227" s="1">
        <v>0</v>
      </c>
      <c r="M227" s="1">
        <v>0</v>
      </c>
      <c r="N227" s="1">
        <v>0</v>
      </c>
      <c r="O227" s="1">
        <v>0</v>
      </c>
      <c r="P227" s="1">
        <v>0</v>
      </c>
      <c r="Q227" s="1">
        <v>0</v>
      </c>
      <c r="R227" s="1">
        <f t="shared" si="38"/>
        <v>0</v>
      </c>
    </row>
    <row r="228" spans="1:18" x14ac:dyDescent="0.3">
      <c r="A228" s="2" t="s">
        <v>134</v>
      </c>
      <c r="B228" s="1">
        <f t="array" ref="B228:Q228">MMULT(N79:O79,$B$106:$R$107)</f>
        <v>0</v>
      </c>
      <c r="C228" s="1">
        <v>0</v>
      </c>
      <c r="D228" s="1">
        <v>0</v>
      </c>
      <c r="E228" s="1">
        <v>0</v>
      </c>
      <c r="F228" s="1">
        <v>0</v>
      </c>
      <c r="G228" s="1">
        <v>0</v>
      </c>
      <c r="H228" s="1">
        <v>0</v>
      </c>
      <c r="I228" s="1">
        <v>0</v>
      </c>
      <c r="J228" s="1">
        <v>0</v>
      </c>
      <c r="K228" s="1">
        <v>0</v>
      </c>
      <c r="L228" s="1">
        <v>0</v>
      </c>
      <c r="M228" s="1">
        <v>0</v>
      </c>
      <c r="N228" s="1">
        <v>0</v>
      </c>
      <c r="O228" s="1">
        <v>0</v>
      </c>
      <c r="P228" s="1">
        <v>0</v>
      </c>
      <c r="Q228" s="1">
        <v>0</v>
      </c>
      <c r="R228" s="1">
        <f t="shared" si="38"/>
        <v>0</v>
      </c>
    </row>
    <row r="229" spans="1:18" x14ac:dyDescent="0.3">
      <c r="A229" s="2" t="s">
        <v>186</v>
      </c>
    </row>
    <row r="230" spans="1:18" x14ac:dyDescent="0.3">
      <c r="A230" s="3" t="s">
        <v>238</v>
      </c>
      <c r="B230" s="1">
        <f t="array" ref="B230:Q230">MMULT(N81:O81,$B$106:$R$107)</f>
        <v>0</v>
      </c>
      <c r="C230" s="1">
        <v>0</v>
      </c>
      <c r="D230" s="1">
        <v>0</v>
      </c>
      <c r="E230" s="1">
        <v>0</v>
      </c>
      <c r="F230" s="1">
        <v>0</v>
      </c>
      <c r="G230" s="1">
        <v>0</v>
      </c>
      <c r="H230" s="1">
        <v>0</v>
      </c>
      <c r="I230" s="1">
        <v>0</v>
      </c>
      <c r="J230" s="1">
        <v>0</v>
      </c>
      <c r="K230" s="1">
        <v>0</v>
      </c>
      <c r="L230" s="1">
        <v>0</v>
      </c>
      <c r="M230" s="1">
        <v>0</v>
      </c>
      <c r="N230" s="1">
        <v>0</v>
      </c>
      <c r="O230" s="1">
        <v>0</v>
      </c>
      <c r="P230" s="1">
        <v>0</v>
      </c>
      <c r="Q230" s="1">
        <v>0</v>
      </c>
      <c r="R230" s="1">
        <f>SUM(B230:Q230)</f>
        <v>0</v>
      </c>
    </row>
    <row r="231" spans="1:18" x14ac:dyDescent="0.3">
      <c r="A231" s="3" t="s">
        <v>239</v>
      </c>
      <c r="B231" s="1">
        <f t="array" ref="B231:Q231">MMULT(N82:O82,$B$106:$R$107)</f>
        <v>0</v>
      </c>
      <c r="C231" s="1">
        <v>0</v>
      </c>
      <c r="D231" s="1">
        <v>0</v>
      </c>
      <c r="E231" s="1">
        <v>0</v>
      </c>
      <c r="F231" s="1">
        <v>0</v>
      </c>
      <c r="G231" s="1">
        <v>0</v>
      </c>
      <c r="H231" s="1">
        <v>0</v>
      </c>
      <c r="I231" s="1">
        <v>0</v>
      </c>
      <c r="J231" s="1">
        <v>0</v>
      </c>
      <c r="K231" s="1">
        <v>0</v>
      </c>
      <c r="L231" s="1">
        <v>0</v>
      </c>
      <c r="M231" s="1">
        <v>0</v>
      </c>
      <c r="N231" s="1">
        <v>0</v>
      </c>
      <c r="O231" s="1">
        <v>0</v>
      </c>
      <c r="P231" s="1">
        <v>0</v>
      </c>
      <c r="Q231" s="1">
        <v>0</v>
      </c>
      <c r="R231" s="1">
        <f>SUM(B231:Q231)</f>
        <v>0</v>
      </c>
    </row>
    <row r="232" spans="1:18" x14ac:dyDescent="0.3">
      <c r="A232" s="3" t="s">
        <v>187</v>
      </c>
      <c r="B232" s="1">
        <f t="shared" ref="B232:R232" si="39">SUBTOTAL(9,B230:B231)</f>
        <v>0</v>
      </c>
      <c r="C232" s="1">
        <f t="shared" si="39"/>
        <v>0</v>
      </c>
      <c r="D232" s="1">
        <f t="shared" si="39"/>
        <v>0</v>
      </c>
      <c r="E232" s="1">
        <f t="shared" si="39"/>
        <v>0</v>
      </c>
      <c r="F232" s="1">
        <f t="shared" si="39"/>
        <v>0</v>
      </c>
      <c r="G232" s="1">
        <f t="shared" si="39"/>
        <v>0</v>
      </c>
      <c r="H232" s="1">
        <f t="shared" si="39"/>
        <v>0</v>
      </c>
      <c r="I232" s="1">
        <f t="shared" si="39"/>
        <v>0</v>
      </c>
      <c r="J232" s="1">
        <f t="shared" si="39"/>
        <v>0</v>
      </c>
      <c r="K232" s="1">
        <f t="shared" si="39"/>
        <v>0</v>
      </c>
      <c r="L232" s="1">
        <f t="shared" si="39"/>
        <v>0</v>
      </c>
      <c r="M232" s="1">
        <f t="shared" si="39"/>
        <v>0</v>
      </c>
      <c r="N232" s="1">
        <f t="shared" si="39"/>
        <v>0</v>
      </c>
      <c r="O232" s="1">
        <f t="shared" si="39"/>
        <v>0</v>
      </c>
      <c r="P232" s="1">
        <f t="shared" si="39"/>
        <v>0</v>
      </c>
      <c r="Q232" s="1">
        <f t="shared" si="39"/>
        <v>0</v>
      </c>
      <c r="R232" s="1">
        <f t="shared" si="39"/>
        <v>0</v>
      </c>
    </row>
    <row r="233" spans="1:18" x14ac:dyDescent="0.3">
      <c r="A233" s="2" t="s">
        <v>135</v>
      </c>
      <c r="B233" s="1">
        <f t="array" ref="B233:Q233">MMULT(N84:O84,$B$106:$R$107)</f>
        <v>0</v>
      </c>
      <c r="C233" s="1">
        <v>0</v>
      </c>
      <c r="D233" s="1">
        <v>0</v>
      </c>
      <c r="E233" s="1">
        <v>0</v>
      </c>
      <c r="F233" s="1">
        <v>0</v>
      </c>
      <c r="G233" s="1">
        <v>0</v>
      </c>
      <c r="H233" s="1">
        <v>0</v>
      </c>
      <c r="I233" s="1">
        <v>0</v>
      </c>
      <c r="J233" s="1">
        <v>0</v>
      </c>
      <c r="K233" s="1">
        <v>0</v>
      </c>
      <c r="L233" s="1">
        <v>0</v>
      </c>
      <c r="M233" s="1">
        <v>0</v>
      </c>
      <c r="N233" s="1">
        <v>0</v>
      </c>
      <c r="O233" s="1">
        <v>0</v>
      </c>
      <c r="P233" s="1">
        <v>0</v>
      </c>
      <c r="Q233" s="1">
        <v>0</v>
      </c>
      <c r="R233" s="1">
        <f>SUM(B233:Q233)</f>
        <v>0</v>
      </c>
    </row>
    <row r="234" spans="1:18" x14ac:dyDescent="0.3">
      <c r="A234" s="2" t="s">
        <v>136</v>
      </c>
    </row>
    <row r="235" spans="1:18" x14ac:dyDescent="0.3">
      <c r="A235" s="3" t="s">
        <v>177</v>
      </c>
      <c r="B235" s="1">
        <f t="array" ref="B235:Q235">MMULT(N86:O86,$B$106:$R$107)</f>
        <v>0</v>
      </c>
      <c r="C235" s="1">
        <v>0</v>
      </c>
      <c r="D235" s="1">
        <v>0</v>
      </c>
      <c r="E235" s="1">
        <v>0</v>
      </c>
      <c r="F235" s="1">
        <v>0</v>
      </c>
      <c r="G235" s="1">
        <v>0</v>
      </c>
      <c r="H235" s="1">
        <v>0</v>
      </c>
      <c r="I235" s="1">
        <v>0</v>
      </c>
      <c r="J235" s="1">
        <v>0</v>
      </c>
      <c r="K235" s="1">
        <v>0</v>
      </c>
      <c r="L235" s="1">
        <v>0</v>
      </c>
      <c r="M235" s="1">
        <v>0</v>
      </c>
      <c r="N235" s="1">
        <v>0</v>
      </c>
      <c r="O235" s="1">
        <v>0</v>
      </c>
      <c r="P235" s="1">
        <v>0</v>
      </c>
      <c r="Q235" s="1">
        <v>0</v>
      </c>
      <c r="R235" s="1">
        <f>SUM(B235:Q235)</f>
        <v>0</v>
      </c>
    </row>
    <row r="236" spans="1:18" x14ac:dyDescent="0.3">
      <c r="A236" s="3" t="s">
        <v>241</v>
      </c>
      <c r="B236" s="1">
        <f t="array" ref="B236:Q236">MMULT(N87:O87,$B$106:$R$107)</f>
        <v>110884.45363351287</v>
      </c>
      <c r="C236" s="1">
        <v>5499575.0378819704</v>
      </c>
      <c r="D236" s="1">
        <v>471046.53791396966</v>
      </c>
      <c r="E236" s="1">
        <v>104777.18714458784</v>
      </c>
      <c r="F236" s="1">
        <v>239405.61777014076</v>
      </c>
      <c r="G236" s="1">
        <v>183229.57892389482</v>
      </c>
      <c r="H236" s="1">
        <v>88248.423518489188</v>
      </c>
      <c r="I236" s="1">
        <v>33247.926597912054</v>
      </c>
      <c r="J236" s="1">
        <v>15854.261385337146</v>
      </c>
      <c r="K236" s="1">
        <v>47747.481359866833</v>
      </c>
      <c r="L236" s="1">
        <v>38892.493636694991</v>
      </c>
      <c r="M236" s="1">
        <v>29380.633966306188</v>
      </c>
      <c r="N236" s="1">
        <v>15816.045782714069</v>
      </c>
      <c r="O236" s="1">
        <v>6259.9127800794367</v>
      </c>
      <c r="P236" s="1">
        <v>633.60309470905474</v>
      </c>
      <c r="Q236" s="1">
        <v>4500.8046098153727</v>
      </c>
      <c r="R236" s="1">
        <f>SUM(B236:Q236)</f>
        <v>6889500.0000000009</v>
      </c>
    </row>
    <row r="237" spans="1:18" x14ac:dyDescent="0.3">
      <c r="A237" s="3" t="s">
        <v>242</v>
      </c>
      <c r="B237" s="1">
        <f t="array" ref="B237:Q237">MMULT(N88:O88,$B$106:$R$107)</f>
        <v>8106.1253607594399</v>
      </c>
      <c r="C237" s="1">
        <v>1571.9438419714609</v>
      </c>
      <c r="D237" s="1">
        <v>14812.996175040042</v>
      </c>
      <c r="E237" s="1">
        <v>6644.6551167731941</v>
      </c>
      <c r="F237" s="1">
        <v>24150.971047365096</v>
      </c>
      <c r="G237" s="1">
        <v>14253.892119563932</v>
      </c>
      <c r="H237" s="1">
        <v>8154.3405139808037</v>
      </c>
      <c r="I237" s="1">
        <v>7424.1638494589979</v>
      </c>
      <c r="J237" s="1">
        <v>2127.920133692975</v>
      </c>
      <c r="K237" s="1">
        <v>102.79138676084081</v>
      </c>
      <c r="L237" s="1">
        <v>76.410209412161009</v>
      </c>
      <c r="M237" s="1">
        <v>121.84289625882774</v>
      </c>
      <c r="N237" s="1">
        <v>27.521939094182834</v>
      </c>
      <c r="O237" s="1">
        <v>27.521939094182834</v>
      </c>
      <c r="P237" s="1">
        <v>2.700634577171011</v>
      </c>
      <c r="Q237" s="1">
        <v>1394.2028361966863</v>
      </c>
      <c r="R237" s="1">
        <f>SUM(B237:Q237)</f>
        <v>88999.999999999971</v>
      </c>
    </row>
    <row r="238" spans="1:18" x14ac:dyDescent="0.3">
      <c r="A238" s="3" t="s">
        <v>178</v>
      </c>
      <c r="B238" s="1">
        <f>SUBTOTAL(9,B235:B237)</f>
        <v>118990.57899427231</v>
      </c>
      <c r="C238" s="1">
        <f t="shared" ref="C238:R238" si="40">SUBTOTAL(9,C235:C237)</f>
        <v>5501146.9817239419</v>
      </c>
      <c r="D238" s="1">
        <f t="shared" si="40"/>
        <v>485859.53408900968</v>
      </c>
      <c r="E238" s="1">
        <f t="shared" si="40"/>
        <v>111421.84226136103</v>
      </c>
      <c r="F238" s="1">
        <f t="shared" si="40"/>
        <v>263556.58881750586</v>
      </c>
      <c r="G238" s="1">
        <f t="shared" si="40"/>
        <v>197483.47104345876</v>
      </c>
      <c r="H238" s="1">
        <f t="shared" si="40"/>
        <v>96402.76403246999</v>
      </c>
      <c r="I238" s="1">
        <f t="shared" si="40"/>
        <v>40672.090447371054</v>
      </c>
      <c r="J238" s="1">
        <f t="shared" si="40"/>
        <v>17982.18151903012</v>
      </c>
      <c r="K238" s="1">
        <f t="shared" si="40"/>
        <v>47850.272746627677</v>
      </c>
      <c r="L238" s="1">
        <f t="shared" si="40"/>
        <v>38968.903846107154</v>
      </c>
      <c r="M238" s="1">
        <f t="shared" si="40"/>
        <v>29502.476862565014</v>
      </c>
      <c r="N238" s="1">
        <f t="shared" si="40"/>
        <v>15843.567721808251</v>
      </c>
      <c r="O238" s="1">
        <f t="shared" si="40"/>
        <v>6287.4347191736197</v>
      </c>
      <c r="P238" s="1">
        <f t="shared" si="40"/>
        <v>636.3037292862258</v>
      </c>
      <c r="Q238" s="1">
        <f t="shared" si="40"/>
        <v>5895.0074460120595</v>
      </c>
      <c r="R238" s="1">
        <f t="shared" si="40"/>
        <v>6978500.0000000009</v>
      </c>
    </row>
    <row r="239" spans="1:18" x14ac:dyDescent="0.3">
      <c r="A239" s="2" t="s">
        <v>214</v>
      </c>
      <c r="B239" s="1">
        <f t="shared" ref="B239:R239" si="41">SUBTOTAL(9,B199:B238)</f>
        <v>118990.57899427231</v>
      </c>
      <c r="C239" s="1">
        <f t="shared" si="41"/>
        <v>5501146.9817239419</v>
      </c>
      <c r="D239" s="1">
        <f t="shared" si="41"/>
        <v>485859.53408900968</v>
      </c>
      <c r="E239" s="1">
        <f t="shared" si="41"/>
        <v>111421.84226136103</v>
      </c>
      <c r="F239" s="1">
        <f t="shared" si="41"/>
        <v>263556.58881750586</v>
      </c>
      <c r="G239" s="1">
        <f t="shared" si="41"/>
        <v>197483.47104345876</v>
      </c>
      <c r="H239" s="1">
        <f t="shared" si="41"/>
        <v>96402.76403246999</v>
      </c>
      <c r="I239" s="1">
        <f t="shared" si="41"/>
        <v>40672.090447371054</v>
      </c>
      <c r="J239" s="1">
        <f t="shared" si="41"/>
        <v>17982.18151903012</v>
      </c>
      <c r="K239" s="1">
        <f t="shared" si="41"/>
        <v>47850.272746627677</v>
      </c>
      <c r="L239" s="1">
        <f t="shared" si="41"/>
        <v>38968.903846107154</v>
      </c>
      <c r="M239" s="1">
        <f t="shared" si="41"/>
        <v>29502.476862565014</v>
      </c>
      <c r="N239" s="1">
        <f t="shared" si="41"/>
        <v>15843.567721808251</v>
      </c>
      <c r="O239" s="1">
        <f t="shared" si="41"/>
        <v>6287.4347191736197</v>
      </c>
      <c r="P239" s="1">
        <f t="shared" si="41"/>
        <v>636.3037292862258</v>
      </c>
      <c r="Q239" s="1">
        <f t="shared" si="41"/>
        <v>5895.0074460120595</v>
      </c>
      <c r="R239" s="1">
        <f t="shared" si="41"/>
        <v>6978500.0000000009</v>
      </c>
    </row>
    <row r="241" spans="1:19" x14ac:dyDescent="0.3">
      <c r="A241" s="1" t="s">
        <v>214</v>
      </c>
    </row>
    <row r="242" spans="1:19" s="9" customFormat="1" ht="54" x14ac:dyDescent="0.25">
      <c r="B242" s="17" t="str">
        <f t="array" ref="B242:Q242">TRANSPOSE(List_Functions)</f>
        <v>Generation</v>
      </c>
      <c r="C242" s="17" t="str">
        <v>Purchased Power</v>
      </c>
      <c r="D242" s="17" t="str">
        <v>Transmission</v>
      </c>
      <c r="E242" s="17" t="str">
        <v>Substations</v>
      </c>
      <c r="F242" s="17" t="str">
        <v>Primary Lines</v>
      </c>
      <c r="G242" s="17" t="str">
        <v>Transformers</v>
      </c>
      <c r="H242" s="17" t="str">
        <v>Secondary Lines</v>
      </c>
      <c r="I242" s="17" t="str">
        <v>Service Lines</v>
      </c>
      <c r="J242" s="17" t="str">
        <v>Meter Assets</v>
      </c>
      <c r="K242" s="17" t="str">
        <v>Meter Reading</v>
      </c>
      <c r="L242" s="17" t="str">
        <v>Billing</v>
      </c>
      <c r="M242" s="17" t="str">
        <v>Remittance &amp; Collection</v>
      </c>
      <c r="N242" s="17" t="str">
        <v>Uncollectibles &amp; Damage Claims</v>
      </c>
      <c r="O242" s="17" t="str">
        <v>Service Connections</v>
      </c>
      <c r="P242" s="17" t="str">
        <v>Late Payments</v>
      </c>
      <c r="Q242" s="17" t="str">
        <v>Lighting</v>
      </c>
      <c r="R242" s="17" t="s">
        <v>214</v>
      </c>
    </row>
    <row r="243" spans="1:19" x14ac:dyDescent="0.3">
      <c r="A243" s="1" t="s">
        <v>129</v>
      </c>
    </row>
    <row r="244" spans="1:19" x14ac:dyDescent="0.3">
      <c r="A244" s="3" t="s">
        <v>172</v>
      </c>
      <c r="B244" s="1">
        <f>SUM(B7,B112,B156,B200)</f>
        <v>32211917</v>
      </c>
      <c r="C244" s="1">
        <f>SUM(C7,C112,C156,C200)</f>
        <v>0</v>
      </c>
      <c r="D244" s="1">
        <f>SUM(D7,D112,D156,D200)</f>
        <v>0</v>
      </c>
      <c r="E244" s="1">
        <f>SUM(E7,E112,E156,E200)</f>
        <v>0</v>
      </c>
      <c r="F244" s="1">
        <f>SUM(F7,F112,F156,F200)</f>
        <v>0</v>
      </c>
      <c r="G244" s="1">
        <f>SUM(G7,G112,G156,G200)</f>
        <v>0</v>
      </c>
      <c r="H244" s="1">
        <f>SUM(H7,H112,H156,H200)</f>
        <v>0</v>
      </c>
      <c r="I244" s="1">
        <f>SUM(I7,I112,I156,I200)</f>
        <v>0</v>
      </c>
      <c r="J244" s="1">
        <f>SUM(J7,J112,J156,J200)</f>
        <v>0</v>
      </c>
      <c r="K244" s="1">
        <f>SUM(K7,K112,K156,K200)</f>
        <v>0</v>
      </c>
      <c r="L244" s="1">
        <f>SUM(L7,L112,L156,L200)</f>
        <v>0</v>
      </c>
      <c r="M244" s="1">
        <f>SUM(M7,M112,M156,M200)</f>
        <v>0</v>
      </c>
      <c r="N244" s="1">
        <f>SUM(N7,N112,N156,N200)</f>
        <v>0</v>
      </c>
      <c r="O244" s="1">
        <f>SUM(O7,O112,O156,O200)</f>
        <v>0</v>
      </c>
      <c r="P244" s="1">
        <f>SUM(P7,P112,P156,P200)</f>
        <v>0</v>
      </c>
      <c r="Q244" s="1">
        <f>SUM(Q7,Q112,Q156,Q200)</f>
        <v>0</v>
      </c>
      <c r="R244" s="1">
        <f>SUM(B244:Q244)</f>
        <v>32211917</v>
      </c>
      <c r="S244" s="1">
        <f>R244-'4.2'!D6</f>
        <v>0</v>
      </c>
    </row>
    <row r="245" spans="1:19" x14ac:dyDescent="0.3">
      <c r="A245" s="3" t="s">
        <v>173</v>
      </c>
      <c r="S245" s="1">
        <f>R245-'4.2'!D7</f>
        <v>0</v>
      </c>
    </row>
    <row r="246" spans="1:19" x14ac:dyDescent="0.3">
      <c r="A246" s="4" t="s">
        <v>13</v>
      </c>
      <c r="B246" s="1">
        <f>SUM(B9,B114,B158,B202)</f>
        <v>0</v>
      </c>
      <c r="C246" s="1">
        <f>SUM(C9,C114,C158,C202)</f>
        <v>0</v>
      </c>
      <c r="D246" s="1">
        <f>SUM(D9,D114,D158,D202)</f>
        <v>28440870.16</v>
      </c>
      <c r="E246" s="1">
        <f>SUM(E9,E114,E158,E202)</f>
        <v>32854918.84</v>
      </c>
      <c r="F246" s="1">
        <f>SUM(F9,F114,F158,F202)</f>
        <v>0</v>
      </c>
      <c r="G246" s="1">
        <f>SUM(G9,G114,G158,G202)</f>
        <v>0</v>
      </c>
      <c r="H246" s="1">
        <f>SUM(H9,H114,H158,H202)</f>
        <v>0</v>
      </c>
      <c r="I246" s="1">
        <f>SUM(I9,I114,I158,I202)</f>
        <v>0</v>
      </c>
      <c r="J246" s="1">
        <f>SUM(J9,J114,J158,J202)</f>
        <v>0</v>
      </c>
      <c r="K246" s="1">
        <f>SUM(K9,K114,K158,K202)</f>
        <v>0</v>
      </c>
      <c r="L246" s="1">
        <f>SUM(L9,L114,L158,L202)</f>
        <v>0</v>
      </c>
      <c r="M246" s="1">
        <f>SUM(M9,M114,M158,M202)</f>
        <v>0</v>
      </c>
      <c r="N246" s="1">
        <f>SUM(N9,N114,N158,N202)</f>
        <v>0</v>
      </c>
      <c r="O246" s="1">
        <f>SUM(O9,O114,O158,O202)</f>
        <v>0</v>
      </c>
      <c r="P246" s="1">
        <f>SUM(P9,P114,P158,P202)</f>
        <v>0</v>
      </c>
      <c r="Q246" s="1">
        <f>SUM(Q9,Q114,Q158,Q202)</f>
        <v>0</v>
      </c>
      <c r="R246" s="1">
        <f>SUM(B246:Q246)</f>
        <v>61295789</v>
      </c>
      <c r="S246" s="1">
        <f>R246-'4.2'!D8</f>
        <v>0</v>
      </c>
    </row>
    <row r="247" spans="1:19" x14ac:dyDescent="0.3">
      <c r="A247" s="4" t="s">
        <v>140</v>
      </c>
      <c r="B247" s="1">
        <f>SUM(B10,B115,B159,B203)</f>
        <v>0</v>
      </c>
      <c r="C247" s="1">
        <f>SUM(C10,C115,C159,C203)</f>
        <v>0</v>
      </c>
      <c r="D247" s="1">
        <f>SUM(D10,D115,D159,D203)</f>
        <v>58404771</v>
      </c>
      <c r="E247" s="1">
        <f>SUM(E10,E115,E159,E203)</f>
        <v>881627.5674087985</v>
      </c>
      <c r="F247" s="1">
        <f>SUM(F10,F115,F159,F203)</f>
        <v>135260587.03731859</v>
      </c>
      <c r="G247" s="1">
        <f>SUM(G10,G115,G159,G203)</f>
        <v>77710610.792499751</v>
      </c>
      <c r="H247" s="1">
        <f>SUM(H10,H115,H159,H203)</f>
        <v>45086862.345772862</v>
      </c>
      <c r="I247" s="1">
        <f>SUM(I10,I115,I159,I203)</f>
        <v>44322477.5</v>
      </c>
      <c r="J247" s="1">
        <f>SUM(J10,J115,J159,J203)</f>
        <v>0</v>
      </c>
      <c r="K247" s="1">
        <f>SUM(K10,K115,K159,K203)</f>
        <v>0</v>
      </c>
      <c r="L247" s="1">
        <f>SUM(L10,L115,L159,L203)</f>
        <v>0</v>
      </c>
      <c r="M247" s="1">
        <f>SUM(M10,M115,M159,M203)</f>
        <v>0</v>
      </c>
      <c r="N247" s="1">
        <f>SUM(N10,N115,N159,N203)</f>
        <v>0</v>
      </c>
      <c r="O247" s="1">
        <f>SUM(O10,O115,O159,O203)</f>
        <v>0</v>
      </c>
      <c r="P247" s="1">
        <f>SUM(P10,P115,P159,P203)</f>
        <v>0</v>
      </c>
      <c r="Q247" s="1">
        <f>SUM(Q10,Q115,Q159,Q203)</f>
        <v>0</v>
      </c>
      <c r="R247" s="1">
        <f>SUM(B247:Q247)</f>
        <v>361666936.24300003</v>
      </c>
      <c r="S247" s="1">
        <f>R247-'4.2'!D9</f>
        <v>0</v>
      </c>
    </row>
    <row r="248" spans="1:19" x14ac:dyDescent="0.3">
      <c r="A248" s="4" t="s">
        <v>141</v>
      </c>
      <c r="B248" s="1">
        <f>SUM(B11,B116,B160,B204)</f>
        <v>1606497.8750000005</v>
      </c>
      <c r="C248" s="1">
        <f>SUM(C11,C116,C160,C204)</f>
        <v>0</v>
      </c>
      <c r="D248" s="1">
        <f>SUM(D11,D116,D160,D204)</f>
        <v>1606497.8750000005</v>
      </c>
      <c r="E248" s="1">
        <f>SUM(E11,E116,E160,E204)</f>
        <v>1606497.8750000005</v>
      </c>
      <c r="F248" s="1">
        <f>SUM(F11,F116,F160,F204)</f>
        <v>535499.29166666686</v>
      </c>
      <c r="G248" s="1">
        <f>SUM(G11,G116,G160,G204)</f>
        <v>535499.29166666686</v>
      </c>
      <c r="H248" s="1">
        <f>SUM(H11,H116,H160,H204)</f>
        <v>535499.29166666686</v>
      </c>
      <c r="I248" s="1">
        <f>SUM(I11,I116,I160,I204)</f>
        <v>0</v>
      </c>
      <c r="J248" s="1">
        <f>SUM(J11,J116,J160,J204)</f>
        <v>0</v>
      </c>
      <c r="K248" s="1">
        <f>SUM(K11,K116,K160,K204)</f>
        <v>0</v>
      </c>
      <c r="L248" s="1">
        <f>SUM(L11,L116,L160,L204)</f>
        <v>0</v>
      </c>
      <c r="M248" s="1">
        <f>SUM(M11,M116,M160,M204)</f>
        <v>0</v>
      </c>
      <c r="N248" s="1">
        <f>SUM(N11,N116,N160,N204)</f>
        <v>0</v>
      </c>
      <c r="O248" s="1">
        <f>SUM(O11,O116,O160,O204)</f>
        <v>0</v>
      </c>
      <c r="P248" s="1">
        <f>SUM(P11,P116,P160,P204)</f>
        <v>0</v>
      </c>
      <c r="Q248" s="1">
        <f>SUM(Q11,Q116,Q160,Q204)</f>
        <v>0</v>
      </c>
      <c r="R248" s="1">
        <f>SUM(B248:Q248)</f>
        <v>6425991.5000000028</v>
      </c>
      <c r="S248" s="1">
        <f>R248-'4.2'!D10</f>
        <v>0</v>
      </c>
    </row>
    <row r="249" spans="1:19" x14ac:dyDescent="0.3">
      <c r="A249" s="4" t="s">
        <v>142</v>
      </c>
      <c r="B249" s="1">
        <f>SUM(B12,B117,B161,B205)</f>
        <v>0</v>
      </c>
      <c r="C249" s="1">
        <f>SUM(C12,C117,C161,C205)</f>
        <v>0</v>
      </c>
      <c r="D249" s="1">
        <f>SUM(D12,D117,D161,D205)</f>
        <v>0</v>
      </c>
      <c r="E249" s="1">
        <f>SUM(E12,E117,E161,E205)</f>
        <v>0</v>
      </c>
      <c r="F249" s="1">
        <f>SUM(F12,F117,F161,F205)</f>
        <v>0</v>
      </c>
      <c r="G249" s="1">
        <f>SUM(G12,G117,G161,G205)</f>
        <v>0</v>
      </c>
      <c r="H249" s="1">
        <f>SUM(H12,H117,H161,H205)</f>
        <v>0</v>
      </c>
      <c r="I249" s="1">
        <f>SUM(I12,I117,I161,I205)</f>
        <v>0</v>
      </c>
      <c r="J249" s="1">
        <f>SUM(J12,J117,J161,J205)</f>
        <v>12313454.5</v>
      </c>
      <c r="K249" s="1">
        <f>SUM(K12,K117,K161,K205)</f>
        <v>0</v>
      </c>
      <c r="L249" s="1">
        <f>SUM(L12,L117,L161,L205)</f>
        <v>0</v>
      </c>
      <c r="M249" s="1">
        <f>SUM(M12,M117,M161,M205)</f>
        <v>0</v>
      </c>
      <c r="N249" s="1">
        <f>SUM(N12,N117,N161,N205)</f>
        <v>0</v>
      </c>
      <c r="O249" s="1">
        <f>SUM(O12,O117,O161,O205)</f>
        <v>0</v>
      </c>
      <c r="P249" s="1">
        <f>SUM(P12,P117,P161,P205)</f>
        <v>0</v>
      </c>
      <c r="Q249" s="1">
        <f>SUM(Q12,Q117,Q161,Q205)</f>
        <v>0</v>
      </c>
      <c r="R249" s="1">
        <f>SUM(B249:Q249)</f>
        <v>12313454.5</v>
      </c>
      <c r="S249" s="1">
        <f>R249-'4.2'!D11</f>
        <v>0</v>
      </c>
    </row>
    <row r="250" spans="1:19" x14ac:dyDescent="0.3">
      <c r="A250" s="4" t="s">
        <v>143</v>
      </c>
      <c r="B250" s="1">
        <f>SUM(B13,B118,B162,B206)</f>
        <v>0</v>
      </c>
      <c r="C250" s="1">
        <f>SUM(C13,C118,C162,C206)</f>
        <v>0</v>
      </c>
      <c r="D250" s="1">
        <f>SUM(D13,D118,D162,D206)</f>
        <v>0</v>
      </c>
      <c r="E250" s="1">
        <f>SUM(E13,E118,E162,E206)</f>
        <v>0</v>
      </c>
      <c r="F250" s="1">
        <f>SUM(F13,F118,F162,F206)</f>
        <v>0</v>
      </c>
      <c r="G250" s="1">
        <f>SUM(G13,G118,G162,G206)</f>
        <v>0</v>
      </c>
      <c r="H250" s="1">
        <f>SUM(H13,H118,H162,H206)</f>
        <v>0</v>
      </c>
      <c r="I250" s="1">
        <f>SUM(I13,I118,I162,I206)</f>
        <v>0</v>
      </c>
      <c r="J250" s="1">
        <f>SUM(J13,J118,J162,J206)</f>
        <v>0</v>
      </c>
      <c r="K250" s="1">
        <f>SUM(K13,K118,K162,K206)</f>
        <v>0</v>
      </c>
      <c r="L250" s="1">
        <f>SUM(L13,L118,L162,L206)</f>
        <v>0</v>
      </c>
      <c r="M250" s="1">
        <f>SUM(M13,M118,M162,M206)</f>
        <v>0</v>
      </c>
      <c r="N250" s="1">
        <f>SUM(N13,N118,N162,N206)</f>
        <v>0</v>
      </c>
      <c r="O250" s="1">
        <f>SUM(O13,O118,O162,O206)</f>
        <v>0</v>
      </c>
      <c r="P250" s="1">
        <f>SUM(P13,P118,P162,P206)</f>
        <v>0</v>
      </c>
      <c r="Q250" s="1">
        <f>SUM(Q13,Q118,Q162,Q206)</f>
        <v>8177072</v>
      </c>
      <c r="R250" s="1">
        <f>SUM(B250:Q250)</f>
        <v>8177072</v>
      </c>
      <c r="S250" s="1">
        <f>R250-'4.2'!D12</f>
        <v>0</v>
      </c>
    </row>
    <row r="251" spans="1:19" x14ac:dyDescent="0.3">
      <c r="A251" s="4" t="s">
        <v>174</v>
      </c>
      <c r="B251" s="1">
        <f t="shared" ref="B251:Q251" si="42">SUBTOTAL(9,B245:B250)</f>
        <v>1606497.8750000005</v>
      </c>
      <c r="C251" s="1">
        <f t="shared" si="42"/>
        <v>0</v>
      </c>
      <c r="D251" s="1">
        <f t="shared" si="42"/>
        <v>88452139.034999996</v>
      </c>
      <c r="E251" s="1">
        <f t="shared" si="42"/>
        <v>35343044.282408796</v>
      </c>
      <c r="F251" s="1">
        <f t="shared" si="42"/>
        <v>135796086.32898524</v>
      </c>
      <c r="G251" s="1">
        <f t="shared" si="42"/>
        <v>78246110.084166422</v>
      </c>
      <c r="H251" s="1">
        <f t="shared" si="42"/>
        <v>45622361.637439527</v>
      </c>
      <c r="I251" s="1">
        <f t="shared" si="42"/>
        <v>44322477.5</v>
      </c>
      <c r="J251" s="1">
        <f t="shared" si="42"/>
        <v>12313454.5</v>
      </c>
      <c r="K251" s="1">
        <f t="shared" si="42"/>
        <v>0</v>
      </c>
      <c r="L251" s="1">
        <f t="shared" si="42"/>
        <v>0</v>
      </c>
      <c r="M251" s="1">
        <f t="shared" si="42"/>
        <v>0</v>
      </c>
      <c r="N251" s="1">
        <f t="shared" si="42"/>
        <v>0</v>
      </c>
      <c r="O251" s="1">
        <f t="shared" si="42"/>
        <v>0</v>
      </c>
      <c r="P251" s="1">
        <f t="shared" si="42"/>
        <v>0</v>
      </c>
      <c r="Q251" s="1">
        <f t="shared" si="42"/>
        <v>8177072</v>
      </c>
      <c r="R251" s="1">
        <f>SUBTOTAL(9,R245:R250)</f>
        <v>449879243.24300003</v>
      </c>
      <c r="S251" s="1">
        <f>R251-'4.2'!D13</f>
        <v>0</v>
      </c>
    </row>
    <row r="252" spans="1:19" x14ac:dyDescent="0.3">
      <c r="A252" s="3" t="s">
        <v>175</v>
      </c>
      <c r="B252" s="1">
        <f>SUM(B15,B120,B164,B208)</f>
        <v>1829763.1301418229</v>
      </c>
      <c r="C252" s="1">
        <f>SUM(C15,C120,C164,C208)</f>
        <v>588162.14221297333</v>
      </c>
      <c r="D252" s="1">
        <f>SUM(D15,D120,D164,D208)</f>
        <v>4216210.7704323679</v>
      </c>
      <c r="E252" s="1">
        <f>SUM(E15,E120,E164,E208)</f>
        <v>2853844.8303327537</v>
      </c>
      <c r="F252" s="1">
        <f>SUM(F15,F120,F164,F208)</f>
        <v>6724307.4773621745</v>
      </c>
      <c r="G252" s="1">
        <f>SUM(G15,G120,G164,G208)</f>
        <v>7284351.9446720742</v>
      </c>
      <c r="H252" s="1">
        <f>SUM(H15,H120,H164,H208)</f>
        <v>2514694.9904543725</v>
      </c>
      <c r="I252" s="1">
        <f>SUM(I15,I120,I164,I208)</f>
        <v>212706.20532208384</v>
      </c>
      <c r="J252" s="1">
        <f>SUM(J15,J120,J164,J208)</f>
        <v>488433.02420093835</v>
      </c>
      <c r="K252" s="1">
        <f>SUM(K15,K120,K164,K208)</f>
        <v>780768.25556490815</v>
      </c>
      <c r="L252" s="1">
        <f>SUM(L15,L120,L164,L208)</f>
        <v>493932.06062503089</v>
      </c>
      <c r="M252" s="1">
        <f>SUM(M15,M120,M164,M208)</f>
        <v>701916.9091462479</v>
      </c>
      <c r="N252" s="1">
        <f>SUM(N15,N120,N164,N208)</f>
        <v>163185.81714624783</v>
      </c>
      <c r="O252" s="1">
        <f>SUM(O15,O120,O164,O208)</f>
        <v>163185.81714624783</v>
      </c>
      <c r="P252" s="1">
        <f>SUM(P15,P120,P164,P208)</f>
        <v>21414.477146247817</v>
      </c>
      <c r="Q252" s="1">
        <f>SUM(Q15,Q120,Q164,Q208)</f>
        <v>44096.648093508098</v>
      </c>
      <c r="R252" s="1">
        <f>SUM(B252:Q252)</f>
        <v>29080974.500000007</v>
      </c>
      <c r="S252" s="1">
        <f>R252-'4.2'!D14</f>
        <v>0</v>
      </c>
    </row>
    <row r="253" spans="1:19" x14ac:dyDescent="0.3">
      <c r="A253" s="3" t="s">
        <v>213</v>
      </c>
      <c r="B253" s="1">
        <f t="shared" ref="B253:R253" si="43">SUBTOTAL(9,B243:B252)</f>
        <v>35648178.005141824</v>
      </c>
      <c r="C253" s="1">
        <f t="shared" si="43"/>
        <v>588162.14221297333</v>
      </c>
      <c r="D253" s="1">
        <f t="shared" si="43"/>
        <v>92668349.805432364</v>
      </c>
      <c r="E253" s="1">
        <f t="shared" si="43"/>
        <v>38196889.112741552</v>
      </c>
      <c r="F253" s="1">
        <f t="shared" si="43"/>
        <v>142520393.80634743</v>
      </c>
      <c r="G253" s="1">
        <f t="shared" si="43"/>
        <v>85530462.0288385</v>
      </c>
      <c r="H253" s="1">
        <f t="shared" si="43"/>
        <v>48137056.627893902</v>
      </c>
      <c r="I253" s="1">
        <f t="shared" si="43"/>
        <v>44535183.705322087</v>
      </c>
      <c r="J253" s="1">
        <f t="shared" si="43"/>
        <v>12801887.524200939</v>
      </c>
      <c r="K253" s="1">
        <f t="shared" si="43"/>
        <v>780768.25556490815</v>
      </c>
      <c r="L253" s="1">
        <f t="shared" si="43"/>
        <v>493932.06062503089</v>
      </c>
      <c r="M253" s="1">
        <f t="shared" si="43"/>
        <v>701916.9091462479</v>
      </c>
      <c r="N253" s="1">
        <f t="shared" si="43"/>
        <v>163185.81714624783</v>
      </c>
      <c r="O253" s="1">
        <f t="shared" si="43"/>
        <v>163185.81714624783</v>
      </c>
      <c r="P253" s="1">
        <f t="shared" si="43"/>
        <v>21414.477146247817</v>
      </c>
      <c r="Q253" s="1">
        <f t="shared" si="43"/>
        <v>8221168.6480935086</v>
      </c>
      <c r="R253" s="1">
        <f t="shared" si="43"/>
        <v>511172134.74300003</v>
      </c>
      <c r="S253" s="1">
        <f>R253-'4.2'!D15</f>
        <v>0</v>
      </c>
    </row>
    <row r="254" spans="1:19" x14ac:dyDescent="0.3">
      <c r="A254" s="2" t="s">
        <v>176</v>
      </c>
      <c r="B254" s="1">
        <f t="shared" ref="B254:Q254" si="44">SUM(B17,B122,B166,B210)</f>
        <v>0</v>
      </c>
      <c r="C254" s="1">
        <f t="shared" si="44"/>
        <v>0</v>
      </c>
      <c r="D254" s="1">
        <f t="shared" si="44"/>
        <v>-10289012.5</v>
      </c>
      <c r="E254" s="1">
        <f t="shared" si="44"/>
        <v>0</v>
      </c>
      <c r="F254" s="1">
        <f t="shared" si="44"/>
        <v>-5956731.3501308486</v>
      </c>
      <c r="G254" s="1">
        <f t="shared" si="44"/>
        <v>-3700279.1336824982</v>
      </c>
      <c r="H254" s="1">
        <f t="shared" si="44"/>
        <v>-1985577.1167102826</v>
      </c>
      <c r="I254" s="1">
        <f t="shared" si="44"/>
        <v>-2936623.3975331718</v>
      </c>
      <c r="J254" s="1">
        <f t="shared" si="44"/>
        <v>-599112.15478037507</v>
      </c>
      <c r="K254" s="1">
        <f t="shared" si="44"/>
        <v>0</v>
      </c>
      <c r="L254" s="1">
        <f t="shared" si="44"/>
        <v>0</v>
      </c>
      <c r="M254" s="1">
        <f t="shared" si="44"/>
        <v>0</v>
      </c>
      <c r="N254" s="1">
        <f t="shared" si="44"/>
        <v>0</v>
      </c>
      <c r="O254" s="1">
        <f t="shared" si="44"/>
        <v>0</v>
      </c>
      <c r="P254" s="1">
        <f t="shared" si="44"/>
        <v>0</v>
      </c>
      <c r="Q254" s="1">
        <f t="shared" si="44"/>
        <v>-348206.34716282383</v>
      </c>
      <c r="R254" s="1">
        <f t="shared" ref="R254:R264" si="45">SUM(B254:Q254)</f>
        <v>-25815542</v>
      </c>
      <c r="S254" s="1">
        <f>R254-'4.2'!D16</f>
        <v>0</v>
      </c>
    </row>
    <row r="255" spans="1:19" x14ac:dyDescent="0.3">
      <c r="A255" s="2" t="s">
        <v>147</v>
      </c>
      <c r="R255" s="1">
        <f t="shared" si="45"/>
        <v>0</v>
      </c>
      <c r="S255" s="1">
        <f>R255-'4.2'!D17</f>
        <v>0</v>
      </c>
    </row>
    <row r="256" spans="1:19" x14ac:dyDescent="0.3">
      <c r="A256" s="3" t="s">
        <v>148</v>
      </c>
      <c r="B256" s="1">
        <f t="shared" ref="B256:Q256" si="46">SUM(B19,B124,B168,B212)</f>
        <v>-3531270.1823528381</v>
      </c>
      <c r="C256" s="1">
        <f t="shared" si="46"/>
        <v>-61527.288510768187</v>
      </c>
      <c r="D256" s="1">
        <f t="shared" si="46"/>
        <v>-8431537.2346717697</v>
      </c>
      <c r="E256" s="1">
        <f t="shared" si="46"/>
        <v>-3780401.560551228</v>
      </c>
      <c r="F256" s="1">
        <f t="shared" si="46"/>
        <v>-13504729.049159171</v>
      </c>
      <c r="G256" s="1">
        <f t="shared" si="46"/>
        <v>-8103276.9043153692</v>
      </c>
      <c r="H256" s="1">
        <f t="shared" si="46"/>
        <v>-4565232.7131832708</v>
      </c>
      <c r="I256" s="1">
        <f t="shared" si="46"/>
        <v>-4107082.9962530411</v>
      </c>
      <c r="J256" s="1">
        <f t="shared" si="46"/>
        <v>-1206555.0552324438</v>
      </c>
      <c r="K256" s="1">
        <f t="shared" si="46"/>
        <v>-84786.831103801494</v>
      </c>
      <c r="L256" s="1">
        <f t="shared" si="46"/>
        <v>-51049.102155766057</v>
      </c>
      <c r="M256" s="1">
        <f t="shared" si="46"/>
        <v>-69529.144254970772</v>
      </c>
      <c r="N256" s="1">
        <f t="shared" si="46"/>
        <v>-16347.617901539219</v>
      </c>
      <c r="O256" s="1">
        <f t="shared" si="46"/>
        <v>-16347.617901539219</v>
      </c>
      <c r="P256" s="1">
        <f t="shared" si="46"/>
        <v>-2352.4793874782822</v>
      </c>
      <c r="Q256" s="1">
        <f t="shared" si="46"/>
        <v>-777474.22306500236</v>
      </c>
      <c r="R256" s="1">
        <f t="shared" si="45"/>
        <v>-48309500</v>
      </c>
      <c r="S256" s="1">
        <f>R256-'4.2'!D18</f>
        <v>0</v>
      </c>
    </row>
    <row r="257" spans="1:19" x14ac:dyDescent="0.3">
      <c r="A257" s="3" t="s">
        <v>149</v>
      </c>
      <c r="B257" s="1">
        <f t="shared" ref="B257:Q257" si="47">SUM(B20,B125,B169,B213)</f>
        <v>0</v>
      </c>
      <c r="C257" s="1">
        <f t="shared" si="47"/>
        <v>-3618000</v>
      </c>
      <c r="D257" s="1">
        <f t="shared" si="47"/>
        <v>0</v>
      </c>
      <c r="E257" s="1">
        <f t="shared" si="47"/>
        <v>0</v>
      </c>
      <c r="F257" s="1">
        <f t="shared" si="47"/>
        <v>0</v>
      </c>
      <c r="G257" s="1">
        <f t="shared" si="47"/>
        <v>0</v>
      </c>
      <c r="H257" s="1">
        <f t="shared" si="47"/>
        <v>0</v>
      </c>
      <c r="I257" s="1">
        <f t="shared" si="47"/>
        <v>0</v>
      </c>
      <c r="J257" s="1">
        <f t="shared" si="47"/>
        <v>0</v>
      </c>
      <c r="K257" s="1">
        <f t="shared" si="47"/>
        <v>0</v>
      </c>
      <c r="L257" s="1">
        <f t="shared" si="47"/>
        <v>0</v>
      </c>
      <c r="M257" s="1">
        <f t="shared" si="47"/>
        <v>0</v>
      </c>
      <c r="N257" s="1">
        <f t="shared" si="47"/>
        <v>0</v>
      </c>
      <c r="O257" s="1">
        <f t="shared" si="47"/>
        <v>0</v>
      </c>
      <c r="P257" s="1">
        <f t="shared" si="47"/>
        <v>0</v>
      </c>
      <c r="Q257" s="1">
        <f t="shared" si="47"/>
        <v>0</v>
      </c>
      <c r="R257" s="1">
        <f t="shared" si="45"/>
        <v>-3618000</v>
      </c>
      <c r="S257" s="1">
        <f>R257-'4.2'!D19</f>
        <v>0</v>
      </c>
    </row>
    <row r="258" spans="1:19" x14ac:dyDescent="0.3">
      <c r="A258" s="3" t="s">
        <v>150</v>
      </c>
      <c r="B258" s="1">
        <f t="shared" ref="B258:Q258" si="48">SUM(B21,B126,B170,B214)</f>
        <v>-361500</v>
      </c>
      <c r="C258" s="1">
        <f t="shared" si="48"/>
        <v>0</v>
      </c>
      <c r="D258" s="1">
        <f t="shared" si="48"/>
        <v>0</v>
      </c>
      <c r="E258" s="1">
        <f t="shared" si="48"/>
        <v>0</v>
      </c>
      <c r="F258" s="1">
        <f t="shared" si="48"/>
        <v>0</v>
      </c>
      <c r="G258" s="1">
        <f t="shared" si="48"/>
        <v>0</v>
      </c>
      <c r="H258" s="1">
        <f t="shared" si="48"/>
        <v>0</v>
      </c>
      <c r="I258" s="1">
        <f t="shared" si="48"/>
        <v>0</v>
      </c>
      <c r="J258" s="1">
        <f t="shared" si="48"/>
        <v>0</v>
      </c>
      <c r="K258" s="1">
        <f t="shared" si="48"/>
        <v>0</v>
      </c>
      <c r="L258" s="1">
        <f t="shared" si="48"/>
        <v>0</v>
      </c>
      <c r="M258" s="1">
        <f t="shared" si="48"/>
        <v>0</v>
      </c>
      <c r="N258" s="1">
        <f t="shared" si="48"/>
        <v>0</v>
      </c>
      <c r="O258" s="1">
        <f t="shared" si="48"/>
        <v>0</v>
      </c>
      <c r="P258" s="1">
        <f t="shared" si="48"/>
        <v>0</v>
      </c>
      <c r="Q258" s="1">
        <f t="shared" si="48"/>
        <v>0</v>
      </c>
      <c r="R258" s="1">
        <f t="shared" si="45"/>
        <v>-361500</v>
      </c>
      <c r="S258" s="1">
        <f>R258-'4.2'!D20</f>
        <v>0</v>
      </c>
    </row>
    <row r="259" spans="1:19" x14ac:dyDescent="0.3">
      <c r="A259" s="3" t="s">
        <v>151</v>
      </c>
      <c r="B259" s="1">
        <f t="shared" ref="B259:Q259" si="49">SUM(B22,B127,B171,B215)</f>
        <v>238388.85161717198</v>
      </c>
      <c r="C259" s="1">
        <f t="shared" si="49"/>
        <v>67645.710525898001</v>
      </c>
      <c r="D259" s="1">
        <f t="shared" si="49"/>
        <v>445670.04647497967</v>
      </c>
      <c r="E259" s="1">
        <f t="shared" si="49"/>
        <v>190224.82059277847</v>
      </c>
      <c r="F259" s="1">
        <f t="shared" si="49"/>
        <v>266836.08627792692</v>
      </c>
      <c r="G259" s="1">
        <f t="shared" si="49"/>
        <v>372640.63146444876</v>
      </c>
      <c r="H259" s="1">
        <f t="shared" si="49"/>
        <v>117040.51167817548</v>
      </c>
      <c r="I259" s="1">
        <f t="shared" si="49"/>
        <v>12258.161840499637</v>
      </c>
      <c r="J259" s="1">
        <f t="shared" si="49"/>
        <v>37911.048801497891</v>
      </c>
      <c r="K259" s="1">
        <f t="shared" si="49"/>
        <v>150515.53442903564</v>
      </c>
      <c r="L259" s="1">
        <f t="shared" si="49"/>
        <v>44691.733198835151</v>
      </c>
      <c r="M259" s="1">
        <f t="shared" si="49"/>
        <v>4655.0671832440466</v>
      </c>
      <c r="N259" s="1">
        <f t="shared" si="49"/>
        <v>4655.0671832440466</v>
      </c>
      <c r="O259" s="1">
        <f t="shared" si="49"/>
        <v>4655.0671832440466</v>
      </c>
      <c r="P259" s="1">
        <f t="shared" si="49"/>
        <v>4655.0671832440466</v>
      </c>
      <c r="Q259" s="1">
        <f t="shared" si="49"/>
        <v>5556.5943657762245</v>
      </c>
      <c r="R259" s="1">
        <f t="shared" si="45"/>
        <v>1967999.9999999998</v>
      </c>
      <c r="S259" s="1">
        <f>R259-'4.2'!D21</f>
        <v>0</v>
      </c>
    </row>
    <row r="260" spans="1:19" x14ac:dyDescent="0.3">
      <c r="A260" s="3" t="s">
        <v>152</v>
      </c>
      <c r="B260" s="1">
        <f t="shared" ref="B260:Q260" si="50">SUM(B23,B128,B172,B216)</f>
        <v>0</v>
      </c>
      <c r="C260" s="1">
        <f t="shared" si="50"/>
        <v>0</v>
      </c>
      <c r="D260" s="1">
        <f t="shared" si="50"/>
        <v>0</v>
      </c>
      <c r="E260" s="1">
        <f t="shared" si="50"/>
        <v>0</v>
      </c>
      <c r="F260" s="1">
        <f t="shared" si="50"/>
        <v>0</v>
      </c>
      <c r="G260" s="1">
        <f t="shared" si="50"/>
        <v>0</v>
      </c>
      <c r="H260" s="1">
        <f t="shared" si="50"/>
        <v>0</v>
      </c>
      <c r="I260" s="1">
        <f t="shared" si="50"/>
        <v>0</v>
      </c>
      <c r="J260" s="1">
        <f t="shared" si="50"/>
        <v>0</v>
      </c>
      <c r="K260" s="1">
        <f t="shared" si="50"/>
        <v>0</v>
      </c>
      <c r="L260" s="1">
        <f t="shared" si="50"/>
        <v>0</v>
      </c>
      <c r="M260" s="1">
        <f t="shared" si="50"/>
        <v>0</v>
      </c>
      <c r="N260" s="1">
        <f t="shared" si="50"/>
        <v>0</v>
      </c>
      <c r="O260" s="1">
        <f t="shared" si="50"/>
        <v>0</v>
      </c>
      <c r="P260" s="1">
        <f t="shared" si="50"/>
        <v>0</v>
      </c>
      <c r="Q260" s="1">
        <f t="shared" si="50"/>
        <v>0</v>
      </c>
      <c r="R260" s="1">
        <f t="shared" si="45"/>
        <v>0</v>
      </c>
      <c r="S260" s="1">
        <f>R260-'4.2'!D22</f>
        <v>0</v>
      </c>
    </row>
    <row r="261" spans="1:19" x14ac:dyDescent="0.3">
      <c r="A261" s="3" t="s">
        <v>189</v>
      </c>
      <c r="B261" s="1">
        <f t="shared" ref="B261:Q261" si="51">SUM(B24,B129,B173,B217)</f>
        <v>15094.49057961397</v>
      </c>
      <c r="C261" s="1">
        <f t="shared" si="51"/>
        <v>262.99972215555181</v>
      </c>
      <c r="D261" s="1">
        <f t="shared" si="51"/>
        <v>36040.787815227239</v>
      </c>
      <c r="E261" s="1">
        <f t="shared" si="51"/>
        <v>16159.408030590848</v>
      </c>
      <c r="F261" s="1">
        <f t="shared" si="51"/>
        <v>57726.255677483074</v>
      </c>
      <c r="G261" s="1">
        <f t="shared" si="51"/>
        <v>34637.631951088784</v>
      </c>
      <c r="H261" s="1">
        <f t="shared" si="51"/>
        <v>19514.185724802479</v>
      </c>
      <c r="I261" s="1">
        <f t="shared" si="51"/>
        <v>17555.814875464515</v>
      </c>
      <c r="J261" s="1">
        <f t="shared" si="51"/>
        <v>5157.4456143305069</v>
      </c>
      <c r="K261" s="1">
        <f t="shared" si="51"/>
        <v>362.4231387808818</v>
      </c>
      <c r="L261" s="1">
        <f t="shared" si="51"/>
        <v>218.21048852018114</v>
      </c>
      <c r="M261" s="1">
        <f t="shared" si="51"/>
        <v>297.20382716963468</v>
      </c>
      <c r="N261" s="1">
        <f t="shared" si="51"/>
        <v>69.878245410692486</v>
      </c>
      <c r="O261" s="1">
        <f t="shared" si="51"/>
        <v>69.878245410692486</v>
      </c>
      <c r="P261" s="1">
        <f t="shared" si="51"/>
        <v>10.055723895181389</v>
      </c>
      <c r="Q261" s="1">
        <f t="shared" si="51"/>
        <v>3323.3303400557447</v>
      </c>
      <c r="R261" s="1">
        <f t="shared" si="45"/>
        <v>206499.99999999994</v>
      </c>
      <c r="S261" s="1">
        <f>R261-'4.2'!D23</f>
        <v>0</v>
      </c>
    </row>
    <row r="262" spans="1:19" x14ac:dyDescent="0.3">
      <c r="A262" s="3" t="s">
        <v>188</v>
      </c>
      <c r="B262" s="1">
        <f t="shared" ref="B262:Q262" si="52">SUM(B25,B130,B174,B218)</f>
        <v>2176822.9029583731</v>
      </c>
      <c r="C262" s="1">
        <f t="shared" si="52"/>
        <v>37927.998672117836</v>
      </c>
      <c r="D262" s="1">
        <f t="shared" si="52"/>
        <v>5197552.8384380974</v>
      </c>
      <c r="E262" s="1">
        <f t="shared" si="52"/>
        <v>2330397.9232493727</v>
      </c>
      <c r="F262" s="1">
        <f t="shared" si="52"/>
        <v>8324880.8429803681</v>
      </c>
      <c r="G262" s="1">
        <f t="shared" si="52"/>
        <v>4995199.4164814726</v>
      </c>
      <c r="H262" s="1">
        <f t="shared" si="52"/>
        <v>2814200.7306761155</v>
      </c>
      <c r="I262" s="1">
        <f t="shared" si="52"/>
        <v>2531778.0483841803</v>
      </c>
      <c r="J262" s="1">
        <f t="shared" si="52"/>
        <v>743771.09150006052</v>
      </c>
      <c r="K262" s="1">
        <f t="shared" si="52"/>
        <v>52266.155316681165</v>
      </c>
      <c r="L262" s="1">
        <f t="shared" si="52"/>
        <v>31468.805559956389</v>
      </c>
      <c r="M262" s="1">
        <f t="shared" si="52"/>
        <v>42860.677835892107</v>
      </c>
      <c r="N262" s="1">
        <f t="shared" si="52"/>
        <v>10077.356650510519</v>
      </c>
      <c r="O262" s="1">
        <f t="shared" si="52"/>
        <v>10077.356650510519</v>
      </c>
      <c r="P262" s="1">
        <f t="shared" si="52"/>
        <v>1450.1668648837858</v>
      </c>
      <c r="Q262" s="1">
        <f t="shared" si="52"/>
        <v>479267.6877814047</v>
      </c>
      <c r="R262" s="1">
        <f t="shared" si="45"/>
        <v>29779999.999999989</v>
      </c>
      <c r="S262" s="1">
        <f>R262-'4.2'!D24</f>
        <v>0</v>
      </c>
    </row>
    <row r="263" spans="1:19" x14ac:dyDescent="0.3">
      <c r="A263" s="3" t="s">
        <v>125</v>
      </c>
      <c r="B263" s="1">
        <f t="shared" ref="B263:Q263" si="53">SUM(B26,B131,B175,B219)</f>
        <v>-896824.72116844449</v>
      </c>
      <c r="C263" s="1">
        <f t="shared" si="53"/>
        <v>-15625.87695460758</v>
      </c>
      <c r="D263" s="1">
        <f t="shared" si="53"/>
        <v>-2141328.9380388525</v>
      </c>
      <c r="E263" s="1">
        <f t="shared" si="53"/>
        <v>-960095.77301365184</v>
      </c>
      <c r="F263" s="1">
        <f t="shared" si="53"/>
        <v>-3429750.2707362706</v>
      </c>
      <c r="G263" s="1">
        <f t="shared" si="53"/>
        <v>-2057961.7743724373</v>
      </c>
      <c r="H263" s="1">
        <f t="shared" si="53"/>
        <v>-1159416.6811506131</v>
      </c>
      <c r="I263" s="1">
        <f t="shared" si="53"/>
        <v>-1043061.9501553227</v>
      </c>
      <c r="J263" s="1">
        <f t="shared" si="53"/>
        <v>-306424.69850954477</v>
      </c>
      <c r="K263" s="1">
        <f t="shared" si="53"/>
        <v>-21533.024163208906</v>
      </c>
      <c r="L263" s="1">
        <f t="shared" si="53"/>
        <v>-12964.767475322529</v>
      </c>
      <c r="M263" s="1">
        <f t="shared" si="53"/>
        <v>-17658.081140650109</v>
      </c>
      <c r="N263" s="1">
        <f t="shared" si="53"/>
        <v>-4151.7491183718457</v>
      </c>
      <c r="O263" s="1">
        <f t="shared" si="53"/>
        <v>-4151.7491183718457</v>
      </c>
      <c r="P263" s="1">
        <f t="shared" si="53"/>
        <v>-597.45121777230247</v>
      </c>
      <c r="Q263" s="1">
        <f t="shared" si="53"/>
        <v>-197452.49366655658</v>
      </c>
      <c r="R263" s="1">
        <f t="shared" si="45"/>
        <v>-12268999.999999996</v>
      </c>
      <c r="S263" s="1">
        <f>R263-'4.2'!D25</f>
        <v>0</v>
      </c>
    </row>
    <row r="264" spans="1:19" x14ac:dyDescent="0.3">
      <c r="A264" s="3" t="s">
        <v>190</v>
      </c>
      <c r="B264" s="1">
        <f t="shared" ref="B264:Q264" si="54">SUM(B27,B132,B176,B220)</f>
        <v>0</v>
      </c>
      <c r="C264" s="1">
        <f t="shared" si="54"/>
        <v>0</v>
      </c>
      <c r="D264" s="1">
        <f t="shared" si="54"/>
        <v>0</v>
      </c>
      <c r="E264" s="1">
        <f t="shared" si="54"/>
        <v>0</v>
      </c>
      <c r="F264" s="1">
        <f t="shared" si="54"/>
        <v>0</v>
      </c>
      <c r="G264" s="1">
        <f t="shared" si="54"/>
        <v>0</v>
      </c>
      <c r="H264" s="1">
        <f t="shared" si="54"/>
        <v>0</v>
      </c>
      <c r="I264" s="1">
        <f t="shared" si="54"/>
        <v>0</v>
      </c>
      <c r="J264" s="1">
        <f t="shared" si="54"/>
        <v>0</v>
      </c>
      <c r="K264" s="1">
        <f t="shared" si="54"/>
        <v>0</v>
      </c>
      <c r="L264" s="1">
        <f t="shared" si="54"/>
        <v>0</v>
      </c>
      <c r="M264" s="1">
        <f t="shared" si="54"/>
        <v>0</v>
      </c>
      <c r="N264" s="1">
        <f t="shared" si="54"/>
        <v>0</v>
      </c>
      <c r="O264" s="1">
        <f t="shared" si="54"/>
        <v>0</v>
      </c>
      <c r="P264" s="1">
        <f t="shared" si="54"/>
        <v>0</v>
      </c>
      <c r="Q264" s="1">
        <f t="shared" si="54"/>
        <v>0</v>
      </c>
      <c r="R264" s="1">
        <f t="shared" si="45"/>
        <v>0</v>
      </c>
      <c r="S264" s="1">
        <f>R264-'4.2'!D26</f>
        <v>0</v>
      </c>
    </row>
    <row r="265" spans="1:19" x14ac:dyDescent="0.3">
      <c r="A265" s="3" t="s">
        <v>153</v>
      </c>
      <c r="B265" s="1">
        <f>SUBTOTAL(9,B256:B264)</f>
        <v>-2359288.6583661237</v>
      </c>
      <c r="C265" s="1">
        <f t="shared" ref="C265:R265" si="55">SUBTOTAL(9,C256:C264)</f>
        <v>-3589316.4565452044</v>
      </c>
      <c r="D265" s="1">
        <f t="shared" si="55"/>
        <v>-4893602.4999823179</v>
      </c>
      <c r="E265" s="1">
        <f t="shared" si="55"/>
        <v>-2203715.1816921378</v>
      </c>
      <c r="F265" s="1">
        <f t="shared" si="55"/>
        <v>-8285036.1349596633</v>
      </c>
      <c r="G265" s="1">
        <f t="shared" si="55"/>
        <v>-4758760.9987907959</v>
      </c>
      <c r="H265" s="1">
        <f t="shared" si="55"/>
        <v>-2773893.9662547912</v>
      </c>
      <c r="I265" s="1">
        <f t="shared" si="55"/>
        <v>-2588552.9213082194</v>
      </c>
      <c r="J265" s="1">
        <f t="shared" si="55"/>
        <v>-726140.16782609979</v>
      </c>
      <c r="K265" s="1">
        <f t="shared" si="55"/>
        <v>96824.257617487296</v>
      </c>
      <c r="L265" s="1">
        <f t="shared" si="55"/>
        <v>12364.879616223134</v>
      </c>
      <c r="M265" s="1">
        <f t="shared" si="55"/>
        <v>-39374.276549315087</v>
      </c>
      <c r="N265" s="1">
        <f t="shared" si="55"/>
        <v>-5697.0649407458068</v>
      </c>
      <c r="O265" s="1">
        <f t="shared" si="55"/>
        <v>-5697.0649407458068</v>
      </c>
      <c r="P265" s="1">
        <f t="shared" si="55"/>
        <v>3165.3591667724295</v>
      </c>
      <c r="Q265" s="1">
        <f t="shared" si="55"/>
        <v>-486779.10424432228</v>
      </c>
      <c r="R265" s="1">
        <f t="shared" si="55"/>
        <v>-32603500.000000007</v>
      </c>
      <c r="S265" s="1">
        <f>R265-'4.2'!D27</f>
        <v>0</v>
      </c>
    </row>
    <row r="266" spans="1:19" x14ac:dyDescent="0.3">
      <c r="A266" s="2" t="s">
        <v>132</v>
      </c>
      <c r="B266" s="1">
        <f t="shared" ref="B266:Q266" si="56">SUM(B29,B134,B178,B222)</f>
        <v>108950.79035794006</v>
      </c>
      <c r="C266" s="1">
        <f t="shared" si="56"/>
        <v>1898.3103432099274</v>
      </c>
      <c r="D266" s="1">
        <f t="shared" si="56"/>
        <v>260139.43941208813</v>
      </c>
      <c r="E266" s="1">
        <f t="shared" si="56"/>
        <v>116637.27685034217</v>
      </c>
      <c r="F266" s="1">
        <f t="shared" si="56"/>
        <v>416663.36119752313</v>
      </c>
      <c r="G266" s="1">
        <f t="shared" si="56"/>
        <v>250011.57589877886</v>
      </c>
      <c r="H266" s="1">
        <f t="shared" si="56"/>
        <v>140851.78606691569</v>
      </c>
      <c r="I266" s="1">
        <f t="shared" si="56"/>
        <v>126716.42649820755</v>
      </c>
      <c r="J266" s="1">
        <f t="shared" si="56"/>
        <v>37226.017860337146</v>
      </c>
      <c r="K266" s="1">
        <f t="shared" si="56"/>
        <v>2615.940379432951</v>
      </c>
      <c r="L266" s="1">
        <f t="shared" si="56"/>
        <v>1575.0253420790798</v>
      </c>
      <c r="M266" s="1">
        <f t="shared" si="56"/>
        <v>2145.192757367266</v>
      </c>
      <c r="N266" s="1">
        <f t="shared" si="56"/>
        <v>504.37542268589419</v>
      </c>
      <c r="O266" s="1">
        <f t="shared" si="56"/>
        <v>504.37542268589419</v>
      </c>
      <c r="P266" s="1">
        <f t="shared" si="56"/>
        <v>72.581387243427898</v>
      </c>
      <c r="Q266" s="1">
        <f t="shared" si="56"/>
        <v>23987.524803162651</v>
      </c>
      <c r="R266" s="1">
        <f>SUM(B266:Q266)</f>
        <v>1490499.9999999995</v>
      </c>
      <c r="S266" s="1">
        <f>R266-'4.2'!D28</f>
        <v>0</v>
      </c>
    </row>
    <row r="267" spans="1:19" x14ac:dyDescent="0.3">
      <c r="A267" s="2" t="s">
        <v>145</v>
      </c>
      <c r="B267" s="1">
        <f t="shared" ref="B267:Q267" si="57">SUM(B30,B135,B179,B223)</f>
        <v>0</v>
      </c>
      <c r="C267" s="1">
        <f t="shared" si="57"/>
        <v>0</v>
      </c>
      <c r="D267" s="1">
        <f t="shared" si="57"/>
        <v>0</v>
      </c>
      <c r="E267" s="1">
        <f t="shared" si="57"/>
        <v>0</v>
      </c>
      <c r="F267" s="1">
        <f t="shared" si="57"/>
        <v>0</v>
      </c>
      <c r="G267" s="1">
        <f t="shared" si="57"/>
        <v>0</v>
      </c>
      <c r="H267" s="1">
        <f t="shared" si="57"/>
        <v>0</v>
      </c>
      <c r="I267" s="1">
        <f t="shared" si="57"/>
        <v>0</v>
      </c>
      <c r="J267" s="1">
        <f t="shared" si="57"/>
        <v>0</v>
      </c>
      <c r="K267" s="1">
        <f t="shared" si="57"/>
        <v>0</v>
      </c>
      <c r="L267" s="1">
        <f t="shared" si="57"/>
        <v>0</v>
      </c>
      <c r="M267" s="1">
        <f t="shared" si="57"/>
        <v>0</v>
      </c>
      <c r="N267" s="1">
        <f t="shared" si="57"/>
        <v>0</v>
      </c>
      <c r="O267" s="1">
        <f t="shared" si="57"/>
        <v>0</v>
      </c>
      <c r="P267" s="1">
        <f t="shared" si="57"/>
        <v>0</v>
      </c>
      <c r="Q267" s="1">
        <f t="shared" si="57"/>
        <v>0</v>
      </c>
      <c r="R267" s="1">
        <f>SUM(B267:Q267)</f>
        <v>0</v>
      </c>
      <c r="S267" s="1">
        <f>R267-'4.2'!D29</f>
        <v>0</v>
      </c>
    </row>
    <row r="268" spans="1:19" x14ac:dyDescent="0.3">
      <c r="A268" s="2" t="s">
        <v>146</v>
      </c>
      <c r="B268" s="1">
        <f t="shared" ref="B268:Q268" si="58">SUM(B31,B136,B180,B224)</f>
        <v>0</v>
      </c>
      <c r="C268" s="1">
        <f t="shared" si="58"/>
        <v>11670500</v>
      </c>
      <c r="D268" s="1">
        <f t="shared" si="58"/>
        <v>0</v>
      </c>
      <c r="E268" s="1">
        <f t="shared" si="58"/>
        <v>0</v>
      </c>
      <c r="F268" s="1">
        <f t="shared" si="58"/>
        <v>0</v>
      </c>
      <c r="G268" s="1">
        <f t="shared" si="58"/>
        <v>0</v>
      </c>
      <c r="H268" s="1">
        <f t="shared" si="58"/>
        <v>0</v>
      </c>
      <c r="I268" s="1">
        <f t="shared" si="58"/>
        <v>0</v>
      </c>
      <c r="J268" s="1">
        <f t="shared" si="58"/>
        <v>0</v>
      </c>
      <c r="K268" s="1">
        <f t="shared" si="58"/>
        <v>0</v>
      </c>
      <c r="L268" s="1">
        <f t="shared" si="58"/>
        <v>0</v>
      </c>
      <c r="M268" s="1">
        <f t="shared" si="58"/>
        <v>0</v>
      </c>
      <c r="N268" s="1">
        <f t="shared" si="58"/>
        <v>0</v>
      </c>
      <c r="O268" s="1">
        <f t="shared" si="58"/>
        <v>0</v>
      </c>
      <c r="P268" s="1">
        <f t="shared" si="58"/>
        <v>0</v>
      </c>
      <c r="Q268" s="1">
        <f t="shared" si="58"/>
        <v>0</v>
      </c>
      <c r="R268" s="1">
        <f>SUM(B268:Q268)</f>
        <v>11670500</v>
      </c>
      <c r="S268" s="1">
        <f>R268-'4.2'!D30</f>
        <v>0</v>
      </c>
    </row>
    <row r="269" spans="1:19" x14ac:dyDescent="0.3">
      <c r="A269" s="2" t="s">
        <v>133</v>
      </c>
      <c r="B269" s="1">
        <f t="shared" ref="B269:Q269" si="59">SUM(B32,B137,B181,B225)</f>
        <v>-647271.76250831224</v>
      </c>
      <c r="C269" s="1">
        <f t="shared" si="59"/>
        <v>-183671.16574956095</v>
      </c>
      <c r="D269" s="1">
        <f t="shared" si="59"/>
        <v>-1210080.2303552104</v>
      </c>
      <c r="E269" s="1">
        <f t="shared" si="59"/>
        <v>-516497.11831174383</v>
      </c>
      <c r="F269" s="1">
        <f t="shared" si="59"/>
        <v>-724511.497472613</v>
      </c>
      <c r="G269" s="1">
        <f t="shared" si="59"/>
        <v>-1011791.2673934359</v>
      </c>
      <c r="H269" s="1">
        <f t="shared" si="59"/>
        <v>-317787.5884920379</v>
      </c>
      <c r="I269" s="1">
        <f t="shared" si="59"/>
        <v>-33283.276318450109</v>
      </c>
      <c r="J269" s="1">
        <f t="shared" si="59"/>
        <v>-102935.81771890447</v>
      </c>
      <c r="K269" s="1">
        <f t="shared" si="59"/>
        <v>-408678.73893371545</v>
      </c>
      <c r="L269" s="1">
        <f t="shared" si="59"/>
        <v>-121346.68513616649</v>
      </c>
      <c r="M269" s="1">
        <f t="shared" si="59"/>
        <v>-12639.406246780774</v>
      </c>
      <c r="N269" s="1">
        <f t="shared" si="59"/>
        <v>-12639.406246780774</v>
      </c>
      <c r="O269" s="1">
        <f t="shared" si="59"/>
        <v>-12639.406246780774</v>
      </c>
      <c r="P269" s="1">
        <f t="shared" si="59"/>
        <v>-12639.406246780774</v>
      </c>
      <c r="Q269" s="1">
        <f t="shared" si="59"/>
        <v>-15087.226622726248</v>
      </c>
      <c r="R269" s="1">
        <f>SUM(B269:Q269)</f>
        <v>-5343499.9999999981</v>
      </c>
      <c r="S269" s="1">
        <f>R269-'4.2'!D31</f>
        <v>0</v>
      </c>
    </row>
    <row r="270" spans="1:19" x14ac:dyDescent="0.3">
      <c r="A270" s="2" t="s">
        <v>731</v>
      </c>
      <c r="B270" s="1">
        <f t="shared" ref="B270:Q270" si="60">SUM(B33,B138,B182,B226)</f>
        <v>260114.98657412257</v>
      </c>
      <c r="C270" s="1">
        <f t="shared" si="60"/>
        <v>4532.128383973517</v>
      </c>
      <c r="D270" s="1">
        <f t="shared" si="60"/>
        <v>621070.91254472709</v>
      </c>
      <c r="E270" s="1">
        <f t="shared" si="60"/>
        <v>278466.11853199772</v>
      </c>
      <c r="F270" s="1">
        <f t="shared" si="60"/>
        <v>994764.55606936337</v>
      </c>
      <c r="G270" s="1">
        <f t="shared" si="60"/>
        <v>596891.10555907723</v>
      </c>
      <c r="H270" s="1">
        <f t="shared" si="60"/>
        <v>336277.1423811604</v>
      </c>
      <c r="I270" s="1">
        <f t="shared" si="60"/>
        <v>302529.62341084977</v>
      </c>
      <c r="J270" s="1">
        <f t="shared" si="60"/>
        <v>88875.400574310464</v>
      </c>
      <c r="K270" s="1">
        <f t="shared" si="60"/>
        <v>6245.4369944395539</v>
      </c>
      <c r="L270" s="1">
        <f t="shared" si="60"/>
        <v>3760.3003554434122</v>
      </c>
      <c r="M270" s="1">
        <f t="shared" si="60"/>
        <v>5121.5487602089343</v>
      </c>
      <c r="N270" s="1">
        <f t="shared" si="60"/>
        <v>1204.1730571135556</v>
      </c>
      <c r="O270" s="1">
        <f t="shared" si="60"/>
        <v>1204.1730571135556</v>
      </c>
      <c r="P270" s="1">
        <f t="shared" si="60"/>
        <v>173.284714193719</v>
      </c>
      <c r="Q270" s="1">
        <f t="shared" si="60"/>
        <v>57269.109031904925</v>
      </c>
      <c r="R270" s="1">
        <f t="shared" ref="R270:R271" si="61">SUM(B270:Q270)</f>
        <v>3558500</v>
      </c>
      <c r="S270" s="1">
        <f>R270-'4.2'!D32</f>
        <v>0</v>
      </c>
    </row>
    <row r="271" spans="1:19" x14ac:dyDescent="0.3">
      <c r="A271" s="2" t="s">
        <v>730</v>
      </c>
      <c r="B271" s="1">
        <f t="shared" ref="B271:Q271" si="62">SUM(B34,B139,B183,B227)</f>
        <v>9605000</v>
      </c>
      <c r="C271" s="1">
        <f t="shared" si="62"/>
        <v>0</v>
      </c>
      <c r="D271" s="1">
        <f t="shared" si="62"/>
        <v>0</v>
      </c>
      <c r="E271" s="1">
        <f t="shared" si="62"/>
        <v>0</v>
      </c>
      <c r="F271" s="1">
        <f t="shared" si="62"/>
        <v>0</v>
      </c>
      <c r="G271" s="1">
        <f t="shared" si="62"/>
        <v>0</v>
      </c>
      <c r="H271" s="1">
        <f t="shared" si="62"/>
        <v>0</v>
      </c>
      <c r="I271" s="1">
        <f t="shared" si="62"/>
        <v>0</v>
      </c>
      <c r="J271" s="1">
        <f t="shared" si="62"/>
        <v>0</v>
      </c>
      <c r="K271" s="1">
        <f t="shared" si="62"/>
        <v>0</v>
      </c>
      <c r="L271" s="1">
        <f t="shared" si="62"/>
        <v>0</v>
      </c>
      <c r="M271" s="1">
        <f t="shared" si="62"/>
        <v>0</v>
      </c>
      <c r="N271" s="1">
        <f t="shared" si="62"/>
        <v>0</v>
      </c>
      <c r="O271" s="1">
        <f t="shared" si="62"/>
        <v>0</v>
      </c>
      <c r="P271" s="1">
        <f t="shared" si="62"/>
        <v>0</v>
      </c>
      <c r="Q271" s="1">
        <f t="shared" si="62"/>
        <v>0</v>
      </c>
      <c r="R271" s="1">
        <f t="shared" si="61"/>
        <v>9605000</v>
      </c>
      <c r="S271" s="1">
        <f>R271-'4.2'!D33</f>
        <v>0</v>
      </c>
    </row>
    <row r="272" spans="1:19" x14ac:dyDescent="0.3">
      <c r="A272" s="2" t="s">
        <v>134</v>
      </c>
      <c r="B272" s="1">
        <f t="shared" ref="B272:Q272" si="63">SUM(B33,B140,B184,B228)</f>
        <v>74522.194411217642</v>
      </c>
      <c r="C272" s="1">
        <f t="shared" si="63"/>
        <v>1298.441727542785</v>
      </c>
      <c r="D272" s="1">
        <f t="shared" si="63"/>
        <v>177935.02749454803</v>
      </c>
      <c r="E272" s="1">
        <f t="shared" si="63"/>
        <v>79779.740858050209</v>
      </c>
      <c r="F272" s="1">
        <f t="shared" si="63"/>
        <v>284997.17996704113</v>
      </c>
      <c r="G272" s="1">
        <f t="shared" si="63"/>
        <v>171007.58244133179</v>
      </c>
      <c r="H272" s="1">
        <f t="shared" si="63"/>
        <v>96342.432670392867</v>
      </c>
      <c r="I272" s="1">
        <f t="shared" si="63"/>
        <v>86673.865692668638</v>
      </c>
      <c r="J272" s="1">
        <f t="shared" si="63"/>
        <v>25462.546265423498</v>
      </c>
      <c r="K272" s="1">
        <f t="shared" si="63"/>
        <v>1789.2997093806732</v>
      </c>
      <c r="L272" s="1">
        <f t="shared" si="63"/>
        <v>1077.3152205633157</v>
      </c>
      <c r="M272" s="1">
        <f t="shared" si="63"/>
        <v>1467.3089675517797</v>
      </c>
      <c r="N272" s="1">
        <f t="shared" si="63"/>
        <v>344.99211233027114</v>
      </c>
      <c r="O272" s="1">
        <f t="shared" si="63"/>
        <v>344.99211233027114</v>
      </c>
      <c r="P272" s="1">
        <f t="shared" si="63"/>
        <v>49.645571482505694</v>
      </c>
      <c r="Q272" s="1">
        <f t="shared" si="63"/>
        <v>16407.434778144463</v>
      </c>
      <c r="R272" s="1">
        <f>SUM(B272:Q272)</f>
        <v>1019500</v>
      </c>
      <c r="S272" s="1">
        <f>R272-'4.2'!D34</f>
        <v>0</v>
      </c>
    </row>
    <row r="273" spans="1:19" x14ac:dyDescent="0.3">
      <c r="A273" s="2" t="s">
        <v>186</v>
      </c>
      <c r="S273" s="1">
        <f>R273-'4.2'!D35</f>
        <v>0</v>
      </c>
    </row>
    <row r="274" spans="1:19" x14ac:dyDescent="0.3">
      <c r="A274" s="3" t="s">
        <v>238</v>
      </c>
      <c r="B274" s="1">
        <f t="shared" ref="B274:Q274" si="64">SUM(B37,B142,B186,B230)</f>
        <v>0</v>
      </c>
      <c r="C274" s="1">
        <f t="shared" si="64"/>
        <v>0</v>
      </c>
      <c r="D274" s="1">
        <f t="shared" si="64"/>
        <v>2801161</v>
      </c>
      <c r="E274" s="1">
        <f t="shared" si="64"/>
        <v>0</v>
      </c>
      <c r="F274" s="1">
        <f t="shared" si="64"/>
        <v>101306.39237457504</v>
      </c>
      <c r="G274" s="1">
        <f t="shared" si="64"/>
        <v>62930.810167233314</v>
      </c>
      <c r="H274" s="1">
        <f t="shared" si="64"/>
        <v>33768.797458191671</v>
      </c>
      <c r="I274" s="1">
        <f t="shared" si="64"/>
        <v>0</v>
      </c>
      <c r="J274" s="1">
        <f t="shared" si="64"/>
        <v>0</v>
      </c>
      <c r="K274" s="1">
        <f t="shared" si="64"/>
        <v>0</v>
      </c>
      <c r="L274" s="1">
        <f t="shared" si="64"/>
        <v>0</v>
      </c>
      <c r="M274" s="1">
        <f t="shared" si="64"/>
        <v>0</v>
      </c>
      <c r="N274" s="1">
        <f t="shared" si="64"/>
        <v>0</v>
      </c>
      <c r="O274" s="1">
        <f t="shared" si="64"/>
        <v>0</v>
      </c>
      <c r="P274" s="1">
        <f t="shared" si="64"/>
        <v>0</v>
      </c>
      <c r="Q274" s="1">
        <f t="shared" si="64"/>
        <v>0</v>
      </c>
      <c r="R274" s="1">
        <f>SUM(B274:Q274)</f>
        <v>2999167.0000000005</v>
      </c>
      <c r="S274" s="1">
        <f>R274-'4.2'!D36</f>
        <v>0</v>
      </c>
    </row>
    <row r="275" spans="1:19" x14ac:dyDescent="0.3">
      <c r="A275" s="3" t="s">
        <v>239</v>
      </c>
      <c r="B275" s="1">
        <f t="shared" ref="B275:Q275" si="65">SUM(B38,B143,B187,B231)</f>
        <v>123737.01743688658</v>
      </c>
      <c r="C275" s="1">
        <f t="shared" si="65"/>
        <v>35111.870400363485</v>
      </c>
      <c r="D275" s="1">
        <f t="shared" si="65"/>
        <v>231327.43808142186</v>
      </c>
      <c r="E275" s="1">
        <f t="shared" si="65"/>
        <v>98737.217713589329</v>
      </c>
      <c r="F275" s="1">
        <f t="shared" si="65"/>
        <v>138502.70780944545</v>
      </c>
      <c r="G275" s="1">
        <f t="shared" si="65"/>
        <v>193421.12687071436</v>
      </c>
      <c r="H275" s="1">
        <f t="shared" si="65"/>
        <v>60750.507987686949</v>
      </c>
      <c r="I275" s="1">
        <f t="shared" si="65"/>
        <v>6362.6649279635258</v>
      </c>
      <c r="J275" s="1">
        <f t="shared" si="65"/>
        <v>19677.934076107162</v>
      </c>
      <c r="K275" s="1">
        <f t="shared" si="65"/>
        <v>78125.898848980869</v>
      </c>
      <c r="L275" s="1">
        <f t="shared" si="65"/>
        <v>23197.484834524039</v>
      </c>
      <c r="M275" s="1">
        <f t="shared" si="65"/>
        <v>2416.2376944872854</v>
      </c>
      <c r="N275" s="1">
        <f t="shared" si="65"/>
        <v>2416.2376944872854</v>
      </c>
      <c r="O275" s="1">
        <f t="shared" si="65"/>
        <v>2416.2376944872854</v>
      </c>
      <c r="P275" s="1">
        <f t="shared" si="65"/>
        <v>2416.2376944872854</v>
      </c>
      <c r="Q275" s="1">
        <f t="shared" si="65"/>
        <v>2884.1802343672657</v>
      </c>
      <c r="R275" s="1">
        <f>SUM(B275:Q275)</f>
        <v>1021501</v>
      </c>
      <c r="S275" s="1">
        <f>R275-'4.2'!D37</f>
        <v>0</v>
      </c>
    </row>
    <row r="276" spans="1:19" x14ac:dyDescent="0.3">
      <c r="A276" s="3" t="s">
        <v>187</v>
      </c>
      <c r="B276" s="1">
        <f t="shared" ref="B276:R276" si="66">SUBTOTAL(9,B274:B275)</f>
        <v>123737.01743688658</v>
      </c>
      <c r="C276" s="1">
        <f t="shared" si="66"/>
        <v>35111.870400363485</v>
      </c>
      <c r="D276" s="1">
        <f t="shared" si="66"/>
        <v>3032488.4380814219</v>
      </c>
      <c r="E276" s="1">
        <f t="shared" si="66"/>
        <v>98737.217713589329</v>
      </c>
      <c r="F276" s="1">
        <f t="shared" si="66"/>
        <v>239809.10018402047</v>
      </c>
      <c r="G276" s="1">
        <f t="shared" si="66"/>
        <v>256351.93703794767</v>
      </c>
      <c r="H276" s="1">
        <f t="shared" si="66"/>
        <v>94519.305445878621</v>
      </c>
      <c r="I276" s="1">
        <f t="shared" si="66"/>
        <v>6362.6649279635258</v>
      </c>
      <c r="J276" s="1">
        <f t="shared" si="66"/>
        <v>19677.934076107162</v>
      </c>
      <c r="K276" s="1">
        <f t="shared" si="66"/>
        <v>78125.898848980869</v>
      </c>
      <c r="L276" s="1">
        <f t="shared" si="66"/>
        <v>23197.484834524039</v>
      </c>
      <c r="M276" s="1">
        <f t="shared" si="66"/>
        <v>2416.2376944872854</v>
      </c>
      <c r="N276" s="1">
        <f t="shared" si="66"/>
        <v>2416.2376944872854</v>
      </c>
      <c r="O276" s="1">
        <f t="shared" si="66"/>
        <v>2416.2376944872854</v>
      </c>
      <c r="P276" s="1">
        <f t="shared" si="66"/>
        <v>2416.2376944872854</v>
      </c>
      <c r="Q276" s="1">
        <f t="shared" si="66"/>
        <v>2884.1802343672657</v>
      </c>
      <c r="R276" s="1">
        <f t="shared" si="66"/>
        <v>4020668.0000000005</v>
      </c>
      <c r="S276" s="1">
        <f>R276-'4.2'!D38</f>
        <v>0</v>
      </c>
    </row>
    <row r="277" spans="1:19" x14ac:dyDescent="0.3">
      <c r="A277" s="2" t="s">
        <v>135</v>
      </c>
      <c r="B277" s="1">
        <f t="shared" ref="B277:Q277" si="67">SUM(B40,B145,B189,B233)</f>
        <v>1165500</v>
      </c>
      <c r="C277" s="1">
        <f t="shared" si="67"/>
        <v>0</v>
      </c>
      <c r="D277" s="1">
        <f t="shared" si="67"/>
        <v>0</v>
      </c>
      <c r="E277" s="1">
        <f t="shared" si="67"/>
        <v>0</v>
      </c>
      <c r="F277" s="1">
        <f t="shared" si="67"/>
        <v>0</v>
      </c>
      <c r="G277" s="1">
        <f t="shared" si="67"/>
        <v>0</v>
      </c>
      <c r="H277" s="1">
        <f t="shared" si="67"/>
        <v>0</v>
      </c>
      <c r="I277" s="1">
        <f t="shared" si="67"/>
        <v>0</v>
      </c>
      <c r="J277" s="1">
        <f t="shared" si="67"/>
        <v>0</v>
      </c>
      <c r="K277" s="1">
        <f t="shared" si="67"/>
        <v>0</v>
      </c>
      <c r="L277" s="1">
        <f t="shared" si="67"/>
        <v>0</v>
      </c>
      <c r="M277" s="1">
        <f t="shared" si="67"/>
        <v>0</v>
      </c>
      <c r="N277" s="1">
        <f t="shared" si="67"/>
        <v>0</v>
      </c>
      <c r="O277" s="1">
        <f t="shared" si="67"/>
        <v>0</v>
      </c>
      <c r="P277" s="1">
        <f t="shared" si="67"/>
        <v>0</v>
      </c>
      <c r="Q277" s="1">
        <f t="shared" si="67"/>
        <v>0</v>
      </c>
      <c r="R277" s="1">
        <f>SUM(B277:Q277)</f>
        <v>1165500</v>
      </c>
      <c r="S277" s="1">
        <f>R277-'4.2'!D39</f>
        <v>0</v>
      </c>
    </row>
    <row r="278" spans="1:19" x14ac:dyDescent="0.3">
      <c r="A278" s="2" t="s">
        <v>136</v>
      </c>
      <c r="R278" s="1">
        <f>SUM(B278:Q278)</f>
        <v>0</v>
      </c>
      <c r="S278" s="1">
        <f>R278-'4.2'!D40</f>
        <v>0</v>
      </c>
    </row>
    <row r="279" spans="1:19" x14ac:dyDescent="0.3">
      <c r="A279" s="3" t="s">
        <v>177</v>
      </c>
      <c r="B279" s="1">
        <f t="shared" ref="B279:Q279" si="68">SUM(B42,B147,B191,B235)</f>
        <v>0</v>
      </c>
      <c r="C279" s="1">
        <f t="shared" si="68"/>
        <v>0</v>
      </c>
      <c r="D279" s="1">
        <f t="shared" si="68"/>
        <v>0</v>
      </c>
      <c r="E279" s="1">
        <f t="shared" si="68"/>
        <v>0</v>
      </c>
      <c r="F279" s="1">
        <f t="shared" si="68"/>
        <v>1539729.7143945529</v>
      </c>
      <c r="G279" s="1">
        <f t="shared" si="68"/>
        <v>0</v>
      </c>
      <c r="H279" s="1">
        <f t="shared" si="68"/>
        <v>513243.2381315176</v>
      </c>
      <c r="I279" s="1">
        <f t="shared" si="68"/>
        <v>780482.35481029935</v>
      </c>
      <c r="J279" s="1">
        <f t="shared" si="68"/>
        <v>0</v>
      </c>
      <c r="K279" s="1">
        <f t="shared" si="68"/>
        <v>0</v>
      </c>
      <c r="L279" s="1">
        <f t="shared" si="68"/>
        <v>0</v>
      </c>
      <c r="M279" s="1">
        <f t="shared" si="68"/>
        <v>0</v>
      </c>
      <c r="N279" s="1">
        <f t="shared" si="68"/>
        <v>0</v>
      </c>
      <c r="O279" s="1">
        <f t="shared" si="68"/>
        <v>0</v>
      </c>
      <c r="P279" s="1">
        <f t="shared" si="68"/>
        <v>0</v>
      </c>
      <c r="Q279" s="1">
        <f t="shared" si="68"/>
        <v>92544.69266363034</v>
      </c>
      <c r="R279" s="1">
        <f>SUM(B279:Q279)</f>
        <v>2926000</v>
      </c>
      <c r="S279" s="1">
        <f>R279-'4.2'!D41</f>
        <v>0</v>
      </c>
    </row>
    <row r="280" spans="1:19" x14ac:dyDescent="0.3">
      <c r="A280" s="3" t="s">
        <v>241</v>
      </c>
      <c r="B280" s="1">
        <f t="shared" ref="B280:Q280" si="69">SUM(B43,B148,B192,B236)</f>
        <v>110884.45363351287</v>
      </c>
      <c r="C280" s="1">
        <f t="shared" si="69"/>
        <v>5499575.0378819704</v>
      </c>
      <c r="D280" s="1">
        <f t="shared" si="69"/>
        <v>471046.53791396966</v>
      </c>
      <c r="E280" s="1">
        <f t="shared" si="69"/>
        <v>104777.18714458784</v>
      </c>
      <c r="F280" s="1">
        <f t="shared" si="69"/>
        <v>239405.61777014076</v>
      </c>
      <c r="G280" s="1">
        <f t="shared" si="69"/>
        <v>183229.57892389482</v>
      </c>
      <c r="H280" s="1">
        <f t="shared" si="69"/>
        <v>88248.423518489188</v>
      </c>
      <c r="I280" s="1">
        <f t="shared" si="69"/>
        <v>33247.926597912054</v>
      </c>
      <c r="J280" s="1">
        <f t="shared" si="69"/>
        <v>15854.261385337146</v>
      </c>
      <c r="K280" s="1">
        <f t="shared" si="69"/>
        <v>47747.481359866833</v>
      </c>
      <c r="L280" s="1">
        <f t="shared" si="69"/>
        <v>38892.493636694991</v>
      </c>
      <c r="M280" s="1">
        <f t="shared" si="69"/>
        <v>29380.633966306188</v>
      </c>
      <c r="N280" s="1">
        <f t="shared" si="69"/>
        <v>15816.045782714069</v>
      </c>
      <c r="O280" s="1">
        <f t="shared" si="69"/>
        <v>6259.9127800794367</v>
      </c>
      <c r="P280" s="1">
        <f t="shared" si="69"/>
        <v>633.60309470905474</v>
      </c>
      <c r="Q280" s="1">
        <f t="shared" si="69"/>
        <v>4500.8046098153727</v>
      </c>
      <c r="R280" s="1">
        <f>SUM(B280:Q280)</f>
        <v>6889500.0000000009</v>
      </c>
      <c r="S280" s="1">
        <f>R280-'4.2'!D42</f>
        <v>0</v>
      </c>
    </row>
    <row r="281" spans="1:19" x14ac:dyDescent="0.3">
      <c r="A281" s="3" t="s">
        <v>242</v>
      </c>
      <c r="B281" s="1">
        <f t="shared" ref="B281:Q281" si="70">SUM(B44,B149,B193,B237)</f>
        <v>8106.1253607594399</v>
      </c>
      <c r="C281" s="1">
        <f t="shared" si="70"/>
        <v>1571.9438419714609</v>
      </c>
      <c r="D281" s="1">
        <f t="shared" si="70"/>
        <v>14812.996175040042</v>
      </c>
      <c r="E281" s="1">
        <f t="shared" si="70"/>
        <v>6644.6551167731941</v>
      </c>
      <c r="F281" s="1">
        <f t="shared" si="70"/>
        <v>24150.971047365096</v>
      </c>
      <c r="G281" s="1">
        <f t="shared" si="70"/>
        <v>14253.892119563932</v>
      </c>
      <c r="H281" s="1">
        <f t="shared" si="70"/>
        <v>8154.3405139808037</v>
      </c>
      <c r="I281" s="1">
        <f t="shared" si="70"/>
        <v>7424.1638494589979</v>
      </c>
      <c r="J281" s="1">
        <f t="shared" si="70"/>
        <v>2127.920133692975</v>
      </c>
      <c r="K281" s="1">
        <f t="shared" si="70"/>
        <v>102.79138676084081</v>
      </c>
      <c r="L281" s="1">
        <f t="shared" si="70"/>
        <v>76.410209412161009</v>
      </c>
      <c r="M281" s="1">
        <f t="shared" si="70"/>
        <v>121.84289625882774</v>
      </c>
      <c r="N281" s="1">
        <f t="shared" si="70"/>
        <v>27.521939094182834</v>
      </c>
      <c r="O281" s="1">
        <f t="shared" si="70"/>
        <v>27.521939094182834</v>
      </c>
      <c r="P281" s="1">
        <f t="shared" si="70"/>
        <v>2.700634577171011</v>
      </c>
      <c r="Q281" s="1">
        <f t="shared" si="70"/>
        <v>1394.2028361966863</v>
      </c>
      <c r="R281" s="1">
        <f>SUM(B281:Q281)</f>
        <v>88999.999999999971</v>
      </c>
      <c r="S281" s="1">
        <f>R281-'4.2'!D43</f>
        <v>0</v>
      </c>
    </row>
    <row r="282" spans="1:19" x14ac:dyDescent="0.3">
      <c r="A282" s="3" t="s">
        <v>178</v>
      </c>
      <c r="B282" s="1">
        <f>SUBTOTAL(9,B279:B281)</f>
        <v>118990.57899427231</v>
      </c>
      <c r="C282" s="1">
        <f t="shared" ref="C282:R282" si="71">SUBTOTAL(9,C279:C281)</f>
        <v>5501146.9817239419</v>
      </c>
      <c r="D282" s="1">
        <f t="shared" si="71"/>
        <v>485859.53408900968</v>
      </c>
      <c r="E282" s="1">
        <f t="shared" si="71"/>
        <v>111421.84226136103</v>
      </c>
      <c r="F282" s="1">
        <f t="shared" si="71"/>
        <v>1803286.3032120587</v>
      </c>
      <c r="G282" s="1">
        <f t="shared" si="71"/>
        <v>197483.47104345876</v>
      </c>
      <c r="H282" s="1">
        <f t="shared" si="71"/>
        <v>609646.00216398761</v>
      </c>
      <c r="I282" s="1">
        <f t="shared" si="71"/>
        <v>821154.44525767048</v>
      </c>
      <c r="J282" s="1">
        <f t="shared" si="71"/>
        <v>17982.18151903012</v>
      </c>
      <c r="K282" s="1">
        <f t="shared" si="71"/>
        <v>47850.272746627677</v>
      </c>
      <c r="L282" s="1">
        <f t="shared" si="71"/>
        <v>38968.903846107154</v>
      </c>
      <c r="M282" s="1">
        <f t="shared" si="71"/>
        <v>29502.476862565014</v>
      </c>
      <c r="N282" s="1">
        <f t="shared" si="71"/>
        <v>15843.567721808251</v>
      </c>
      <c r="O282" s="1">
        <f t="shared" si="71"/>
        <v>6287.4347191736197</v>
      </c>
      <c r="P282" s="1">
        <f t="shared" si="71"/>
        <v>636.3037292862258</v>
      </c>
      <c r="Q282" s="1">
        <f t="shared" si="71"/>
        <v>98439.700109642392</v>
      </c>
      <c r="R282" s="1">
        <f t="shared" si="71"/>
        <v>9904500</v>
      </c>
      <c r="S282" s="1">
        <f>R282-'4.2'!D44</f>
        <v>0</v>
      </c>
    </row>
    <row r="283" spans="1:19" x14ac:dyDescent="0.3">
      <c r="A283" s="2" t="s">
        <v>214</v>
      </c>
      <c r="B283" s="1">
        <f t="shared" ref="B283:Q283" si="72">SUBTOTAL(9,B243:B282)</f>
        <v>44098433.152041823</v>
      </c>
      <c r="C283" s="1">
        <f t="shared" si="72"/>
        <v>14029662.252497241</v>
      </c>
      <c r="D283" s="1">
        <f t="shared" si="72"/>
        <v>80853147.926716626</v>
      </c>
      <c r="E283" s="1">
        <f t="shared" si="72"/>
        <v>36161719.008953005</v>
      </c>
      <c r="F283" s="1">
        <f t="shared" si="72"/>
        <v>131293635.3244143</v>
      </c>
      <c r="G283" s="1">
        <f t="shared" si="72"/>
        <v>77531376.300952375</v>
      </c>
      <c r="H283" s="1">
        <f t="shared" si="72"/>
        <v>44337434.62516512</v>
      </c>
      <c r="I283" s="1">
        <f t="shared" si="72"/>
        <v>40320161.135949597</v>
      </c>
      <c r="J283" s="1">
        <f t="shared" si="72"/>
        <v>11562923.464170767</v>
      </c>
      <c r="K283" s="1">
        <f t="shared" si="72"/>
        <v>605540.62292754173</v>
      </c>
      <c r="L283" s="1">
        <f t="shared" si="72"/>
        <v>453529.28470380459</v>
      </c>
      <c r="M283" s="1">
        <f t="shared" si="72"/>
        <v>690555.99139233225</v>
      </c>
      <c r="N283" s="1">
        <f t="shared" si="72"/>
        <v>165162.6919671465</v>
      </c>
      <c r="O283" s="1">
        <f t="shared" si="72"/>
        <v>155606.55896451187</v>
      </c>
      <c r="P283" s="1">
        <f t="shared" si="72"/>
        <v>15288.483162932636</v>
      </c>
      <c r="Q283" s="1">
        <f t="shared" si="72"/>
        <v>7570083.9190208586</v>
      </c>
      <c r="R283" s="1">
        <f>SUBTOTAL(9,R243:R282)</f>
        <v>489844260.74300003</v>
      </c>
      <c r="S283" s="1">
        <f>R283-'4.2'!D45</f>
        <v>0</v>
      </c>
    </row>
    <row r="285" spans="1:19" x14ac:dyDescent="0.3">
      <c r="A285" s="1" t="s">
        <v>230</v>
      </c>
    </row>
    <row r="286" spans="1:19" x14ac:dyDescent="0.3">
      <c r="A286" s="1" t="s">
        <v>231</v>
      </c>
      <c r="B286" s="1">
        <f>R46</f>
        <v>247376891</v>
      </c>
    </row>
    <row r="287" spans="1:19" x14ac:dyDescent="0.3">
      <c r="A287" s="1" t="s">
        <v>225</v>
      </c>
      <c r="B287" s="1">
        <f>R90</f>
        <v>242467369.74300003</v>
      </c>
      <c r="C287" s="1" t="b">
        <f>ROUND(SUM(B286:B287),0)=ROUND(B289,0)</f>
        <v>1</v>
      </c>
    </row>
    <row r="288" spans="1:19" x14ac:dyDescent="0.3">
      <c r="A288" s="1" t="s">
        <v>232</v>
      </c>
      <c r="B288" s="1">
        <f>R151+R195+R239</f>
        <v>242467369.74300003</v>
      </c>
      <c r="C288" s="1" t="b">
        <f>ROUND(B287,0)=ROUND(B288,0)</f>
        <v>1</v>
      </c>
    </row>
    <row r="289" spans="1:3" x14ac:dyDescent="0.3">
      <c r="A289" s="1" t="s">
        <v>233</v>
      </c>
      <c r="B289" s="1">
        <f>'4.2'!D45</f>
        <v>489844260.74299997</v>
      </c>
    </row>
    <row r="290" spans="1:3" x14ac:dyDescent="0.3">
      <c r="A290" s="1" t="s">
        <v>234</v>
      </c>
      <c r="B290" s="1">
        <f>SUM(B283:Q283)</f>
        <v>489844260.74299985</v>
      </c>
      <c r="C290" s="1" t="b">
        <f>ROUND(B289,0)=ROUND(B290,0)</f>
        <v>1</v>
      </c>
    </row>
  </sheetData>
  <printOptions horizontalCentered="1" gridLines="1"/>
  <pageMargins left="0.19685039370078741" right="0.19685039370078741" top="0.98425196850393704" bottom="0.59055118110236227" header="0.19685039370078741" footer="0.19685039370078741"/>
  <pageSetup scale="59" pageOrder="overThenDown" orientation="landscape" r:id="rId1"/>
  <headerFooter scaleWithDoc="0">
    <oddHeader xml:space="preserve">&amp;C2023 "Status Quo Methods" Cost Allocation Model for MECL </oddHeader>
    <oddFooter>&amp;LPage &amp;P of &amp;N&amp;RJune 27, 2025</oddFooter>
  </headerFooter>
  <rowBreaks count="6" manualBreakCount="6">
    <brk id="47" max="17" man="1"/>
    <brk id="91" max="17" man="1"/>
    <brk id="108" max="17" man="1"/>
    <brk id="152" max="17" man="1"/>
    <brk id="196" max="17" man="1"/>
    <brk id="240"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R90"/>
  <sheetViews>
    <sheetView tabSelected="1" view="pageBreakPreview" topLeftCell="A33" zoomScale="40" zoomScaleNormal="100" zoomScaleSheetLayoutView="40" workbookViewId="0">
      <selection activeCell="E21" sqref="E21"/>
    </sheetView>
  </sheetViews>
  <sheetFormatPr defaultColWidth="8.7109375" defaultRowHeight="13.5" x14ac:dyDescent="0.3"/>
  <cols>
    <col min="1" max="1" width="25.7109375" style="1" customWidth="1"/>
    <col min="2" max="18" width="7.7109375" style="1" customWidth="1"/>
    <col min="19" max="16384" width="8.7109375" style="1"/>
  </cols>
  <sheetData>
    <row r="1" spans="1:18" x14ac:dyDescent="0.3">
      <c r="A1" s="1" t="s">
        <v>614</v>
      </c>
    </row>
    <row r="2" spans="1:18" x14ac:dyDescent="0.3">
      <c r="A2" s="1" t="s">
        <v>235</v>
      </c>
    </row>
    <row r="4" spans="1:18" s="5" customFormat="1" x14ac:dyDescent="0.3">
      <c r="A4" s="5" t="s">
        <v>224</v>
      </c>
    </row>
    <row r="5" spans="1:18" s="9" customFormat="1" ht="54" x14ac:dyDescent="0.25">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x14ac:dyDescent="0.3">
      <c r="A6" s="1" t="s">
        <v>129</v>
      </c>
    </row>
    <row r="7" spans="1:18" x14ac:dyDescent="0.3">
      <c r="A7" s="3" t="s">
        <v>172</v>
      </c>
      <c r="B7" s="1">
        <f>SUMIFS('6.1'!$E$6:$E$74,Assets_PresHeader,$A7,Assets_BasisFunc,B$5,'6.1'!$Q$6:$Q$74,"Contributions Related Distribution Plant")</f>
        <v>0</v>
      </c>
      <c r="C7" s="1">
        <f>SUMIFS('6.1'!$E$6:$E$74,Assets_PresHeader,$A7,Assets_BasisFunc,C$5,'6.1'!$Q$6:$Q$74,"Contributions Related Distribution Plant")</f>
        <v>0</v>
      </c>
      <c r="D7" s="1">
        <f>SUMIFS('6.1'!$E$6:$E$74,Assets_PresHeader,$A7,Assets_BasisFunc,D$5,'6.1'!$Q$6:$Q$74,"Contributions Related Distribution Plant")</f>
        <v>0</v>
      </c>
      <c r="E7" s="1">
        <f>SUMIFS('6.1'!$E$6:$E$74,Assets_PresHeader,$A7,Assets_BasisFunc,E$5,'6.1'!$Q$6:$Q$74,"Contributions Related Distribution Plant")</f>
        <v>0</v>
      </c>
      <c r="F7" s="1">
        <f>SUMIFS('6.1'!$E$6:$E$74,Assets_PresHeader,$A7,Assets_BasisFunc,F$5,'6.1'!$Q$6:$Q$74,"Contributions Related Distribution Plant")</f>
        <v>0</v>
      </c>
      <c r="G7" s="1">
        <f>SUMIFS('6.1'!$E$6:$E$74,Assets_PresHeader,$A7,Assets_BasisFunc,G$5,'6.1'!$Q$6:$Q$74,"Contributions Related Distribution Plant")</f>
        <v>0</v>
      </c>
      <c r="H7" s="1">
        <f>SUMIFS('6.1'!$E$6:$E$74,Assets_PresHeader,$A7,Assets_BasisFunc,H$5,'6.1'!$Q$6:$Q$74,"Contributions Related Distribution Plant")</f>
        <v>0</v>
      </c>
      <c r="I7" s="1">
        <f>SUMIFS('6.1'!$E$6:$E$74,Assets_PresHeader,$A7,Assets_BasisFunc,I$5,'6.1'!$Q$6:$Q$74,"Contributions Related Distribution Plant")</f>
        <v>0</v>
      </c>
      <c r="J7" s="1">
        <f>SUMIFS('6.1'!$E$6:$E$74,Assets_PresHeader,$A7,Assets_BasisFunc,J$5,'6.1'!$Q$6:$Q$74,"Contributions Related Distribution Plant")</f>
        <v>0</v>
      </c>
      <c r="K7" s="1">
        <f>SUMIFS('6.1'!$E$6:$E$74,Assets_PresHeader,$A7,Assets_BasisFunc,K$5,'6.1'!$Q$6:$Q$74,"Contributions Related Distribution Plant")</f>
        <v>0</v>
      </c>
      <c r="L7" s="1">
        <f>SUMIFS('6.1'!$E$6:$E$74,Assets_PresHeader,$A7,Assets_BasisFunc,L$5,'6.1'!$Q$6:$Q$74,"Contributions Related Distribution Plant")</f>
        <v>0</v>
      </c>
      <c r="M7" s="1">
        <f>SUMIFS('6.1'!$E$6:$E$74,Assets_PresHeader,$A7,Assets_BasisFunc,M$5,'6.1'!$Q$6:$Q$74,"Contributions Related Distribution Plant")</f>
        <v>0</v>
      </c>
      <c r="N7" s="1">
        <f>SUMIFS('6.1'!$E$6:$E$74,Assets_PresHeader,$A7,Assets_BasisFunc,N$5,'6.1'!$Q$6:$Q$74,"Contributions Related Distribution Plant")</f>
        <v>0</v>
      </c>
      <c r="O7" s="1">
        <f>SUMIFS('6.1'!$E$6:$E$74,Assets_PresHeader,$A7,Assets_BasisFunc,O$5,'6.1'!$Q$6:$Q$74,"Contributions Related Distribution Plant")</f>
        <v>0</v>
      </c>
      <c r="P7" s="1">
        <f>SUMIFS('6.1'!$E$6:$E$74,Assets_PresHeader,$A7,Assets_BasisFunc,P$5,'6.1'!$Q$6:$Q$74,"Contributions Related Distribution Plant")</f>
        <v>0</v>
      </c>
      <c r="Q7" s="1">
        <f>SUMIFS('6.1'!$E$6:$E$74,Assets_PresHeader,$A7,Assets_BasisFunc,Q$5,'6.1'!$Q$6:$Q$74,"Contributions Related Distribution Plant")</f>
        <v>0</v>
      </c>
      <c r="R7" s="1">
        <f>SUM(B7:Q7)</f>
        <v>0</v>
      </c>
    </row>
    <row r="8" spans="1:18" x14ac:dyDescent="0.3">
      <c r="A8" s="3" t="s">
        <v>173</v>
      </c>
    </row>
    <row r="9" spans="1:18" x14ac:dyDescent="0.3">
      <c r="A9" s="4" t="s">
        <v>13</v>
      </c>
      <c r="B9" s="1">
        <f>SUMIFS('6.1'!$E$6:$E$74,Assets_PresHeader,$A9,Assets_BasisFunc,B$5,'6.1'!$Q$6:$Q$74,"Contributions Related Distribution Plant")</f>
        <v>0</v>
      </c>
      <c r="C9" s="1">
        <f>SUMIFS('6.1'!$E$6:$E$74,Assets_PresHeader,$A9,Assets_BasisFunc,C$5,'6.1'!$Q$6:$Q$74,"Contributions Related Distribution Plant")</f>
        <v>0</v>
      </c>
      <c r="D9" s="1">
        <f>SUMIFS('6.1'!$E$6:$E$74,Assets_PresHeader,$A9,Assets_BasisFunc,D$5,'6.1'!$Q$6:$Q$74,"Contributions Related Distribution Plant")</f>
        <v>0</v>
      </c>
      <c r="E9" s="1">
        <f>SUMIFS('6.1'!$E$6:$E$74,Assets_PresHeader,$A9,Assets_BasisFunc,E$5,'6.1'!$Q$6:$Q$74,"Contributions Related Distribution Plant")</f>
        <v>0</v>
      </c>
      <c r="F9" s="1">
        <f>SUMIFS('6.1'!$E$6:$E$74,Assets_PresHeader,$A9,Assets_BasisFunc,F$5,'6.1'!$Q$6:$Q$74,"Contributions Related Distribution Plant")</f>
        <v>0</v>
      </c>
      <c r="G9" s="1">
        <f>SUMIFS('6.1'!$E$6:$E$74,Assets_PresHeader,$A9,Assets_BasisFunc,G$5,'6.1'!$Q$6:$Q$74,"Contributions Related Distribution Plant")</f>
        <v>0</v>
      </c>
      <c r="H9" s="1">
        <f>SUMIFS('6.1'!$E$6:$E$74,Assets_PresHeader,$A9,Assets_BasisFunc,H$5,'6.1'!$Q$6:$Q$74,"Contributions Related Distribution Plant")</f>
        <v>0</v>
      </c>
      <c r="I9" s="1">
        <f>SUMIFS('6.1'!$E$6:$E$74,Assets_PresHeader,$A9,Assets_BasisFunc,I$5,'6.1'!$Q$6:$Q$74,"Contributions Related Distribution Plant")</f>
        <v>0</v>
      </c>
      <c r="J9" s="1">
        <f>SUMIFS('6.1'!$E$6:$E$74,Assets_PresHeader,$A9,Assets_BasisFunc,J$5,'6.1'!$Q$6:$Q$74,"Contributions Related Distribution Plant")</f>
        <v>0</v>
      </c>
      <c r="K9" s="1">
        <f>SUMIFS('6.1'!$E$6:$E$74,Assets_PresHeader,$A9,Assets_BasisFunc,K$5,'6.1'!$Q$6:$Q$74,"Contributions Related Distribution Plant")</f>
        <v>0</v>
      </c>
      <c r="L9" s="1">
        <f>SUMIFS('6.1'!$E$6:$E$74,Assets_PresHeader,$A9,Assets_BasisFunc,L$5,'6.1'!$Q$6:$Q$74,"Contributions Related Distribution Plant")</f>
        <v>0</v>
      </c>
      <c r="M9" s="1">
        <f>SUMIFS('6.1'!$E$6:$E$74,Assets_PresHeader,$A9,Assets_BasisFunc,M$5,'6.1'!$Q$6:$Q$74,"Contributions Related Distribution Plant")</f>
        <v>0</v>
      </c>
      <c r="N9" s="1">
        <f>SUMIFS('6.1'!$E$6:$E$74,Assets_PresHeader,$A9,Assets_BasisFunc,N$5,'6.1'!$Q$6:$Q$74,"Contributions Related Distribution Plant")</f>
        <v>0</v>
      </c>
      <c r="O9" s="1">
        <f>SUMIFS('6.1'!$E$6:$E$74,Assets_PresHeader,$A9,Assets_BasisFunc,O$5,'6.1'!$Q$6:$Q$74,"Contributions Related Distribution Plant")</f>
        <v>0</v>
      </c>
      <c r="P9" s="1">
        <f>SUMIFS('6.1'!$E$6:$E$74,Assets_PresHeader,$A9,Assets_BasisFunc,P$5,'6.1'!$Q$6:$Q$74,"Contributions Related Distribution Plant")</f>
        <v>0</v>
      </c>
      <c r="Q9" s="1">
        <f>SUMIFS('6.1'!$E$6:$E$74,Assets_PresHeader,$A9,Assets_BasisFunc,Q$5,'6.1'!$Q$6:$Q$74,"Contributions Related Distribution Plant")</f>
        <v>0</v>
      </c>
      <c r="R9" s="1">
        <f>SUM(B9:Q9)</f>
        <v>0</v>
      </c>
    </row>
    <row r="10" spans="1:18" x14ac:dyDescent="0.3">
      <c r="A10" s="4" t="s">
        <v>140</v>
      </c>
      <c r="B10" s="1">
        <f>SUMIFS('6.1'!$E$6:$E$74,Assets_PresHeader,$A10,Assets_BasisFunc,B$5,'6.1'!$Q$6:$Q$74,"Contributions Related Distribution Plant")</f>
        <v>0</v>
      </c>
      <c r="C10" s="1">
        <f>SUMIFS('6.1'!$E$6:$E$74,Assets_PresHeader,$A10,Assets_BasisFunc,C$5,'6.1'!$Q$6:$Q$74,"Contributions Related Distribution Plant")</f>
        <v>0</v>
      </c>
      <c r="D10" s="1">
        <f>SUMIFS('6.1'!$E$6:$E$74,Assets_PresHeader,$A10,Assets_BasisFunc,D$5,'6.1'!$Q$6:$Q$74,"Contributions Related Distribution Plant")</f>
        <v>0</v>
      </c>
      <c r="E10" s="1">
        <f>SUMIFS('6.1'!$E$6:$E$74,Assets_PresHeader,$A10,Assets_BasisFunc,E$5,'6.1'!$Q$6:$Q$74,"Contributions Related Distribution Plant")</f>
        <v>0</v>
      </c>
      <c r="F10" s="1">
        <f>SUMIFS('6.1'!$E$6:$E$74,Assets_PresHeader,$A10,Assets_BasisFunc,F$5,'6.1'!$Q$6:$Q$74,"Contributions Related Distribution Plant")</f>
        <v>0</v>
      </c>
      <c r="G10" s="1">
        <f>SUMIFS('6.1'!$E$6:$E$74,Assets_PresHeader,$A10,Assets_BasisFunc,G$5,'6.1'!$Q$6:$Q$74,"Contributions Related Distribution Plant")</f>
        <v>109702410</v>
      </c>
      <c r="H10" s="1">
        <f>SUMIFS('6.1'!$E$6:$E$74,Assets_PresHeader,$A10,Assets_BasisFunc,H$5,'6.1'!$Q$6:$Q$74,"Contributions Related Distribution Plant")</f>
        <v>0</v>
      </c>
      <c r="I10" s="1">
        <f>SUMIFS('6.1'!$E$6:$E$74,Assets_PresHeader,$A10,Assets_BasisFunc,I$5,'6.1'!$Q$6:$Q$74,"Contributions Related Distribution Plant")</f>
        <v>89590707</v>
      </c>
      <c r="J10" s="1">
        <f>SUMIFS('6.1'!$E$6:$E$74,Assets_PresHeader,$A10,Assets_BasisFunc,J$5,'6.1'!$Q$6:$Q$74,"Contributions Related Distribution Plant")</f>
        <v>0</v>
      </c>
      <c r="K10" s="1">
        <f>SUMIFS('6.1'!$E$6:$E$74,Assets_PresHeader,$A10,Assets_BasisFunc,K$5,'6.1'!$Q$6:$Q$74,"Contributions Related Distribution Plant")</f>
        <v>0</v>
      </c>
      <c r="L10" s="1">
        <f>SUMIFS('6.1'!$E$6:$E$74,Assets_PresHeader,$A10,Assets_BasisFunc,L$5,'6.1'!$Q$6:$Q$74,"Contributions Related Distribution Plant")</f>
        <v>0</v>
      </c>
      <c r="M10" s="1">
        <f>SUMIFS('6.1'!$E$6:$E$74,Assets_PresHeader,$A10,Assets_BasisFunc,M$5,'6.1'!$Q$6:$Q$74,"Contributions Related Distribution Plant")</f>
        <v>0</v>
      </c>
      <c r="N10" s="1">
        <f>SUMIFS('6.1'!$E$6:$E$74,Assets_PresHeader,$A10,Assets_BasisFunc,N$5,'6.1'!$Q$6:$Q$74,"Contributions Related Distribution Plant")</f>
        <v>0</v>
      </c>
      <c r="O10" s="1">
        <f>SUMIFS('6.1'!$E$6:$E$74,Assets_PresHeader,$A10,Assets_BasisFunc,O$5,'6.1'!$Q$6:$Q$74,"Contributions Related Distribution Plant")</f>
        <v>0</v>
      </c>
      <c r="P10" s="1">
        <f>SUMIFS('6.1'!$E$6:$E$74,Assets_PresHeader,$A10,Assets_BasisFunc,P$5,'6.1'!$Q$6:$Q$74,"Contributions Related Distribution Plant")</f>
        <v>0</v>
      </c>
      <c r="Q10" s="1">
        <f>SUMIFS('6.1'!$E$6:$E$74,Assets_PresHeader,$A10,Assets_BasisFunc,Q$5,'6.1'!$Q$6:$Q$74,"Contributions Related Distribution Plant")</f>
        <v>0</v>
      </c>
      <c r="R10" s="1">
        <f>SUM(B10:Q10)</f>
        <v>199293117</v>
      </c>
    </row>
    <row r="11" spans="1:18" x14ac:dyDescent="0.3">
      <c r="A11" s="4" t="s">
        <v>141</v>
      </c>
      <c r="B11" s="1">
        <f>SUMIFS('6.1'!$E$6:$E$74,Assets_PresHeader,$A11,Assets_BasisFunc,B$5,'6.1'!$Q$6:$Q$74,"Contributions Related Distribution Plant")</f>
        <v>0</v>
      </c>
      <c r="C11" s="1">
        <f>SUMIFS('6.1'!$E$6:$E$74,Assets_PresHeader,$A11,Assets_BasisFunc,C$5,'6.1'!$Q$6:$Q$74,"Contributions Related Distribution Plant")</f>
        <v>0</v>
      </c>
      <c r="D11" s="1">
        <f>SUMIFS('6.1'!$E$6:$E$74,Assets_PresHeader,$A11,Assets_BasisFunc,D$5,'6.1'!$Q$6:$Q$74,"Contributions Related Distribution Plant")</f>
        <v>0</v>
      </c>
      <c r="E11" s="1">
        <f>SUMIFS('6.1'!$E$6:$E$74,Assets_PresHeader,$A11,Assets_BasisFunc,E$5,'6.1'!$Q$6:$Q$74,"Contributions Related Distribution Plant")</f>
        <v>0</v>
      </c>
      <c r="F11" s="1">
        <f>SUMIFS('6.1'!$E$6:$E$74,Assets_PresHeader,$A11,Assets_BasisFunc,F$5,'6.1'!$Q$6:$Q$74,"Contributions Related Distribution Plant")</f>
        <v>0</v>
      </c>
      <c r="G11" s="1">
        <f>SUMIFS('6.1'!$E$6:$E$74,Assets_PresHeader,$A11,Assets_BasisFunc,G$5,'6.1'!$Q$6:$Q$74,"Contributions Related Distribution Plant")</f>
        <v>0</v>
      </c>
      <c r="H11" s="1">
        <f>SUMIFS('6.1'!$E$6:$E$74,Assets_PresHeader,$A11,Assets_BasisFunc,H$5,'6.1'!$Q$6:$Q$74,"Contributions Related Distribution Plant")</f>
        <v>0</v>
      </c>
      <c r="I11" s="1">
        <f>SUMIFS('6.1'!$E$6:$E$74,Assets_PresHeader,$A11,Assets_BasisFunc,I$5,'6.1'!$Q$6:$Q$74,"Contributions Related Distribution Plant")</f>
        <v>0</v>
      </c>
      <c r="J11" s="1">
        <f>SUMIFS('6.1'!$E$6:$E$74,Assets_PresHeader,$A11,Assets_BasisFunc,J$5,'6.1'!$Q$6:$Q$74,"Contributions Related Distribution Plant")</f>
        <v>0</v>
      </c>
      <c r="K11" s="1">
        <f>SUMIFS('6.1'!$E$6:$E$74,Assets_PresHeader,$A11,Assets_BasisFunc,K$5,'6.1'!$Q$6:$Q$74,"Contributions Related Distribution Plant")</f>
        <v>0</v>
      </c>
      <c r="L11" s="1">
        <f>SUMIFS('6.1'!$E$6:$E$74,Assets_PresHeader,$A11,Assets_BasisFunc,L$5,'6.1'!$Q$6:$Q$74,"Contributions Related Distribution Plant")</f>
        <v>0</v>
      </c>
      <c r="M11" s="1">
        <f>SUMIFS('6.1'!$E$6:$E$74,Assets_PresHeader,$A11,Assets_BasisFunc,M$5,'6.1'!$Q$6:$Q$74,"Contributions Related Distribution Plant")</f>
        <v>0</v>
      </c>
      <c r="N11" s="1">
        <f>SUMIFS('6.1'!$E$6:$E$74,Assets_PresHeader,$A11,Assets_BasisFunc,N$5,'6.1'!$Q$6:$Q$74,"Contributions Related Distribution Plant")</f>
        <v>0</v>
      </c>
      <c r="O11" s="1">
        <f>SUMIFS('6.1'!$E$6:$E$74,Assets_PresHeader,$A11,Assets_BasisFunc,O$5,'6.1'!$Q$6:$Q$74,"Contributions Related Distribution Plant")</f>
        <v>0</v>
      </c>
      <c r="P11" s="1">
        <f>SUMIFS('6.1'!$E$6:$E$74,Assets_PresHeader,$A11,Assets_BasisFunc,P$5,'6.1'!$Q$6:$Q$74,"Contributions Related Distribution Plant")</f>
        <v>0</v>
      </c>
      <c r="Q11" s="1">
        <f>SUMIFS('6.1'!$E$6:$E$74,Assets_PresHeader,$A11,Assets_BasisFunc,Q$5,'6.1'!$Q$6:$Q$74,"Contributions Related Distribution Plant")</f>
        <v>0</v>
      </c>
      <c r="R11" s="1">
        <f>SUM(B11:Q11)</f>
        <v>0</v>
      </c>
    </row>
    <row r="12" spans="1:18" x14ac:dyDescent="0.3">
      <c r="A12" s="4" t="s">
        <v>142</v>
      </c>
      <c r="B12" s="1">
        <f>SUMIFS('6.1'!$E$6:$E$74,Assets_PresHeader,$A12,Assets_BasisFunc,B$5,'6.1'!$Q$6:$Q$74,"Contributions Related Distribution Plant")</f>
        <v>0</v>
      </c>
      <c r="C12" s="1">
        <f>SUMIFS('6.1'!$E$6:$E$74,Assets_PresHeader,$A12,Assets_BasisFunc,C$5,'6.1'!$Q$6:$Q$74,"Contributions Related Distribution Plant")</f>
        <v>0</v>
      </c>
      <c r="D12" s="1">
        <f>SUMIFS('6.1'!$E$6:$E$74,Assets_PresHeader,$A12,Assets_BasisFunc,D$5,'6.1'!$Q$6:$Q$74,"Contributions Related Distribution Plant")</f>
        <v>0</v>
      </c>
      <c r="E12" s="1">
        <f>SUMIFS('6.1'!$E$6:$E$74,Assets_PresHeader,$A12,Assets_BasisFunc,E$5,'6.1'!$Q$6:$Q$74,"Contributions Related Distribution Plant")</f>
        <v>0</v>
      </c>
      <c r="F12" s="1">
        <f>SUMIFS('6.1'!$E$6:$E$74,Assets_PresHeader,$A12,Assets_BasisFunc,F$5,'6.1'!$Q$6:$Q$74,"Contributions Related Distribution Plant")</f>
        <v>0</v>
      </c>
      <c r="G12" s="1">
        <f>SUMIFS('6.1'!$E$6:$E$74,Assets_PresHeader,$A12,Assets_BasisFunc,G$5,'6.1'!$Q$6:$Q$74,"Contributions Related Distribution Plant")</f>
        <v>0</v>
      </c>
      <c r="H12" s="1">
        <f>SUMIFS('6.1'!$E$6:$E$74,Assets_PresHeader,$A12,Assets_BasisFunc,H$5,'6.1'!$Q$6:$Q$74,"Contributions Related Distribution Plant")</f>
        <v>0</v>
      </c>
      <c r="I12" s="1">
        <f>SUMIFS('6.1'!$E$6:$E$74,Assets_PresHeader,$A12,Assets_BasisFunc,I$5,'6.1'!$Q$6:$Q$74,"Contributions Related Distribution Plant")</f>
        <v>0</v>
      </c>
      <c r="J12" s="1">
        <f>SUMIFS('6.1'!$E$6:$E$74,Assets_PresHeader,$A12,Assets_BasisFunc,J$5,'6.1'!$Q$6:$Q$74,"Contributions Related Distribution Plant")</f>
        <v>18277754.5</v>
      </c>
      <c r="K12" s="1">
        <f>SUMIFS('6.1'!$E$6:$E$74,Assets_PresHeader,$A12,Assets_BasisFunc,K$5,'6.1'!$Q$6:$Q$74,"Contributions Related Distribution Plant")</f>
        <v>0</v>
      </c>
      <c r="L12" s="1">
        <f>SUMIFS('6.1'!$E$6:$E$74,Assets_PresHeader,$A12,Assets_BasisFunc,L$5,'6.1'!$Q$6:$Q$74,"Contributions Related Distribution Plant")</f>
        <v>0</v>
      </c>
      <c r="M12" s="1">
        <f>SUMIFS('6.1'!$E$6:$E$74,Assets_PresHeader,$A12,Assets_BasisFunc,M$5,'6.1'!$Q$6:$Q$74,"Contributions Related Distribution Plant")</f>
        <v>0</v>
      </c>
      <c r="N12" s="1">
        <f>SUMIFS('6.1'!$E$6:$E$74,Assets_PresHeader,$A12,Assets_BasisFunc,N$5,'6.1'!$Q$6:$Q$74,"Contributions Related Distribution Plant")</f>
        <v>0</v>
      </c>
      <c r="O12" s="1">
        <f>SUMIFS('6.1'!$E$6:$E$74,Assets_PresHeader,$A12,Assets_BasisFunc,O$5,'6.1'!$Q$6:$Q$74,"Contributions Related Distribution Plant")</f>
        <v>0</v>
      </c>
      <c r="P12" s="1">
        <f>SUMIFS('6.1'!$E$6:$E$74,Assets_PresHeader,$A12,Assets_BasisFunc,P$5,'6.1'!$Q$6:$Q$74,"Contributions Related Distribution Plant")</f>
        <v>0</v>
      </c>
      <c r="Q12" s="1">
        <f>SUMIFS('6.1'!$E$6:$E$74,Assets_PresHeader,$A12,Assets_BasisFunc,Q$5,'6.1'!$Q$6:$Q$74,"Contributions Related Distribution Plant")</f>
        <v>0</v>
      </c>
      <c r="R12" s="1">
        <f>SUM(B12:Q12)</f>
        <v>18277754.5</v>
      </c>
    </row>
    <row r="13" spans="1:18" x14ac:dyDescent="0.3">
      <c r="A13" s="4" t="s">
        <v>143</v>
      </c>
      <c r="B13" s="1">
        <f>SUMIFS('6.1'!$E$6:$E$74,Assets_PresHeader,$A13,Assets_BasisFunc,B$5,'6.1'!$Q$6:$Q$74,"Contributions Related Distribution Plant")</f>
        <v>0</v>
      </c>
      <c r="C13" s="1">
        <f>SUMIFS('6.1'!$E$6:$E$74,Assets_PresHeader,$A13,Assets_BasisFunc,C$5,'6.1'!$Q$6:$Q$74,"Contributions Related Distribution Plant")</f>
        <v>0</v>
      </c>
      <c r="D13" s="1">
        <f>SUMIFS('6.1'!$E$6:$E$74,Assets_PresHeader,$A13,Assets_BasisFunc,D$5,'6.1'!$Q$6:$Q$74,"Contributions Related Distribution Plant")</f>
        <v>0</v>
      </c>
      <c r="E13" s="1">
        <f>SUMIFS('6.1'!$E$6:$E$74,Assets_PresHeader,$A13,Assets_BasisFunc,E$5,'6.1'!$Q$6:$Q$74,"Contributions Related Distribution Plant")</f>
        <v>0</v>
      </c>
      <c r="F13" s="1">
        <f>SUMIFS('6.1'!$E$6:$E$74,Assets_PresHeader,$A13,Assets_BasisFunc,F$5,'6.1'!$Q$6:$Q$74,"Contributions Related Distribution Plant")</f>
        <v>0</v>
      </c>
      <c r="G13" s="1">
        <f>SUMIFS('6.1'!$E$6:$E$74,Assets_PresHeader,$A13,Assets_BasisFunc,G$5,'6.1'!$Q$6:$Q$74,"Contributions Related Distribution Plant")</f>
        <v>0</v>
      </c>
      <c r="H13" s="1">
        <f>SUMIFS('6.1'!$E$6:$E$74,Assets_PresHeader,$A13,Assets_BasisFunc,H$5,'6.1'!$Q$6:$Q$74,"Contributions Related Distribution Plant")</f>
        <v>0</v>
      </c>
      <c r="I13" s="1">
        <f>SUMIFS('6.1'!$E$6:$E$74,Assets_PresHeader,$A13,Assets_BasisFunc,I$5,'6.1'!$Q$6:$Q$74,"Contributions Related Distribution Plant")</f>
        <v>0</v>
      </c>
      <c r="J13" s="1">
        <f>SUMIFS('6.1'!$E$6:$E$74,Assets_PresHeader,$A13,Assets_BasisFunc,J$5,'6.1'!$Q$6:$Q$74,"Contributions Related Distribution Plant")</f>
        <v>0</v>
      </c>
      <c r="K13" s="1">
        <f>SUMIFS('6.1'!$E$6:$E$74,Assets_PresHeader,$A13,Assets_BasisFunc,K$5,'6.1'!$Q$6:$Q$74,"Contributions Related Distribution Plant")</f>
        <v>0</v>
      </c>
      <c r="L13" s="1">
        <f>SUMIFS('6.1'!$E$6:$E$74,Assets_PresHeader,$A13,Assets_BasisFunc,L$5,'6.1'!$Q$6:$Q$74,"Contributions Related Distribution Plant")</f>
        <v>0</v>
      </c>
      <c r="M13" s="1">
        <f>SUMIFS('6.1'!$E$6:$E$74,Assets_PresHeader,$A13,Assets_BasisFunc,M$5,'6.1'!$Q$6:$Q$74,"Contributions Related Distribution Plant")</f>
        <v>0</v>
      </c>
      <c r="N13" s="1">
        <f>SUMIFS('6.1'!$E$6:$E$74,Assets_PresHeader,$A13,Assets_BasisFunc,N$5,'6.1'!$Q$6:$Q$74,"Contributions Related Distribution Plant")</f>
        <v>0</v>
      </c>
      <c r="O13" s="1">
        <f>SUMIFS('6.1'!$E$6:$E$74,Assets_PresHeader,$A13,Assets_BasisFunc,O$5,'6.1'!$Q$6:$Q$74,"Contributions Related Distribution Plant")</f>
        <v>0</v>
      </c>
      <c r="P13" s="1">
        <f>SUMIFS('6.1'!$E$6:$E$74,Assets_PresHeader,$A13,Assets_BasisFunc,P$5,'6.1'!$Q$6:$Q$74,"Contributions Related Distribution Plant")</f>
        <v>0</v>
      </c>
      <c r="Q13" s="1">
        <f>SUMIFS('6.1'!$E$6:$E$74,Assets_PresHeader,$A13,Assets_BasisFunc,Q$5,'6.1'!$Q$6:$Q$74,"Contributions Related Distribution Plant")</f>
        <v>10623103</v>
      </c>
      <c r="R13" s="1">
        <f>SUM(B13:Q13)</f>
        <v>10623103</v>
      </c>
    </row>
    <row r="14" spans="1:18" x14ac:dyDescent="0.3">
      <c r="A14" s="4" t="s">
        <v>174</v>
      </c>
      <c r="B14" s="1">
        <f t="shared" ref="B14:Q14" si="0">SUBTOTAL(9,B8:B13)</f>
        <v>0</v>
      </c>
      <c r="C14" s="1">
        <f t="shared" si="0"/>
        <v>0</v>
      </c>
      <c r="D14" s="1">
        <f t="shared" si="0"/>
        <v>0</v>
      </c>
      <c r="E14" s="1">
        <f t="shared" si="0"/>
        <v>0</v>
      </c>
      <c r="F14" s="1">
        <f t="shared" si="0"/>
        <v>0</v>
      </c>
      <c r="G14" s="1">
        <f t="shared" si="0"/>
        <v>109702410</v>
      </c>
      <c r="H14" s="1">
        <f t="shared" si="0"/>
        <v>0</v>
      </c>
      <c r="I14" s="1">
        <f t="shared" si="0"/>
        <v>89590707</v>
      </c>
      <c r="J14" s="1">
        <f t="shared" si="0"/>
        <v>18277754.5</v>
      </c>
      <c r="K14" s="1">
        <f t="shared" si="0"/>
        <v>0</v>
      </c>
      <c r="L14" s="1">
        <f t="shared" si="0"/>
        <v>0</v>
      </c>
      <c r="M14" s="1">
        <f t="shared" si="0"/>
        <v>0</v>
      </c>
      <c r="N14" s="1">
        <f t="shared" si="0"/>
        <v>0</v>
      </c>
      <c r="O14" s="1">
        <f t="shared" si="0"/>
        <v>0</v>
      </c>
      <c r="P14" s="1">
        <f t="shared" si="0"/>
        <v>0</v>
      </c>
      <c r="Q14" s="1">
        <f t="shared" si="0"/>
        <v>10623103</v>
      </c>
      <c r="R14" s="1">
        <f>SUBTOTAL(9,R8:R13)</f>
        <v>228193974.5</v>
      </c>
    </row>
    <row r="15" spans="1:18" x14ac:dyDescent="0.3">
      <c r="A15" s="3" t="s">
        <v>175</v>
      </c>
      <c r="B15" s="1">
        <f>SUMIFS('6.1'!$E$6:$E$74,Assets_PresHeader,$A15,Assets_BasisFunc,B$5,'6.1'!$Q$6:$Q$74,"Contributions Related Distribution Plant")</f>
        <v>0</v>
      </c>
      <c r="C15" s="1">
        <f>SUMIFS('6.1'!$E$6:$E$74,Assets_PresHeader,$A15,Assets_BasisFunc,C$5,'6.1'!$Q$6:$Q$74,"Contributions Related Distribution Plant")</f>
        <v>0</v>
      </c>
      <c r="D15" s="1">
        <f>SUMIFS('6.1'!$E$6:$E$74,Assets_PresHeader,$A15,Assets_BasisFunc,D$5,'6.1'!$Q$6:$Q$74,"Contributions Related Distribution Plant")</f>
        <v>0</v>
      </c>
      <c r="E15" s="1">
        <f>SUMIFS('6.1'!$E$6:$E$74,Assets_PresHeader,$A15,Assets_BasisFunc,E$5,'6.1'!$Q$6:$Q$74,"Contributions Related Distribution Plant")</f>
        <v>0</v>
      </c>
      <c r="F15" s="1">
        <f>SUMIFS('6.1'!$E$6:$E$74,Assets_PresHeader,$A15,Assets_BasisFunc,F$5,'6.1'!$Q$6:$Q$74,"Contributions Related Distribution Plant")</f>
        <v>0</v>
      </c>
      <c r="G15" s="1">
        <f>SUMIFS('6.1'!$E$6:$E$74,Assets_PresHeader,$A15,Assets_BasisFunc,G$5,'6.1'!$Q$6:$Q$74,"Contributions Related Distribution Plant")</f>
        <v>0</v>
      </c>
      <c r="H15" s="1">
        <f>SUMIFS('6.1'!$E$6:$E$74,Assets_PresHeader,$A15,Assets_BasisFunc,H$5,'6.1'!$Q$6:$Q$74,"Contributions Related Distribution Plant")</f>
        <v>0</v>
      </c>
      <c r="I15" s="1">
        <f>SUMIFS('6.1'!$E$6:$E$74,Assets_PresHeader,$A15,Assets_BasisFunc,I$5,'6.1'!$Q$6:$Q$74,"Contributions Related Distribution Plant")</f>
        <v>0</v>
      </c>
      <c r="J15" s="1">
        <f>SUMIFS('6.1'!$E$6:$E$74,Assets_PresHeader,$A15,Assets_BasisFunc,J$5,'6.1'!$Q$6:$Q$74,"Contributions Related Distribution Plant")</f>
        <v>0</v>
      </c>
      <c r="K15" s="1">
        <f>SUMIFS('6.1'!$E$6:$E$74,Assets_PresHeader,$A15,Assets_BasisFunc,K$5,'6.1'!$Q$6:$Q$74,"Contributions Related Distribution Plant")</f>
        <v>0</v>
      </c>
      <c r="L15" s="1">
        <f>SUMIFS('6.1'!$E$6:$E$74,Assets_PresHeader,$A15,Assets_BasisFunc,L$5,'6.1'!$Q$6:$Q$74,"Contributions Related Distribution Plant")</f>
        <v>0</v>
      </c>
      <c r="M15" s="1">
        <f>SUMIFS('6.1'!$E$6:$E$74,Assets_PresHeader,$A15,Assets_BasisFunc,M$5,'6.1'!$Q$6:$Q$74,"Contributions Related Distribution Plant")</f>
        <v>0</v>
      </c>
      <c r="N15" s="1">
        <f>SUMIFS('6.1'!$E$6:$E$74,Assets_PresHeader,$A15,Assets_BasisFunc,N$5,'6.1'!$Q$6:$Q$74,"Contributions Related Distribution Plant")</f>
        <v>0</v>
      </c>
      <c r="O15" s="1">
        <f>SUMIFS('6.1'!$E$6:$E$74,Assets_PresHeader,$A15,Assets_BasisFunc,O$5,'6.1'!$Q$6:$Q$74,"Contributions Related Distribution Plant")</f>
        <v>0</v>
      </c>
      <c r="P15" s="1">
        <f>SUMIFS('6.1'!$E$6:$E$74,Assets_PresHeader,$A15,Assets_BasisFunc,P$5,'6.1'!$Q$6:$Q$74,"Contributions Related Distribution Plant")</f>
        <v>0</v>
      </c>
      <c r="Q15" s="1">
        <f>SUMIFS('6.1'!$E$6:$E$74,Assets_PresHeader,$A15,Assets_BasisFunc,Q$5,'6.1'!$Q$6:$Q$74,"Contributions Related Distribution Plant")</f>
        <v>0</v>
      </c>
      <c r="R15" s="1">
        <f>SUM(B15:Q15)</f>
        <v>0</v>
      </c>
    </row>
    <row r="16" spans="1:18" x14ac:dyDescent="0.3">
      <c r="A16" s="3" t="s">
        <v>213</v>
      </c>
      <c r="B16" s="1">
        <f t="shared" ref="B16:R16" si="1">SUBTOTAL(9,B6:B15)</f>
        <v>0</v>
      </c>
      <c r="C16" s="1">
        <f t="shared" si="1"/>
        <v>0</v>
      </c>
      <c r="D16" s="1">
        <f t="shared" si="1"/>
        <v>0</v>
      </c>
      <c r="E16" s="1">
        <f t="shared" si="1"/>
        <v>0</v>
      </c>
      <c r="F16" s="1">
        <f t="shared" si="1"/>
        <v>0</v>
      </c>
      <c r="G16" s="1">
        <f t="shared" si="1"/>
        <v>109702410</v>
      </c>
      <c r="H16" s="1">
        <f t="shared" si="1"/>
        <v>0</v>
      </c>
      <c r="I16" s="1">
        <f t="shared" si="1"/>
        <v>89590707</v>
      </c>
      <c r="J16" s="1">
        <f t="shared" si="1"/>
        <v>18277754.5</v>
      </c>
      <c r="K16" s="1">
        <f t="shared" si="1"/>
        <v>0</v>
      </c>
      <c r="L16" s="1">
        <f t="shared" si="1"/>
        <v>0</v>
      </c>
      <c r="M16" s="1">
        <f t="shared" si="1"/>
        <v>0</v>
      </c>
      <c r="N16" s="1">
        <f t="shared" si="1"/>
        <v>0</v>
      </c>
      <c r="O16" s="1">
        <f t="shared" si="1"/>
        <v>0</v>
      </c>
      <c r="P16" s="1">
        <f t="shared" si="1"/>
        <v>0</v>
      </c>
      <c r="Q16" s="1">
        <f t="shared" si="1"/>
        <v>10623103</v>
      </c>
      <c r="R16" s="1">
        <f t="shared" si="1"/>
        <v>228193974.5</v>
      </c>
    </row>
    <row r="17" spans="1:18" x14ac:dyDescent="0.3">
      <c r="A17" s="2" t="s">
        <v>186</v>
      </c>
    </row>
    <row r="18" spans="1:18" x14ac:dyDescent="0.3">
      <c r="A18" s="3" t="s">
        <v>238</v>
      </c>
      <c r="B18" s="1">
        <f>SUMIFS('6.2'!$F$30:$F$30,'6.2'!$G$30:$G$30,$A18,'6.2'!$H$30:$H$30,B$5)</f>
        <v>0</v>
      </c>
      <c r="C18" s="1">
        <f>SUMIFS('6.2'!$F$30:$F$30,'6.2'!$G$30:$G$30,$A18,'6.2'!$H$30:$H$30,C$5)</f>
        <v>0</v>
      </c>
      <c r="D18" s="1">
        <f>SUMIFS('6.2'!$F$30:$F$30,'6.2'!$G$30:$G$30,$A18,'6.2'!$H$30:$H$30,D$5)</f>
        <v>0</v>
      </c>
      <c r="E18" s="1">
        <f>SUMIFS('6.2'!$F$30:$F$30,'6.2'!$G$30:$G$30,$A18,'6.2'!$H$30:$H$30,E$5)</f>
        <v>0</v>
      </c>
      <c r="F18" s="1">
        <f>SUMIFS('6.2'!$F$30:$F$30,'6.2'!$G$30:$G$30,$A18,'6.2'!$H$30:$H$30,F$5)</f>
        <v>0</v>
      </c>
      <c r="G18" s="1">
        <f>SUMIFS('6.2'!$F$30:$F$30,'6.2'!$G$30:$G$30,$A18,'6.2'!$H$30:$H$30,G$5)</f>
        <v>0</v>
      </c>
      <c r="H18" s="1">
        <f>SUMIFS('6.2'!$F$30:$F$30,'6.2'!$G$30:$G$30,$A18,'6.2'!$H$30:$H$30,H$5)</f>
        <v>0</v>
      </c>
      <c r="I18" s="1">
        <f>SUMIFS('6.2'!$F$30:$F$30,'6.2'!$G$30:$G$30,$A18,'6.2'!$H$30:$H$30,I$5)</f>
        <v>0</v>
      </c>
      <c r="J18" s="1">
        <f>SUMIFS('6.2'!$F$30:$F$30,'6.2'!$G$30:$G$30,$A18,'6.2'!$H$30:$H$30,J$5)</f>
        <v>0</v>
      </c>
      <c r="K18" s="1">
        <f>SUMIFS('6.2'!$F$30:$F$30,'6.2'!$G$30:$G$30,$A18,'6.2'!$H$30:$H$30,K$5)</f>
        <v>0</v>
      </c>
      <c r="L18" s="1">
        <f>SUMIFS('6.2'!$F$30:$F$30,'6.2'!$G$30:$G$30,$A18,'6.2'!$H$30:$H$30,L$5)</f>
        <v>0</v>
      </c>
      <c r="M18" s="1">
        <f>SUMIFS('6.2'!$F$30:$F$30,'6.2'!$G$30:$G$30,$A18,'6.2'!$H$30:$H$30,M$5)</f>
        <v>0</v>
      </c>
      <c r="N18" s="1">
        <f>SUMIFS('6.2'!$F$30:$F$30,'6.2'!$G$30:$G$30,$A18,'6.2'!$H$30:$H$30,N$5)</f>
        <v>0</v>
      </c>
      <c r="O18" s="1">
        <f>SUMIFS('6.2'!$F$30:$F$30,'6.2'!$G$30:$G$30,$A18,'6.2'!$H$30:$H$30,O$5)</f>
        <v>0</v>
      </c>
      <c r="P18" s="1">
        <f>SUMIFS('6.2'!$F$30:$F$30,'6.2'!$G$30:$G$30,$A18,'6.2'!$H$30:$H$30,P$5)</f>
        <v>0</v>
      </c>
      <c r="Q18" s="1">
        <f>SUMIFS('6.2'!$F$30:$F$30,'6.2'!$G$30:$G$30,$A18,'6.2'!$H$30:$H$30,Q$5)</f>
        <v>0</v>
      </c>
      <c r="R18" s="1">
        <f>SUM(B18:Q18)</f>
        <v>0</v>
      </c>
    </row>
    <row r="19" spans="1:18" x14ac:dyDescent="0.3">
      <c r="A19" s="3" t="s">
        <v>239</v>
      </c>
      <c r="B19" s="1">
        <f>SUMIFS('6.2'!$F$30:$F$30,'6.2'!$G$30:$G$30,$A19,'6.2'!$H$30:$H$30,B$5)</f>
        <v>0</v>
      </c>
      <c r="C19" s="1">
        <f>SUMIFS('6.2'!$F$30:$F$30,'6.2'!$G$30:$G$30,$A19,'6.2'!$H$30:$H$30,C$5)</f>
        <v>0</v>
      </c>
      <c r="D19" s="1">
        <f>SUMIFS('6.2'!$F$30:$F$30,'6.2'!$G$30:$G$30,$A19,'6.2'!$H$30:$H$30,D$5)</f>
        <v>0</v>
      </c>
      <c r="E19" s="1">
        <f>SUMIFS('6.2'!$F$30:$F$30,'6.2'!$G$30:$G$30,$A19,'6.2'!$H$30:$H$30,E$5)</f>
        <v>0</v>
      </c>
      <c r="F19" s="1">
        <f>SUMIFS('6.2'!$F$30:$F$30,'6.2'!$G$30:$G$30,$A19,'6.2'!$H$30:$H$30,F$5)</f>
        <v>0</v>
      </c>
      <c r="G19" s="1">
        <f>SUMIFS('6.2'!$F$30:$F$30,'6.2'!$G$30:$G$30,$A19,'6.2'!$H$30:$H$30,G$5)</f>
        <v>0</v>
      </c>
      <c r="H19" s="1">
        <f>SUMIFS('6.2'!$F$30:$F$30,'6.2'!$G$30:$G$30,$A19,'6.2'!$H$30:$H$30,H$5)</f>
        <v>0</v>
      </c>
      <c r="I19" s="1">
        <f>SUMIFS('6.2'!$F$30:$F$30,'6.2'!$G$30:$G$30,$A19,'6.2'!$H$30:$H$30,I$5)</f>
        <v>0</v>
      </c>
      <c r="J19" s="1">
        <f>SUMIFS('6.2'!$F$30:$F$30,'6.2'!$G$30:$G$30,$A19,'6.2'!$H$30:$H$30,J$5)</f>
        <v>0</v>
      </c>
      <c r="K19" s="1">
        <f>SUMIFS('6.2'!$F$30:$F$30,'6.2'!$G$30:$G$30,$A19,'6.2'!$H$30:$H$30,K$5)</f>
        <v>0</v>
      </c>
      <c r="L19" s="1">
        <f>SUMIFS('6.2'!$F$30:$F$30,'6.2'!$G$30:$G$30,$A19,'6.2'!$H$30:$H$30,L$5)</f>
        <v>0</v>
      </c>
      <c r="M19" s="1">
        <f>SUMIFS('6.2'!$F$30:$F$30,'6.2'!$G$30:$G$30,$A19,'6.2'!$H$30:$H$30,M$5)</f>
        <v>0</v>
      </c>
      <c r="N19" s="1">
        <f>SUMIFS('6.2'!$F$30:$F$30,'6.2'!$G$30:$G$30,$A19,'6.2'!$H$30:$H$30,N$5)</f>
        <v>0</v>
      </c>
      <c r="O19" s="1">
        <f>SUMIFS('6.2'!$F$30:$F$30,'6.2'!$G$30:$G$30,$A19,'6.2'!$H$30:$H$30,O$5)</f>
        <v>0</v>
      </c>
      <c r="P19" s="1">
        <f>SUMIFS('6.2'!$F$30:$F$30,'6.2'!$G$30:$G$30,$A19,'6.2'!$H$30:$H$30,P$5)</f>
        <v>0</v>
      </c>
      <c r="Q19" s="1">
        <f>SUMIFS('6.2'!$F$30:$F$30,'6.2'!$G$30:$G$30,$A19,'6.2'!$H$30:$H$30,Q$5)</f>
        <v>0</v>
      </c>
      <c r="R19" s="1">
        <f>SUM(B19:Q19)</f>
        <v>0</v>
      </c>
    </row>
    <row r="20" spans="1:18" x14ac:dyDescent="0.3">
      <c r="A20" s="3" t="s">
        <v>187</v>
      </c>
      <c r="B20" s="1">
        <f t="shared" ref="B20:R20" si="2">SUBTOTAL(9,B18:B19)</f>
        <v>0</v>
      </c>
      <c r="C20" s="1">
        <f t="shared" si="2"/>
        <v>0</v>
      </c>
      <c r="D20" s="1">
        <f t="shared" si="2"/>
        <v>0</v>
      </c>
      <c r="E20" s="1">
        <f t="shared" si="2"/>
        <v>0</v>
      </c>
      <c r="F20" s="1">
        <f t="shared" si="2"/>
        <v>0</v>
      </c>
      <c r="G20" s="1">
        <f t="shared" si="2"/>
        <v>0</v>
      </c>
      <c r="H20" s="1">
        <f t="shared" si="2"/>
        <v>0</v>
      </c>
      <c r="I20" s="1">
        <f t="shared" si="2"/>
        <v>0</v>
      </c>
      <c r="J20" s="1">
        <f t="shared" si="2"/>
        <v>0</v>
      </c>
      <c r="K20" s="1">
        <f t="shared" si="2"/>
        <v>0</v>
      </c>
      <c r="L20" s="1">
        <f t="shared" si="2"/>
        <v>0</v>
      </c>
      <c r="M20" s="1">
        <f t="shared" si="2"/>
        <v>0</v>
      </c>
      <c r="N20" s="1">
        <f t="shared" si="2"/>
        <v>0</v>
      </c>
      <c r="O20" s="1">
        <f t="shared" si="2"/>
        <v>0</v>
      </c>
      <c r="P20" s="1">
        <f t="shared" si="2"/>
        <v>0</v>
      </c>
      <c r="Q20" s="1">
        <f t="shared" si="2"/>
        <v>0</v>
      </c>
      <c r="R20" s="1">
        <f t="shared" si="2"/>
        <v>0</v>
      </c>
    </row>
    <row r="21" spans="1:18" x14ac:dyDescent="0.3">
      <c r="A21" s="2" t="s">
        <v>214</v>
      </c>
      <c r="B21" s="1">
        <f>SUBTOTAL(9,B6:B20)</f>
        <v>0</v>
      </c>
      <c r="C21" s="1">
        <f>SUBTOTAL(9,C6:C20)</f>
        <v>0</v>
      </c>
      <c r="D21" s="1">
        <f>SUBTOTAL(9,D6:D20)</f>
        <v>0</v>
      </c>
      <c r="E21" s="1">
        <f>SUBTOTAL(9,E6:E20)</f>
        <v>0</v>
      </c>
      <c r="F21" s="1">
        <f>SUBTOTAL(9,F6:F20)</f>
        <v>0</v>
      </c>
      <c r="G21" s="1">
        <f>SUBTOTAL(9,G6:G20)</f>
        <v>109702410</v>
      </c>
      <c r="H21" s="1">
        <f>SUBTOTAL(9,H6:H20)</f>
        <v>0</v>
      </c>
      <c r="I21" s="1">
        <f>SUBTOTAL(9,I6:I20)</f>
        <v>89590707</v>
      </c>
      <c r="J21" s="1">
        <f>SUBTOTAL(9,J6:J20)</f>
        <v>18277754.5</v>
      </c>
      <c r="K21" s="1">
        <f>SUBTOTAL(9,K6:K20)</f>
        <v>0</v>
      </c>
      <c r="L21" s="1">
        <f>SUBTOTAL(9,L6:L20)</f>
        <v>0</v>
      </c>
      <c r="M21" s="1">
        <f>SUBTOTAL(9,M6:M20)</f>
        <v>0</v>
      </c>
      <c r="N21" s="1">
        <f>SUBTOTAL(9,N6:N20)</f>
        <v>0</v>
      </c>
      <c r="O21" s="1">
        <f>SUBTOTAL(9,O6:O20)</f>
        <v>0</v>
      </c>
      <c r="P21" s="1">
        <f>SUBTOTAL(9,P6:P20)</f>
        <v>0</v>
      </c>
      <c r="Q21" s="1">
        <f>SUBTOTAL(9,Q6:Q20)</f>
        <v>10623103</v>
      </c>
      <c r="R21" s="1">
        <f>SUBTOTAL(9,R6:R20)</f>
        <v>228193974.5</v>
      </c>
    </row>
    <row r="23" spans="1:18" s="5" customFormat="1" x14ac:dyDescent="0.3">
      <c r="A23" s="5" t="s">
        <v>225</v>
      </c>
    </row>
    <row r="24" spans="1:18" s="9" customFormat="1" ht="54" x14ac:dyDescent="0.25">
      <c r="B24" s="17" t="str">
        <f t="array" ref="B24:C24">TRANSPOSE(A44:A45)</f>
        <v>Primary &amp; Secondary</v>
      </c>
      <c r="C24" s="17" t="str">
        <v>Distribution Facilities</v>
      </c>
      <c r="D24" s="17"/>
      <c r="E24" s="17"/>
      <c r="F24" s="17"/>
      <c r="G24" s="17"/>
      <c r="H24" s="17"/>
      <c r="I24" s="17"/>
      <c r="J24" s="17"/>
      <c r="K24" s="17"/>
      <c r="L24" s="17"/>
      <c r="M24" s="17"/>
      <c r="N24" s="17"/>
      <c r="O24" s="17"/>
      <c r="P24" s="17"/>
      <c r="Q24" s="17"/>
      <c r="R24" s="17" t="s">
        <v>214</v>
      </c>
    </row>
    <row r="25" spans="1:18" x14ac:dyDescent="0.3">
      <c r="A25" s="1" t="s">
        <v>129</v>
      </c>
    </row>
    <row r="26" spans="1:18" x14ac:dyDescent="0.3">
      <c r="A26" s="3" t="s">
        <v>172</v>
      </c>
      <c r="B26" s="1">
        <f>SUMIFS('6.1'!$E$6:$E$74,Assets_PresHeader,$A26,Assets_BasisFunc,B$24,'6.1'!$Q$6:$Q$74,"Contributions Related Distribution Plant")</f>
        <v>0</v>
      </c>
      <c r="C26" s="1">
        <f>SUMIFS('6.1'!$E$6:$E$74,Assets_PresHeader,$A26,Assets_BasisFunc,C$24,'6.1'!$Q$6:$Q$74,"Contributions Related Distribution Plant")</f>
        <v>0</v>
      </c>
      <c r="D26" s="1">
        <f>SUMIFS('6.1'!$E$6:$E$74,Assets_PresHeader,$A26,Assets_BasisFunc,D$24,'6.1'!$Q$6:$Q$74,"Contributions Related Distribution Plant")</f>
        <v>0</v>
      </c>
      <c r="E26" s="1">
        <f>SUMIFS('6.1'!$E$6:$E$74,Assets_PresHeader,$A26,Assets_BasisFunc,E$24,'6.1'!$Q$6:$Q$74,"Contributions Related Distribution Plant")</f>
        <v>0</v>
      </c>
      <c r="F26" s="1">
        <f>SUMIFS('6.1'!$E$6:$E$74,Assets_PresHeader,$A26,Assets_BasisFunc,F$24,'6.1'!$Q$6:$Q$74,"Contributions Related Distribution Plant")</f>
        <v>0</v>
      </c>
      <c r="G26" s="1">
        <f>SUMIFS('6.1'!$E$6:$E$74,Assets_PresHeader,$A26,Assets_BasisFunc,G$24,'6.1'!$Q$6:$Q$74,"Contributions Related Distribution Plant")</f>
        <v>0</v>
      </c>
      <c r="H26" s="1">
        <f>SUMIFS('6.1'!$E$6:$E$74,Assets_PresHeader,$A26,Assets_BasisFunc,H$24,'6.1'!$Q$6:$Q$74,"Contributions Related Distribution Plant")</f>
        <v>0</v>
      </c>
      <c r="I26" s="1">
        <f>SUMIFS('6.1'!$E$6:$E$74,Assets_PresHeader,$A26,Assets_BasisFunc,I$24,'6.1'!$Q$6:$Q$74,"Contributions Related Distribution Plant")</f>
        <v>0</v>
      </c>
      <c r="J26" s="1">
        <f>SUMIFS('6.1'!$E$6:$E$74,Assets_PresHeader,$A26,Assets_BasisFunc,J$24,'6.1'!$Q$6:$Q$74,"Contributions Related Distribution Plant")</f>
        <v>0</v>
      </c>
      <c r="K26" s="1">
        <f>SUMIFS('6.1'!$E$6:$E$74,Assets_PresHeader,$A26,Assets_BasisFunc,K$24,'6.1'!$Q$6:$Q$74,"Contributions Related Distribution Plant")</f>
        <v>0</v>
      </c>
      <c r="L26" s="1">
        <f>SUMIFS('6.1'!$E$6:$E$74,Assets_PresHeader,$A26,Assets_BasisFunc,L$24,'6.1'!$Q$6:$Q$74,"Contributions Related Distribution Plant")</f>
        <v>0</v>
      </c>
      <c r="M26" s="1">
        <f>SUMIFS('6.1'!$E$6:$E$74,Assets_PresHeader,$A26,Assets_BasisFunc,M$24,'6.1'!$Q$6:$Q$74,"Contributions Related Distribution Plant")</f>
        <v>0</v>
      </c>
      <c r="N26" s="1">
        <f>SUMIFS('6.1'!$E$6:$E$74,Assets_PresHeader,$A26,Assets_BasisFunc,N$24,'6.1'!$Q$6:$Q$74,"Contributions Related Distribution Plant")</f>
        <v>0</v>
      </c>
      <c r="O26" s="1">
        <f>SUMIFS('6.1'!$E$6:$E$74,Assets_PresHeader,$A26,Assets_BasisFunc,O$24,'6.1'!$Q$6:$Q$74,"Contributions Related Distribution Plant")</f>
        <v>0</v>
      </c>
      <c r="P26" s="1">
        <f>SUMIFS('6.1'!$E$6:$E$74,Assets_PresHeader,$A26,Assets_BasisFunc,P$24,'6.1'!$Q$6:$Q$74,"Contributions Related Distribution Plant")</f>
        <v>0</v>
      </c>
      <c r="Q26" s="1">
        <f>SUMIFS('6.1'!$E$6:$E$74,Assets_PresHeader,$A26,Assets_BasisFunc,Q$24,'6.1'!$Q$6:$Q$74,"Contributions Related Distribution Plant")</f>
        <v>0</v>
      </c>
      <c r="R26" s="1">
        <f>SUM(B26:Q26)</f>
        <v>0</v>
      </c>
    </row>
    <row r="27" spans="1:18" x14ac:dyDescent="0.3">
      <c r="A27" s="3" t="s">
        <v>173</v>
      </c>
    </row>
    <row r="28" spans="1:18" x14ac:dyDescent="0.3">
      <c r="A28" s="4" t="s">
        <v>13</v>
      </c>
      <c r="B28" s="1">
        <f>SUMIFS('6.1'!$E$6:$E$74,Assets_PresHeader,$A28,Assets_BasisFunc,B$24,'6.1'!$Q$6:$Q$74,"Contributions Related Distribution Plant")</f>
        <v>0</v>
      </c>
      <c r="C28" s="1">
        <f>SUMIFS('6.1'!$E$6:$E$74,Assets_PresHeader,$A28,Assets_BasisFunc,C$24,'6.1'!$Q$6:$Q$74,"Contributions Related Distribution Plant")</f>
        <v>0</v>
      </c>
      <c r="D28" s="1">
        <f>SUMIFS('6.1'!$E$6:$E$74,Assets_PresHeader,$A28,Assets_BasisFunc,D$24,'6.1'!$Q$6:$Q$74,"Contributions Related Distribution Plant")</f>
        <v>0</v>
      </c>
      <c r="E28" s="1">
        <f>SUMIFS('6.1'!$E$6:$E$74,Assets_PresHeader,$A28,Assets_BasisFunc,E$24,'6.1'!$Q$6:$Q$74,"Contributions Related Distribution Plant")</f>
        <v>0</v>
      </c>
      <c r="F28" s="1">
        <f>SUMIFS('6.1'!$E$6:$E$74,Assets_PresHeader,$A28,Assets_BasisFunc,F$24,'6.1'!$Q$6:$Q$74,"Contributions Related Distribution Plant")</f>
        <v>0</v>
      </c>
      <c r="G28" s="1">
        <f>SUMIFS('6.1'!$E$6:$E$74,Assets_PresHeader,$A28,Assets_BasisFunc,G$24,'6.1'!$Q$6:$Q$74,"Contributions Related Distribution Plant")</f>
        <v>0</v>
      </c>
      <c r="H28" s="1">
        <f>SUMIFS('6.1'!$E$6:$E$74,Assets_PresHeader,$A28,Assets_BasisFunc,H$24,'6.1'!$Q$6:$Q$74,"Contributions Related Distribution Plant")</f>
        <v>0</v>
      </c>
      <c r="I28" s="1">
        <f>SUMIFS('6.1'!$E$6:$E$74,Assets_PresHeader,$A28,Assets_BasisFunc,I$24,'6.1'!$Q$6:$Q$74,"Contributions Related Distribution Plant")</f>
        <v>0</v>
      </c>
      <c r="J28" s="1">
        <f>SUMIFS('6.1'!$E$6:$E$74,Assets_PresHeader,$A28,Assets_BasisFunc,J$24,'6.1'!$Q$6:$Q$74,"Contributions Related Distribution Plant")</f>
        <v>0</v>
      </c>
      <c r="K28" s="1">
        <f>SUMIFS('6.1'!$E$6:$E$74,Assets_PresHeader,$A28,Assets_BasisFunc,K$24,'6.1'!$Q$6:$Q$74,"Contributions Related Distribution Plant")</f>
        <v>0</v>
      </c>
      <c r="L28" s="1">
        <f>SUMIFS('6.1'!$E$6:$E$74,Assets_PresHeader,$A28,Assets_BasisFunc,L$24,'6.1'!$Q$6:$Q$74,"Contributions Related Distribution Plant")</f>
        <v>0</v>
      </c>
      <c r="M28" s="1">
        <f>SUMIFS('6.1'!$E$6:$E$74,Assets_PresHeader,$A28,Assets_BasisFunc,M$24,'6.1'!$Q$6:$Q$74,"Contributions Related Distribution Plant")</f>
        <v>0</v>
      </c>
      <c r="N28" s="1">
        <f>SUMIFS('6.1'!$E$6:$E$74,Assets_PresHeader,$A28,Assets_BasisFunc,N$24,'6.1'!$Q$6:$Q$74,"Contributions Related Distribution Plant")</f>
        <v>0</v>
      </c>
      <c r="O28" s="1">
        <f>SUMIFS('6.1'!$E$6:$E$74,Assets_PresHeader,$A28,Assets_BasisFunc,O$24,'6.1'!$Q$6:$Q$74,"Contributions Related Distribution Plant")</f>
        <v>0</v>
      </c>
      <c r="P28" s="1">
        <f>SUMIFS('6.1'!$E$6:$E$74,Assets_PresHeader,$A28,Assets_BasisFunc,P$24,'6.1'!$Q$6:$Q$74,"Contributions Related Distribution Plant")</f>
        <v>0</v>
      </c>
      <c r="Q28" s="1">
        <f>SUMIFS('6.1'!$E$6:$E$74,Assets_PresHeader,$A28,Assets_BasisFunc,Q$24,'6.1'!$Q$6:$Q$74,"Contributions Related Distribution Plant")</f>
        <v>0</v>
      </c>
      <c r="R28" s="1">
        <f>SUM(B28:Q28)</f>
        <v>0</v>
      </c>
    </row>
    <row r="29" spans="1:18" x14ac:dyDescent="0.3">
      <c r="A29" s="4" t="s">
        <v>140</v>
      </c>
      <c r="B29" s="1">
        <f>SUMIFS('6.1'!$E$6:$E$74,Assets_PresHeader,$A29,Assets_BasisFunc,B$24,'6.1'!$Q$6:$Q$74,"Contributions Related Distribution Plant")</f>
        <v>235466122.5</v>
      </c>
      <c r="C29" s="1">
        <f>SUMIFS('6.1'!$E$6:$E$74,Assets_PresHeader,$A29,Assets_BasisFunc,C$24,'6.1'!$Q$6:$Q$74,"Contributions Related Distribution Plant")</f>
        <v>0</v>
      </c>
      <c r="D29" s="1">
        <f>SUMIFS('6.1'!$E$6:$E$74,Assets_PresHeader,$A29,Assets_BasisFunc,D$24,'6.1'!$Q$6:$Q$74,"Contributions Related Distribution Plant")</f>
        <v>0</v>
      </c>
      <c r="E29" s="1">
        <f>SUMIFS('6.1'!$E$6:$E$74,Assets_PresHeader,$A29,Assets_BasisFunc,E$24,'6.1'!$Q$6:$Q$74,"Contributions Related Distribution Plant")</f>
        <v>0</v>
      </c>
      <c r="F29" s="1">
        <f>SUMIFS('6.1'!$E$6:$E$74,Assets_PresHeader,$A29,Assets_BasisFunc,F$24,'6.1'!$Q$6:$Q$74,"Contributions Related Distribution Plant")</f>
        <v>0</v>
      </c>
      <c r="G29" s="1">
        <f>SUMIFS('6.1'!$E$6:$E$74,Assets_PresHeader,$A29,Assets_BasisFunc,G$24,'6.1'!$Q$6:$Q$74,"Contributions Related Distribution Plant")</f>
        <v>0</v>
      </c>
      <c r="H29" s="1">
        <f>SUMIFS('6.1'!$E$6:$E$74,Assets_PresHeader,$A29,Assets_BasisFunc,H$24,'6.1'!$Q$6:$Q$74,"Contributions Related Distribution Plant")</f>
        <v>0</v>
      </c>
      <c r="I29" s="1">
        <f>SUMIFS('6.1'!$E$6:$E$74,Assets_PresHeader,$A29,Assets_BasisFunc,I$24,'6.1'!$Q$6:$Q$74,"Contributions Related Distribution Plant")</f>
        <v>0</v>
      </c>
      <c r="J29" s="1">
        <f>SUMIFS('6.1'!$E$6:$E$74,Assets_PresHeader,$A29,Assets_BasisFunc,J$24,'6.1'!$Q$6:$Q$74,"Contributions Related Distribution Plant")</f>
        <v>0</v>
      </c>
      <c r="K29" s="1">
        <f>SUMIFS('6.1'!$E$6:$E$74,Assets_PresHeader,$A29,Assets_BasisFunc,K$24,'6.1'!$Q$6:$Q$74,"Contributions Related Distribution Plant")</f>
        <v>0</v>
      </c>
      <c r="L29" s="1">
        <f>SUMIFS('6.1'!$E$6:$E$74,Assets_PresHeader,$A29,Assets_BasisFunc,L$24,'6.1'!$Q$6:$Q$74,"Contributions Related Distribution Plant")</f>
        <v>0</v>
      </c>
      <c r="M29" s="1">
        <f>SUMIFS('6.1'!$E$6:$E$74,Assets_PresHeader,$A29,Assets_BasisFunc,M$24,'6.1'!$Q$6:$Q$74,"Contributions Related Distribution Plant")</f>
        <v>0</v>
      </c>
      <c r="N29" s="1">
        <f>SUMIFS('6.1'!$E$6:$E$74,Assets_PresHeader,$A29,Assets_BasisFunc,N$24,'6.1'!$Q$6:$Q$74,"Contributions Related Distribution Plant")</f>
        <v>0</v>
      </c>
      <c r="O29" s="1">
        <f>SUMIFS('6.1'!$E$6:$E$74,Assets_PresHeader,$A29,Assets_BasisFunc,O$24,'6.1'!$Q$6:$Q$74,"Contributions Related Distribution Plant")</f>
        <v>0</v>
      </c>
      <c r="P29" s="1">
        <f>SUMIFS('6.1'!$E$6:$E$74,Assets_PresHeader,$A29,Assets_BasisFunc,P$24,'6.1'!$Q$6:$Q$74,"Contributions Related Distribution Plant")</f>
        <v>0</v>
      </c>
      <c r="Q29" s="1">
        <f>SUMIFS('6.1'!$E$6:$E$74,Assets_PresHeader,$A29,Assets_BasisFunc,Q$24,'6.1'!$Q$6:$Q$74,"Contributions Related Distribution Plant")</f>
        <v>0</v>
      </c>
      <c r="R29" s="1">
        <f>SUM(B29:Q29)</f>
        <v>235466122.5</v>
      </c>
    </row>
    <row r="30" spans="1:18" x14ac:dyDescent="0.3">
      <c r="A30" s="4" t="s">
        <v>141</v>
      </c>
      <c r="B30" s="1">
        <f>SUMIFS('6.1'!$E$6:$E$74,Assets_PresHeader,$A30,Assets_BasisFunc,B$24,'6.1'!$Q$6:$Q$74,"Contributions Related Distribution Plant")</f>
        <v>0</v>
      </c>
      <c r="C30" s="1">
        <f>SUMIFS('6.1'!$E$6:$E$74,Assets_PresHeader,$A30,Assets_BasisFunc,C$24,'6.1'!$Q$6:$Q$74,"Contributions Related Distribution Plant")</f>
        <v>0</v>
      </c>
      <c r="D30" s="1">
        <f>SUMIFS('6.1'!$E$6:$E$74,Assets_PresHeader,$A30,Assets_BasisFunc,D$24,'6.1'!$Q$6:$Q$74,"Contributions Related Distribution Plant")</f>
        <v>0</v>
      </c>
      <c r="E30" s="1">
        <f>SUMIFS('6.1'!$E$6:$E$74,Assets_PresHeader,$A30,Assets_BasisFunc,E$24,'6.1'!$Q$6:$Q$74,"Contributions Related Distribution Plant")</f>
        <v>0</v>
      </c>
      <c r="F30" s="1">
        <f>SUMIFS('6.1'!$E$6:$E$74,Assets_PresHeader,$A30,Assets_BasisFunc,F$24,'6.1'!$Q$6:$Q$74,"Contributions Related Distribution Plant")</f>
        <v>0</v>
      </c>
      <c r="G30" s="1">
        <f>SUMIFS('6.1'!$E$6:$E$74,Assets_PresHeader,$A30,Assets_BasisFunc,G$24,'6.1'!$Q$6:$Q$74,"Contributions Related Distribution Plant")</f>
        <v>0</v>
      </c>
      <c r="H30" s="1">
        <f>SUMIFS('6.1'!$E$6:$E$74,Assets_PresHeader,$A30,Assets_BasisFunc,H$24,'6.1'!$Q$6:$Q$74,"Contributions Related Distribution Plant")</f>
        <v>0</v>
      </c>
      <c r="I30" s="1">
        <f>SUMIFS('6.1'!$E$6:$E$74,Assets_PresHeader,$A30,Assets_BasisFunc,I$24,'6.1'!$Q$6:$Q$74,"Contributions Related Distribution Plant")</f>
        <v>0</v>
      </c>
      <c r="J30" s="1">
        <f>SUMIFS('6.1'!$E$6:$E$74,Assets_PresHeader,$A30,Assets_BasisFunc,J$24,'6.1'!$Q$6:$Q$74,"Contributions Related Distribution Plant")</f>
        <v>0</v>
      </c>
      <c r="K30" s="1">
        <f>SUMIFS('6.1'!$E$6:$E$74,Assets_PresHeader,$A30,Assets_BasisFunc,K$24,'6.1'!$Q$6:$Q$74,"Contributions Related Distribution Plant")</f>
        <v>0</v>
      </c>
      <c r="L30" s="1">
        <f>SUMIFS('6.1'!$E$6:$E$74,Assets_PresHeader,$A30,Assets_BasisFunc,L$24,'6.1'!$Q$6:$Q$74,"Contributions Related Distribution Plant")</f>
        <v>0</v>
      </c>
      <c r="M30" s="1">
        <f>SUMIFS('6.1'!$E$6:$E$74,Assets_PresHeader,$A30,Assets_BasisFunc,M$24,'6.1'!$Q$6:$Q$74,"Contributions Related Distribution Plant")</f>
        <v>0</v>
      </c>
      <c r="N30" s="1">
        <f>SUMIFS('6.1'!$E$6:$E$74,Assets_PresHeader,$A30,Assets_BasisFunc,N$24,'6.1'!$Q$6:$Q$74,"Contributions Related Distribution Plant")</f>
        <v>0</v>
      </c>
      <c r="O30" s="1">
        <f>SUMIFS('6.1'!$E$6:$E$74,Assets_PresHeader,$A30,Assets_BasisFunc,O$24,'6.1'!$Q$6:$Q$74,"Contributions Related Distribution Plant")</f>
        <v>0</v>
      </c>
      <c r="P30" s="1">
        <f>SUMIFS('6.1'!$E$6:$E$74,Assets_PresHeader,$A30,Assets_BasisFunc,P$24,'6.1'!$Q$6:$Q$74,"Contributions Related Distribution Plant")</f>
        <v>0</v>
      </c>
      <c r="Q30" s="1">
        <f>SUMIFS('6.1'!$E$6:$E$74,Assets_PresHeader,$A30,Assets_BasisFunc,Q$24,'6.1'!$Q$6:$Q$74,"Contributions Related Distribution Plant")</f>
        <v>0</v>
      </c>
      <c r="R30" s="1">
        <f>SUM(B30:Q30)</f>
        <v>0</v>
      </c>
    </row>
    <row r="31" spans="1:18" x14ac:dyDescent="0.3">
      <c r="A31" s="4" t="s">
        <v>142</v>
      </c>
      <c r="B31" s="1">
        <f>SUMIFS('6.1'!$E$6:$E$74,Assets_PresHeader,$A31,Assets_BasisFunc,B$24,'6.1'!$Q$6:$Q$74,"Contributions Related Distribution Plant")</f>
        <v>0</v>
      </c>
      <c r="C31" s="1">
        <f>SUMIFS('6.1'!$E$6:$E$74,Assets_PresHeader,$A31,Assets_BasisFunc,C$24,'6.1'!$Q$6:$Q$74,"Contributions Related Distribution Plant")</f>
        <v>0</v>
      </c>
      <c r="D31" s="1">
        <f>SUMIFS('6.1'!$E$6:$E$74,Assets_PresHeader,$A31,Assets_BasisFunc,D$24,'6.1'!$Q$6:$Q$74,"Contributions Related Distribution Plant")</f>
        <v>0</v>
      </c>
      <c r="E31" s="1">
        <f>SUMIFS('6.1'!$E$6:$E$74,Assets_PresHeader,$A31,Assets_BasisFunc,E$24,'6.1'!$Q$6:$Q$74,"Contributions Related Distribution Plant")</f>
        <v>0</v>
      </c>
      <c r="F31" s="1">
        <f>SUMIFS('6.1'!$E$6:$E$74,Assets_PresHeader,$A31,Assets_BasisFunc,F$24,'6.1'!$Q$6:$Q$74,"Contributions Related Distribution Plant")</f>
        <v>0</v>
      </c>
      <c r="G31" s="1">
        <f>SUMIFS('6.1'!$E$6:$E$74,Assets_PresHeader,$A31,Assets_BasisFunc,G$24,'6.1'!$Q$6:$Q$74,"Contributions Related Distribution Plant")</f>
        <v>0</v>
      </c>
      <c r="H31" s="1">
        <f>SUMIFS('6.1'!$E$6:$E$74,Assets_PresHeader,$A31,Assets_BasisFunc,H$24,'6.1'!$Q$6:$Q$74,"Contributions Related Distribution Plant")</f>
        <v>0</v>
      </c>
      <c r="I31" s="1">
        <f>SUMIFS('6.1'!$E$6:$E$74,Assets_PresHeader,$A31,Assets_BasisFunc,I$24,'6.1'!$Q$6:$Q$74,"Contributions Related Distribution Plant")</f>
        <v>0</v>
      </c>
      <c r="J31" s="1">
        <f>SUMIFS('6.1'!$E$6:$E$74,Assets_PresHeader,$A31,Assets_BasisFunc,J$24,'6.1'!$Q$6:$Q$74,"Contributions Related Distribution Plant")</f>
        <v>0</v>
      </c>
      <c r="K31" s="1">
        <f>SUMIFS('6.1'!$E$6:$E$74,Assets_PresHeader,$A31,Assets_BasisFunc,K$24,'6.1'!$Q$6:$Q$74,"Contributions Related Distribution Plant")</f>
        <v>0</v>
      </c>
      <c r="L31" s="1">
        <f>SUMIFS('6.1'!$E$6:$E$74,Assets_PresHeader,$A31,Assets_BasisFunc,L$24,'6.1'!$Q$6:$Q$74,"Contributions Related Distribution Plant")</f>
        <v>0</v>
      </c>
      <c r="M31" s="1">
        <f>SUMIFS('6.1'!$E$6:$E$74,Assets_PresHeader,$A31,Assets_BasisFunc,M$24,'6.1'!$Q$6:$Q$74,"Contributions Related Distribution Plant")</f>
        <v>0</v>
      </c>
      <c r="N31" s="1">
        <f>SUMIFS('6.1'!$E$6:$E$74,Assets_PresHeader,$A31,Assets_BasisFunc,N$24,'6.1'!$Q$6:$Q$74,"Contributions Related Distribution Plant")</f>
        <v>0</v>
      </c>
      <c r="O31" s="1">
        <f>SUMIFS('6.1'!$E$6:$E$74,Assets_PresHeader,$A31,Assets_BasisFunc,O$24,'6.1'!$Q$6:$Q$74,"Contributions Related Distribution Plant")</f>
        <v>0</v>
      </c>
      <c r="P31" s="1">
        <f>SUMIFS('6.1'!$E$6:$E$74,Assets_PresHeader,$A31,Assets_BasisFunc,P$24,'6.1'!$Q$6:$Q$74,"Contributions Related Distribution Plant")</f>
        <v>0</v>
      </c>
      <c r="Q31" s="1">
        <f>SUMIFS('6.1'!$E$6:$E$74,Assets_PresHeader,$A31,Assets_BasisFunc,Q$24,'6.1'!$Q$6:$Q$74,"Contributions Related Distribution Plant")</f>
        <v>0</v>
      </c>
      <c r="R31" s="1">
        <f>SUM(B31:Q31)</f>
        <v>0</v>
      </c>
    </row>
    <row r="32" spans="1:18" x14ac:dyDescent="0.3">
      <c r="A32" s="4" t="s">
        <v>143</v>
      </c>
      <c r="B32" s="1">
        <f>SUMIFS('6.1'!$E$6:$E$74,Assets_PresHeader,$A32,Assets_BasisFunc,B$24,'6.1'!$Q$6:$Q$74,"Contributions Related Distribution Plant")</f>
        <v>0</v>
      </c>
      <c r="C32" s="1">
        <f>SUMIFS('6.1'!$E$6:$E$74,Assets_PresHeader,$A32,Assets_BasisFunc,C$24,'6.1'!$Q$6:$Q$74,"Contributions Related Distribution Plant")</f>
        <v>0</v>
      </c>
      <c r="D32" s="1">
        <f>SUMIFS('6.1'!$E$6:$E$74,Assets_PresHeader,$A32,Assets_BasisFunc,D$24,'6.1'!$Q$6:$Q$74,"Contributions Related Distribution Plant")</f>
        <v>0</v>
      </c>
      <c r="E32" s="1">
        <f>SUMIFS('6.1'!$E$6:$E$74,Assets_PresHeader,$A32,Assets_BasisFunc,E$24,'6.1'!$Q$6:$Q$74,"Contributions Related Distribution Plant")</f>
        <v>0</v>
      </c>
      <c r="F32" s="1">
        <f>SUMIFS('6.1'!$E$6:$E$74,Assets_PresHeader,$A32,Assets_BasisFunc,F$24,'6.1'!$Q$6:$Q$74,"Contributions Related Distribution Plant")</f>
        <v>0</v>
      </c>
      <c r="G32" s="1">
        <f>SUMIFS('6.1'!$E$6:$E$74,Assets_PresHeader,$A32,Assets_BasisFunc,G$24,'6.1'!$Q$6:$Q$74,"Contributions Related Distribution Plant")</f>
        <v>0</v>
      </c>
      <c r="H32" s="1">
        <f>SUMIFS('6.1'!$E$6:$E$74,Assets_PresHeader,$A32,Assets_BasisFunc,H$24,'6.1'!$Q$6:$Q$74,"Contributions Related Distribution Plant")</f>
        <v>0</v>
      </c>
      <c r="I32" s="1">
        <f>SUMIFS('6.1'!$E$6:$E$74,Assets_PresHeader,$A32,Assets_BasisFunc,I$24,'6.1'!$Q$6:$Q$74,"Contributions Related Distribution Plant")</f>
        <v>0</v>
      </c>
      <c r="J32" s="1">
        <f>SUMIFS('6.1'!$E$6:$E$74,Assets_PresHeader,$A32,Assets_BasisFunc,J$24,'6.1'!$Q$6:$Q$74,"Contributions Related Distribution Plant")</f>
        <v>0</v>
      </c>
      <c r="K32" s="1">
        <f>SUMIFS('6.1'!$E$6:$E$74,Assets_PresHeader,$A32,Assets_BasisFunc,K$24,'6.1'!$Q$6:$Q$74,"Contributions Related Distribution Plant")</f>
        <v>0</v>
      </c>
      <c r="L32" s="1">
        <f>SUMIFS('6.1'!$E$6:$E$74,Assets_PresHeader,$A32,Assets_BasisFunc,L$24,'6.1'!$Q$6:$Q$74,"Contributions Related Distribution Plant")</f>
        <v>0</v>
      </c>
      <c r="M32" s="1">
        <f>SUMIFS('6.1'!$E$6:$E$74,Assets_PresHeader,$A32,Assets_BasisFunc,M$24,'6.1'!$Q$6:$Q$74,"Contributions Related Distribution Plant")</f>
        <v>0</v>
      </c>
      <c r="N32" s="1">
        <f>SUMIFS('6.1'!$E$6:$E$74,Assets_PresHeader,$A32,Assets_BasisFunc,N$24,'6.1'!$Q$6:$Q$74,"Contributions Related Distribution Plant")</f>
        <v>0</v>
      </c>
      <c r="O32" s="1">
        <f>SUMIFS('6.1'!$E$6:$E$74,Assets_PresHeader,$A32,Assets_BasisFunc,O$24,'6.1'!$Q$6:$Q$74,"Contributions Related Distribution Plant")</f>
        <v>0</v>
      </c>
      <c r="P32" s="1">
        <f>SUMIFS('6.1'!$E$6:$E$74,Assets_PresHeader,$A32,Assets_BasisFunc,P$24,'6.1'!$Q$6:$Q$74,"Contributions Related Distribution Plant")</f>
        <v>0</v>
      </c>
      <c r="Q32" s="1">
        <f>SUMIFS('6.1'!$E$6:$E$74,Assets_PresHeader,$A32,Assets_BasisFunc,Q$24,'6.1'!$Q$6:$Q$74,"Contributions Related Distribution Plant")</f>
        <v>0</v>
      </c>
      <c r="R32" s="1">
        <f>SUM(B32:Q32)</f>
        <v>0</v>
      </c>
    </row>
    <row r="33" spans="1:18" x14ac:dyDescent="0.3">
      <c r="A33" s="4" t="s">
        <v>174</v>
      </c>
      <c r="B33" s="1">
        <f t="shared" ref="B33:Q33" si="3">SUBTOTAL(9,B27:B32)</f>
        <v>235466122.5</v>
      </c>
      <c r="C33" s="1">
        <f t="shared" si="3"/>
        <v>0</v>
      </c>
      <c r="D33" s="1">
        <f t="shared" si="3"/>
        <v>0</v>
      </c>
      <c r="E33" s="1">
        <f t="shared" si="3"/>
        <v>0</v>
      </c>
      <c r="F33" s="1">
        <f t="shared" si="3"/>
        <v>0</v>
      </c>
      <c r="G33" s="1">
        <f t="shared" si="3"/>
        <v>0</v>
      </c>
      <c r="H33" s="1">
        <f t="shared" si="3"/>
        <v>0</v>
      </c>
      <c r="I33" s="1">
        <f t="shared" si="3"/>
        <v>0</v>
      </c>
      <c r="J33" s="1">
        <f t="shared" si="3"/>
        <v>0</v>
      </c>
      <c r="K33" s="1">
        <f t="shared" si="3"/>
        <v>0</v>
      </c>
      <c r="L33" s="1">
        <f t="shared" si="3"/>
        <v>0</v>
      </c>
      <c r="M33" s="1">
        <f t="shared" si="3"/>
        <v>0</v>
      </c>
      <c r="N33" s="1">
        <f t="shared" si="3"/>
        <v>0</v>
      </c>
      <c r="O33" s="1">
        <f t="shared" si="3"/>
        <v>0</v>
      </c>
      <c r="P33" s="1">
        <f t="shared" si="3"/>
        <v>0</v>
      </c>
      <c r="Q33" s="1">
        <f t="shared" si="3"/>
        <v>0</v>
      </c>
      <c r="R33" s="1">
        <f>SUBTOTAL(9,R27:R32)</f>
        <v>235466122.5</v>
      </c>
    </row>
    <row r="34" spans="1:18" x14ac:dyDescent="0.3">
      <c r="A34" s="3" t="s">
        <v>175</v>
      </c>
      <c r="B34" s="1">
        <f>SUMIFS('6.1'!$E$6:$E$74,Assets_PresHeader,$A34,Assets_BasisFunc,B$24,'6.1'!$Q$6:$Q$74,"Contributions Related Distribution Plant")</f>
        <v>0</v>
      </c>
      <c r="C34" s="1">
        <f>SUMIFS('6.1'!$E$6:$E$74,Assets_PresHeader,$A34,Assets_BasisFunc,C$24,'6.1'!$Q$6:$Q$74,"Contributions Related Distribution Plant")</f>
        <v>0</v>
      </c>
      <c r="D34" s="1">
        <f>SUMIFS('6.1'!$E$6:$E$74,Assets_PresHeader,$A34,Assets_BasisFunc,D$24,'6.1'!$Q$6:$Q$74,"Contributions Related Distribution Plant")</f>
        <v>0</v>
      </c>
      <c r="E34" s="1">
        <f>SUMIFS('6.1'!$E$6:$E$74,Assets_PresHeader,$A34,Assets_BasisFunc,E$24,'6.1'!$Q$6:$Q$74,"Contributions Related Distribution Plant")</f>
        <v>0</v>
      </c>
      <c r="F34" s="1">
        <f>SUMIFS('6.1'!$E$6:$E$74,Assets_PresHeader,$A34,Assets_BasisFunc,F$24,'6.1'!$Q$6:$Q$74,"Contributions Related Distribution Plant")</f>
        <v>0</v>
      </c>
      <c r="G34" s="1">
        <f>SUMIFS('6.1'!$E$6:$E$74,Assets_PresHeader,$A34,Assets_BasisFunc,G$24,'6.1'!$Q$6:$Q$74,"Contributions Related Distribution Plant")</f>
        <v>0</v>
      </c>
      <c r="H34" s="1">
        <f>SUMIFS('6.1'!$E$6:$E$74,Assets_PresHeader,$A34,Assets_BasisFunc,H$24,'6.1'!$Q$6:$Q$74,"Contributions Related Distribution Plant")</f>
        <v>0</v>
      </c>
      <c r="I34" s="1">
        <f>SUMIFS('6.1'!$E$6:$E$74,Assets_PresHeader,$A34,Assets_BasisFunc,I$24,'6.1'!$Q$6:$Q$74,"Contributions Related Distribution Plant")</f>
        <v>0</v>
      </c>
      <c r="J34" s="1">
        <f>SUMIFS('6.1'!$E$6:$E$74,Assets_PresHeader,$A34,Assets_BasisFunc,J$24,'6.1'!$Q$6:$Q$74,"Contributions Related Distribution Plant")</f>
        <v>0</v>
      </c>
      <c r="K34" s="1">
        <f>SUMIFS('6.1'!$E$6:$E$74,Assets_PresHeader,$A34,Assets_BasisFunc,K$24,'6.1'!$Q$6:$Q$74,"Contributions Related Distribution Plant")</f>
        <v>0</v>
      </c>
      <c r="L34" s="1">
        <f>SUMIFS('6.1'!$E$6:$E$74,Assets_PresHeader,$A34,Assets_BasisFunc,L$24,'6.1'!$Q$6:$Q$74,"Contributions Related Distribution Plant")</f>
        <v>0</v>
      </c>
      <c r="M34" s="1">
        <f>SUMIFS('6.1'!$E$6:$E$74,Assets_PresHeader,$A34,Assets_BasisFunc,M$24,'6.1'!$Q$6:$Q$74,"Contributions Related Distribution Plant")</f>
        <v>0</v>
      </c>
      <c r="N34" s="1">
        <f>SUMIFS('6.1'!$E$6:$E$74,Assets_PresHeader,$A34,Assets_BasisFunc,N$24,'6.1'!$Q$6:$Q$74,"Contributions Related Distribution Plant")</f>
        <v>0</v>
      </c>
      <c r="O34" s="1">
        <f>SUMIFS('6.1'!$E$6:$E$74,Assets_PresHeader,$A34,Assets_BasisFunc,O$24,'6.1'!$Q$6:$Q$74,"Contributions Related Distribution Plant")</f>
        <v>0</v>
      </c>
      <c r="P34" s="1">
        <f>SUMIFS('6.1'!$E$6:$E$74,Assets_PresHeader,$A34,Assets_BasisFunc,P$24,'6.1'!$Q$6:$Q$74,"Contributions Related Distribution Plant")</f>
        <v>0</v>
      </c>
      <c r="Q34" s="1">
        <f>SUMIFS('6.1'!$E$6:$E$74,Assets_PresHeader,$A34,Assets_BasisFunc,Q$24,'6.1'!$Q$6:$Q$74,"Contributions Related Distribution Plant")</f>
        <v>0</v>
      </c>
      <c r="R34" s="1">
        <f>SUM(B34:Q34)</f>
        <v>0</v>
      </c>
    </row>
    <row r="35" spans="1:18" x14ac:dyDescent="0.3">
      <c r="A35" s="3" t="s">
        <v>213</v>
      </c>
      <c r="B35" s="1">
        <f t="shared" ref="B35:R35" si="4">SUBTOTAL(9,B25:B34)</f>
        <v>235466122.5</v>
      </c>
      <c r="C35" s="1">
        <f t="shared" si="4"/>
        <v>0</v>
      </c>
      <c r="D35" s="1">
        <f t="shared" si="4"/>
        <v>0</v>
      </c>
      <c r="E35" s="1">
        <f t="shared" si="4"/>
        <v>0</v>
      </c>
      <c r="F35" s="1">
        <f t="shared" si="4"/>
        <v>0</v>
      </c>
      <c r="G35" s="1">
        <f t="shared" si="4"/>
        <v>0</v>
      </c>
      <c r="H35" s="1">
        <f t="shared" si="4"/>
        <v>0</v>
      </c>
      <c r="I35" s="1">
        <f t="shared" si="4"/>
        <v>0</v>
      </c>
      <c r="J35" s="1">
        <f t="shared" si="4"/>
        <v>0</v>
      </c>
      <c r="K35" s="1">
        <f t="shared" si="4"/>
        <v>0</v>
      </c>
      <c r="L35" s="1">
        <f t="shared" si="4"/>
        <v>0</v>
      </c>
      <c r="M35" s="1">
        <f t="shared" si="4"/>
        <v>0</v>
      </c>
      <c r="N35" s="1">
        <f t="shared" si="4"/>
        <v>0</v>
      </c>
      <c r="O35" s="1">
        <f t="shared" si="4"/>
        <v>0</v>
      </c>
      <c r="P35" s="1">
        <f t="shared" si="4"/>
        <v>0</v>
      </c>
      <c r="Q35" s="1">
        <f t="shared" si="4"/>
        <v>0</v>
      </c>
      <c r="R35" s="1">
        <f t="shared" si="4"/>
        <v>235466122.5</v>
      </c>
    </row>
    <row r="36" spans="1:18" x14ac:dyDescent="0.3">
      <c r="A36" s="2" t="s">
        <v>186</v>
      </c>
    </row>
    <row r="37" spans="1:18" x14ac:dyDescent="0.3">
      <c r="A37" s="3" t="s">
        <v>238</v>
      </c>
      <c r="B37" s="1">
        <f>SUMIFS('6.2'!$F$30:$F$30,'6.2'!$G$30:$G$30,$A37,'6.2'!$H$30:$H$30,B$24)</f>
        <v>0</v>
      </c>
      <c r="C37" s="1">
        <f>SUMIFS('6.2'!$F$30:$F$30,'6.2'!$G$30:$G$30,$A37,'6.2'!$H$30:$H$30,C$24)</f>
        <v>282000</v>
      </c>
      <c r="D37" s="1">
        <f>SUMIFS('6.2'!$F$30:$F$30,'6.2'!$G$30:$G$30,$A37,'6.2'!$H$30:$H$30,D$24)</f>
        <v>0</v>
      </c>
      <c r="E37" s="1">
        <f>SUMIFS('6.2'!$F$30:$F$30,'6.2'!$G$30:$G$30,$A37,'6.2'!$H$30:$H$30,E$24)</f>
        <v>0</v>
      </c>
      <c r="F37" s="1">
        <f>SUMIFS('6.2'!$F$30:$F$30,'6.2'!$G$30:$G$30,$A37,'6.2'!$H$30:$H$30,F$24)</f>
        <v>0</v>
      </c>
      <c r="G37" s="1">
        <f>SUMIFS('6.2'!$F$30:$F$30,'6.2'!$G$30:$G$30,$A37,'6.2'!$H$30:$H$30,G$24)</f>
        <v>0</v>
      </c>
      <c r="H37" s="1">
        <f>SUMIFS('6.2'!$F$30:$F$30,'6.2'!$G$30:$G$30,$A37,'6.2'!$H$30:$H$30,H$24)</f>
        <v>0</v>
      </c>
      <c r="I37" s="1">
        <f>SUMIFS('6.2'!$F$30:$F$30,'6.2'!$G$30:$G$30,$A37,'6.2'!$H$30:$H$30,I$24)</f>
        <v>0</v>
      </c>
      <c r="J37" s="1">
        <f>SUMIFS('6.2'!$F$30:$F$30,'6.2'!$G$30:$G$30,$A37,'6.2'!$H$30:$H$30,J$24)</f>
        <v>0</v>
      </c>
      <c r="K37" s="1">
        <f>SUMIFS('6.2'!$F$30:$F$30,'6.2'!$G$30:$G$30,$A37,'6.2'!$H$30:$H$30,K$24)</f>
        <v>0</v>
      </c>
      <c r="L37" s="1">
        <f>SUMIFS('6.2'!$F$30:$F$30,'6.2'!$G$30:$G$30,$A37,'6.2'!$H$30:$H$30,L$24)</f>
        <v>0</v>
      </c>
      <c r="M37" s="1">
        <f>SUMIFS('6.2'!$F$30:$F$30,'6.2'!$G$30:$G$30,$A37,'6.2'!$H$30:$H$30,M$24)</f>
        <v>0</v>
      </c>
      <c r="N37" s="1">
        <f>SUMIFS('6.2'!$F$30:$F$30,'6.2'!$G$30:$G$30,$A37,'6.2'!$H$30:$H$30,N$24)</f>
        <v>0</v>
      </c>
      <c r="O37" s="1">
        <f>SUMIFS('6.2'!$F$30:$F$30,'6.2'!$G$30:$G$30,$A37,'6.2'!$H$30:$H$30,O$24)</f>
        <v>0</v>
      </c>
      <c r="P37" s="1">
        <f>SUMIFS('6.2'!$F$30:$F$30,'6.2'!$G$30:$G$30,$A37,'6.2'!$H$30:$H$30,P$24)</f>
        <v>0</v>
      </c>
      <c r="Q37" s="1">
        <f>SUMIFS('6.2'!$F$30:$F$30,'6.2'!$G$30:$G$30,$A37,'6.2'!$H$30:$H$30,Q$24)</f>
        <v>0</v>
      </c>
      <c r="R37" s="1">
        <f>SUM(B37:Q37)</f>
        <v>282000</v>
      </c>
    </row>
    <row r="38" spans="1:18" x14ac:dyDescent="0.3">
      <c r="A38" s="3" t="s">
        <v>239</v>
      </c>
      <c r="B38" s="1">
        <f>SUMIFS('6.2'!$F$30:$F$30,'6.2'!$G$30:$G$30,$A38,'6.2'!$H$30:$H$30,B$24)</f>
        <v>0</v>
      </c>
      <c r="C38" s="1">
        <f>SUMIFS('6.2'!$F$30:$F$30,'6.2'!$G$30:$G$30,$A38,'6.2'!$H$30:$H$30,C$24)</f>
        <v>0</v>
      </c>
      <c r="D38" s="1">
        <f>SUMIFS('6.2'!$F$30:$F$30,'6.2'!$G$30:$G$30,$A38,'6.2'!$H$30:$H$30,D$24)</f>
        <v>0</v>
      </c>
      <c r="E38" s="1">
        <f>SUMIFS('6.2'!$F$30:$F$30,'6.2'!$G$30:$G$30,$A38,'6.2'!$H$30:$H$30,E$24)</f>
        <v>0</v>
      </c>
      <c r="F38" s="1">
        <f>SUMIFS('6.2'!$F$30:$F$30,'6.2'!$G$30:$G$30,$A38,'6.2'!$H$30:$H$30,F$24)</f>
        <v>0</v>
      </c>
      <c r="G38" s="1">
        <f>SUMIFS('6.2'!$F$30:$F$30,'6.2'!$G$30:$G$30,$A38,'6.2'!$H$30:$H$30,G$24)</f>
        <v>0</v>
      </c>
      <c r="H38" s="1">
        <f>SUMIFS('6.2'!$F$30:$F$30,'6.2'!$G$30:$G$30,$A38,'6.2'!$H$30:$H$30,H$24)</f>
        <v>0</v>
      </c>
      <c r="I38" s="1">
        <f>SUMIFS('6.2'!$F$30:$F$30,'6.2'!$G$30:$G$30,$A38,'6.2'!$H$30:$H$30,I$24)</f>
        <v>0</v>
      </c>
      <c r="J38" s="1">
        <f>SUMIFS('6.2'!$F$30:$F$30,'6.2'!$G$30:$G$30,$A38,'6.2'!$H$30:$H$30,J$24)</f>
        <v>0</v>
      </c>
      <c r="K38" s="1">
        <f>SUMIFS('6.2'!$F$30:$F$30,'6.2'!$G$30:$G$30,$A38,'6.2'!$H$30:$H$30,K$24)</f>
        <v>0</v>
      </c>
      <c r="L38" s="1">
        <f>SUMIFS('6.2'!$F$30:$F$30,'6.2'!$G$30:$G$30,$A38,'6.2'!$H$30:$H$30,L$24)</f>
        <v>0</v>
      </c>
      <c r="M38" s="1">
        <f>SUMIFS('6.2'!$F$30:$F$30,'6.2'!$G$30:$G$30,$A38,'6.2'!$H$30:$H$30,M$24)</f>
        <v>0</v>
      </c>
      <c r="N38" s="1">
        <f>SUMIFS('6.2'!$F$30:$F$30,'6.2'!$G$30:$G$30,$A38,'6.2'!$H$30:$H$30,N$24)</f>
        <v>0</v>
      </c>
      <c r="O38" s="1">
        <f>SUMIFS('6.2'!$F$30:$F$30,'6.2'!$G$30:$G$30,$A38,'6.2'!$H$30:$H$30,O$24)</f>
        <v>0</v>
      </c>
      <c r="P38" s="1">
        <f>SUMIFS('6.2'!$F$30:$F$30,'6.2'!$G$30:$G$30,$A38,'6.2'!$H$30:$H$30,P$24)</f>
        <v>0</v>
      </c>
      <c r="Q38" s="1">
        <f>SUMIFS('6.2'!$F$30:$F$30,'6.2'!$G$30:$G$30,$A38,'6.2'!$H$30:$H$30,Q$24)</f>
        <v>0</v>
      </c>
      <c r="R38" s="1">
        <f>SUM(B38:Q38)</f>
        <v>0</v>
      </c>
    </row>
    <row r="39" spans="1:18" x14ac:dyDescent="0.3">
      <c r="A39" s="3" t="s">
        <v>187</v>
      </c>
      <c r="B39" s="1">
        <f t="shared" ref="B39:R39" si="5">SUBTOTAL(9,B37:B38)</f>
        <v>0</v>
      </c>
      <c r="C39" s="1">
        <f t="shared" si="5"/>
        <v>282000</v>
      </c>
      <c r="D39" s="1">
        <f t="shared" si="5"/>
        <v>0</v>
      </c>
      <c r="E39" s="1">
        <f t="shared" si="5"/>
        <v>0</v>
      </c>
      <c r="F39" s="1">
        <f t="shared" si="5"/>
        <v>0</v>
      </c>
      <c r="G39" s="1">
        <f t="shared" si="5"/>
        <v>0</v>
      </c>
      <c r="H39" s="1">
        <f t="shared" si="5"/>
        <v>0</v>
      </c>
      <c r="I39" s="1">
        <f t="shared" si="5"/>
        <v>0</v>
      </c>
      <c r="J39" s="1">
        <f t="shared" si="5"/>
        <v>0</v>
      </c>
      <c r="K39" s="1">
        <f t="shared" si="5"/>
        <v>0</v>
      </c>
      <c r="L39" s="1">
        <f t="shared" si="5"/>
        <v>0</v>
      </c>
      <c r="M39" s="1">
        <f t="shared" si="5"/>
        <v>0</v>
      </c>
      <c r="N39" s="1">
        <f t="shared" si="5"/>
        <v>0</v>
      </c>
      <c r="O39" s="1">
        <f t="shared" si="5"/>
        <v>0</v>
      </c>
      <c r="P39" s="1">
        <f t="shared" si="5"/>
        <v>0</v>
      </c>
      <c r="Q39" s="1">
        <f t="shared" si="5"/>
        <v>0</v>
      </c>
      <c r="R39" s="1">
        <f t="shared" si="5"/>
        <v>282000</v>
      </c>
    </row>
    <row r="40" spans="1:18" x14ac:dyDescent="0.3">
      <c r="A40" s="2" t="s">
        <v>214</v>
      </c>
      <c r="B40" s="1">
        <f t="shared" ref="B40:R40" si="6">SUBTOTAL(9,B25:B39)</f>
        <v>235466122.5</v>
      </c>
      <c r="C40" s="1">
        <f t="shared" si="6"/>
        <v>282000</v>
      </c>
      <c r="D40" s="1">
        <f t="shared" si="6"/>
        <v>0</v>
      </c>
      <c r="E40" s="1">
        <f t="shared" si="6"/>
        <v>0</v>
      </c>
      <c r="F40" s="1">
        <f t="shared" si="6"/>
        <v>0</v>
      </c>
      <c r="G40" s="1">
        <f t="shared" si="6"/>
        <v>0</v>
      </c>
      <c r="H40" s="1">
        <f t="shared" si="6"/>
        <v>0</v>
      </c>
      <c r="I40" s="1">
        <f t="shared" si="6"/>
        <v>0</v>
      </c>
      <c r="J40" s="1">
        <f t="shared" si="6"/>
        <v>0</v>
      </c>
      <c r="K40" s="1">
        <f t="shared" si="6"/>
        <v>0</v>
      </c>
      <c r="L40" s="1">
        <f t="shared" si="6"/>
        <v>0</v>
      </c>
      <c r="M40" s="1">
        <f t="shared" si="6"/>
        <v>0</v>
      </c>
      <c r="N40" s="1">
        <f t="shared" si="6"/>
        <v>0</v>
      </c>
      <c r="O40" s="1">
        <f t="shared" si="6"/>
        <v>0</v>
      </c>
      <c r="P40" s="1">
        <f t="shared" si="6"/>
        <v>0</v>
      </c>
      <c r="Q40" s="1">
        <f t="shared" si="6"/>
        <v>0</v>
      </c>
      <c r="R40" s="1">
        <f t="shared" si="6"/>
        <v>235748122.5</v>
      </c>
    </row>
    <row r="42" spans="1:18" x14ac:dyDescent="0.3">
      <c r="A42" s="1" t="s">
        <v>229</v>
      </c>
    </row>
    <row r="43" spans="1:18" s="9" customFormat="1" ht="54" x14ac:dyDescent="0.25">
      <c r="B43" s="17" t="str">
        <f t="array" ref="B43:Q43">TRANSPOSE(List_Functions)</f>
        <v>Generation</v>
      </c>
      <c r="C43" s="17" t="str">
        <v>Purchased Power</v>
      </c>
      <c r="D43" s="17" t="str">
        <v>Transmission</v>
      </c>
      <c r="E43" s="17" t="str">
        <v>Substations</v>
      </c>
      <c r="F43" s="17" t="str">
        <v>Primary Lines</v>
      </c>
      <c r="G43" s="17" t="str">
        <v>Transformers</v>
      </c>
      <c r="H43" s="17" t="str">
        <v>Secondary Lines</v>
      </c>
      <c r="I43" s="17" t="str">
        <v>Service Lines</v>
      </c>
      <c r="J43" s="17" t="str">
        <v>Meter Assets</v>
      </c>
      <c r="K43" s="17" t="str">
        <v>Meter Reading</v>
      </c>
      <c r="L43" s="17" t="str">
        <v>Billing</v>
      </c>
      <c r="M43" s="17" t="str">
        <v>Remittance &amp; Collection</v>
      </c>
      <c r="N43" s="17" t="str">
        <v>Uncollectibles &amp; Damage Claims</v>
      </c>
      <c r="O43" s="17" t="str">
        <v>Service Connections</v>
      </c>
      <c r="P43" s="17" t="str">
        <v>Late Payments</v>
      </c>
      <c r="Q43" s="17" t="str">
        <v>Lighting</v>
      </c>
      <c r="R43" s="17" t="s">
        <v>214</v>
      </c>
    </row>
    <row r="44" spans="1:18" x14ac:dyDescent="0.3">
      <c r="A44" s="1" t="s">
        <v>198</v>
      </c>
      <c r="B44" s="30">
        <f t="shared" ref="B44:K45" si="7">VLOOKUP($A44,Table_FunctionAllocators,COLUMN(),FALSE)</f>
        <v>0</v>
      </c>
      <c r="C44" s="30">
        <f t="shared" si="7"/>
        <v>0</v>
      </c>
      <c r="D44" s="30">
        <f t="shared" si="7"/>
        <v>0</v>
      </c>
      <c r="E44" s="30">
        <f t="shared" si="7"/>
        <v>0</v>
      </c>
      <c r="F44" s="30">
        <f t="shared" si="7"/>
        <v>0.75</v>
      </c>
      <c r="G44" s="30">
        <f t="shared" si="7"/>
        <v>0</v>
      </c>
      <c r="H44" s="30">
        <f t="shared" si="7"/>
        <v>0.25</v>
      </c>
      <c r="I44" s="30">
        <f t="shared" si="7"/>
        <v>0</v>
      </c>
      <c r="J44" s="30">
        <f t="shared" si="7"/>
        <v>0</v>
      </c>
      <c r="K44" s="30">
        <f t="shared" si="7"/>
        <v>0</v>
      </c>
      <c r="L44" s="30">
        <f t="shared" ref="L44:Q45" si="8">VLOOKUP($A44,Table_FunctionAllocators,COLUMN(),FALSE)</f>
        <v>0</v>
      </c>
      <c r="M44" s="30">
        <f t="shared" si="8"/>
        <v>0</v>
      </c>
      <c r="N44" s="30">
        <f t="shared" si="8"/>
        <v>0</v>
      </c>
      <c r="O44" s="30">
        <f t="shared" si="8"/>
        <v>0</v>
      </c>
      <c r="P44" s="30">
        <f t="shared" si="8"/>
        <v>0</v>
      </c>
      <c r="Q44" s="30">
        <f t="shared" si="8"/>
        <v>0</v>
      </c>
      <c r="R44" s="30">
        <f>SUM(B44:Q44)</f>
        <v>1</v>
      </c>
    </row>
    <row r="45" spans="1:18" x14ac:dyDescent="0.3">
      <c r="A45" s="1" t="s">
        <v>204</v>
      </c>
      <c r="B45" s="30">
        <f t="shared" si="7"/>
        <v>0</v>
      </c>
      <c r="C45" s="30">
        <f t="shared" si="7"/>
        <v>0</v>
      </c>
      <c r="D45" s="30">
        <f t="shared" si="7"/>
        <v>0</v>
      </c>
      <c r="E45" s="30">
        <f t="shared" si="7"/>
        <v>0</v>
      </c>
      <c r="F45" s="30">
        <f t="shared" si="7"/>
        <v>0.51163294230768275</v>
      </c>
      <c r="G45" s="30">
        <f t="shared" si="7"/>
        <v>0.31782274358975643</v>
      </c>
      <c r="H45" s="30">
        <f t="shared" si="7"/>
        <v>0.17054431410256091</v>
      </c>
      <c r="I45" s="30">
        <f t="shared" si="7"/>
        <v>0</v>
      </c>
      <c r="J45" s="30">
        <f t="shared" si="7"/>
        <v>0</v>
      </c>
      <c r="K45" s="30">
        <f t="shared" si="7"/>
        <v>0</v>
      </c>
      <c r="L45" s="30">
        <f t="shared" si="8"/>
        <v>0</v>
      </c>
      <c r="M45" s="30">
        <f t="shared" si="8"/>
        <v>0</v>
      </c>
      <c r="N45" s="30">
        <f t="shared" si="8"/>
        <v>0</v>
      </c>
      <c r="O45" s="30">
        <f t="shared" si="8"/>
        <v>0</v>
      </c>
      <c r="P45" s="30">
        <f t="shared" si="8"/>
        <v>0</v>
      </c>
      <c r="Q45" s="30">
        <f t="shared" si="8"/>
        <v>0</v>
      </c>
      <c r="R45" s="30">
        <f>SUM(B45:Q45)</f>
        <v>1</v>
      </c>
    </row>
    <row r="47" spans="1:18" x14ac:dyDescent="0.3">
      <c r="A47" s="1" t="s">
        <v>237</v>
      </c>
    </row>
    <row r="48" spans="1:18" s="9" customFormat="1" ht="54" x14ac:dyDescent="0.25">
      <c r="B48" s="17" t="str">
        <f t="array" ref="B48:Q48">TRANSPOSE(List_Functions)</f>
        <v>Generation</v>
      </c>
      <c r="C48" s="17" t="str">
        <v>Purchased Power</v>
      </c>
      <c r="D48" s="17" t="str">
        <v>Transmission</v>
      </c>
      <c r="E48" s="17" t="str">
        <v>Substations</v>
      </c>
      <c r="F48" s="17" t="str">
        <v>Primary Lines</v>
      </c>
      <c r="G48" s="17" t="str">
        <v>Transformers</v>
      </c>
      <c r="H48" s="17" t="str">
        <v>Secondary Lines</v>
      </c>
      <c r="I48" s="17" t="str">
        <v>Service Lines</v>
      </c>
      <c r="J48" s="17" t="str">
        <v>Meter Assets</v>
      </c>
      <c r="K48" s="17" t="str">
        <v>Meter Reading</v>
      </c>
      <c r="L48" s="17" t="str">
        <v>Billing</v>
      </c>
      <c r="M48" s="17" t="str">
        <v>Remittance &amp; Collection</v>
      </c>
      <c r="N48" s="17" t="str">
        <v>Uncollectibles &amp; Damage Claims</v>
      </c>
      <c r="O48" s="17" t="str">
        <v>Service Connections</v>
      </c>
      <c r="P48" s="17" t="str">
        <v>Late Payments</v>
      </c>
      <c r="Q48" s="17" t="str">
        <v>Lighting</v>
      </c>
      <c r="R48" s="17" t="s">
        <v>214</v>
      </c>
    </row>
    <row r="49" spans="1:18" x14ac:dyDescent="0.3">
      <c r="A49" s="1" t="s">
        <v>129</v>
      </c>
    </row>
    <row r="50" spans="1:18" x14ac:dyDescent="0.3">
      <c r="A50" s="3" t="s">
        <v>172</v>
      </c>
      <c r="B50" s="1">
        <f t="array" ref="B50:Q50">MMULT(B26:C26,$B$44:$Q$45)</f>
        <v>0</v>
      </c>
      <c r="C50" s="1">
        <v>0</v>
      </c>
      <c r="D50" s="1">
        <v>0</v>
      </c>
      <c r="E50" s="1">
        <v>0</v>
      </c>
      <c r="F50" s="1">
        <v>0</v>
      </c>
      <c r="G50" s="1">
        <v>0</v>
      </c>
      <c r="H50" s="1">
        <v>0</v>
      </c>
      <c r="I50" s="1">
        <v>0</v>
      </c>
      <c r="J50" s="1">
        <v>0</v>
      </c>
      <c r="K50" s="1">
        <v>0</v>
      </c>
      <c r="L50" s="1">
        <v>0</v>
      </c>
      <c r="M50" s="1">
        <v>0</v>
      </c>
      <c r="N50" s="1">
        <v>0</v>
      </c>
      <c r="O50" s="1">
        <v>0</v>
      </c>
      <c r="P50" s="1">
        <v>0</v>
      </c>
      <c r="Q50" s="1">
        <v>0</v>
      </c>
      <c r="R50" s="1">
        <f>SUM(B50:Q50)</f>
        <v>0</v>
      </c>
    </row>
    <row r="51" spans="1:18" x14ac:dyDescent="0.3">
      <c r="A51" s="3" t="s">
        <v>173</v>
      </c>
    </row>
    <row r="52" spans="1:18" x14ac:dyDescent="0.3">
      <c r="A52" s="4" t="s">
        <v>13</v>
      </c>
      <c r="B52" s="1">
        <f t="array" ref="B52:Q52">MMULT(B28:C28,$B$44:$Q$45)</f>
        <v>0</v>
      </c>
      <c r="C52" s="1">
        <v>0</v>
      </c>
      <c r="D52" s="1">
        <v>0</v>
      </c>
      <c r="E52" s="1">
        <v>0</v>
      </c>
      <c r="F52" s="1">
        <v>0</v>
      </c>
      <c r="G52" s="1">
        <v>0</v>
      </c>
      <c r="H52" s="1">
        <v>0</v>
      </c>
      <c r="I52" s="1">
        <v>0</v>
      </c>
      <c r="J52" s="1">
        <v>0</v>
      </c>
      <c r="K52" s="1">
        <v>0</v>
      </c>
      <c r="L52" s="1">
        <v>0</v>
      </c>
      <c r="M52" s="1">
        <v>0</v>
      </c>
      <c r="N52" s="1">
        <v>0</v>
      </c>
      <c r="O52" s="1">
        <v>0</v>
      </c>
      <c r="P52" s="1">
        <v>0</v>
      </c>
      <c r="Q52" s="1">
        <v>0</v>
      </c>
      <c r="R52" s="1">
        <f>SUM(B52:Q52)</f>
        <v>0</v>
      </c>
    </row>
    <row r="53" spans="1:18" x14ac:dyDescent="0.3">
      <c r="A53" s="4" t="s">
        <v>140</v>
      </c>
      <c r="B53" s="1">
        <f t="array" ref="B53:Q53">MMULT(B29:C29,$B$44:$Q$45)</f>
        <v>0</v>
      </c>
      <c r="C53" s="1">
        <v>0</v>
      </c>
      <c r="D53" s="1">
        <v>0</v>
      </c>
      <c r="E53" s="1">
        <v>0</v>
      </c>
      <c r="F53" s="1">
        <v>176599591.875</v>
      </c>
      <c r="G53" s="1">
        <v>0</v>
      </c>
      <c r="H53" s="1">
        <v>58866530.625</v>
      </c>
      <c r="I53" s="1">
        <v>0</v>
      </c>
      <c r="J53" s="1">
        <v>0</v>
      </c>
      <c r="K53" s="1">
        <v>0</v>
      </c>
      <c r="L53" s="1">
        <v>0</v>
      </c>
      <c r="M53" s="1">
        <v>0</v>
      </c>
      <c r="N53" s="1">
        <v>0</v>
      </c>
      <c r="O53" s="1">
        <v>0</v>
      </c>
      <c r="P53" s="1">
        <v>0</v>
      </c>
      <c r="Q53" s="1">
        <v>0</v>
      </c>
      <c r="R53" s="1">
        <f>SUM(B53:Q53)</f>
        <v>235466122.5</v>
      </c>
    </row>
    <row r="54" spans="1:18" x14ac:dyDescent="0.3">
      <c r="A54" s="4" t="s">
        <v>141</v>
      </c>
      <c r="B54" s="1">
        <f t="array" ref="B54:Q54">MMULT(B30:C30,$B$44:$Q$45)</f>
        <v>0</v>
      </c>
      <c r="C54" s="1">
        <v>0</v>
      </c>
      <c r="D54" s="1">
        <v>0</v>
      </c>
      <c r="E54" s="1">
        <v>0</v>
      </c>
      <c r="F54" s="1">
        <v>0</v>
      </c>
      <c r="G54" s="1">
        <v>0</v>
      </c>
      <c r="H54" s="1">
        <v>0</v>
      </c>
      <c r="I54" s="1">
        <v>0</v>
      </c>
      <c r="J54" s="1">
        <v>0</v>
      </c>
      <c r="K54" s="1">
        <v>0</v>
      </c>
      <c r="L54" s="1">
        <v>0</v>
      </c>
      <c r="M54" s="1">
        <v>0</v>
      </c>
      <c r="N54" s="1">
        <v>0</v>
      </c>
      <c r="O54" s="1">
        <v>0</v>
      </c>
      <c r="P54" s="1">
        <v>0</v>
      </c>
      <c r="Q54" s="1">
        <v>0</v>
      </c>
      <c r="R54" s="1">
        <f>SUM(B54:Q54)</f>
        <v>0</v>
      </c>
    </row>
    <row r="55" spans="1:18" x14ac:dyDescent="0.3">
      <c r="A55" s="4" t="s">
        <v>142</v>
      </c>
      <c r="B55" s="1">
        <f t="array" ref="B55:Q55">MMULT(B31:C31,$B$44:$Q$45)</f>
        <v>0</v>
      </c>
      <c r="C55" s="1">
        <v>0</v>
      </c>
      <c r="D55" s="1">
        <v>0</v>
      </c>
      <c r="E55" s="1">
        <v>0</v>
      </c>
      <c r="F55" s="1">
        <v>0</v>
      </c>
      <c r="G55" s="1">
        <v>0</v>
      </c>
      <c r="H55" s="1">
        <v>0</v>
      </c>
      <c r="I55" s="1">
        <v>0</v>
      </c>
      <c r="J55" s="1">
        <v>0</v>
      </c>
      <c r="K55" s="1">
        <v>0</v>
      </c>
      <c r="L55" s="1">
        <v>0</v>
      </c>
      <c r="M55" s="1">
        <v>0</v>
      </c>
      <c r="N55" s="1">
        <v>0</v>
      </c>
      <c r="O55" s="1">
        <v>0</v>
      </c>
      <c r="P55" s="1">
        <v>0</v>
      </c>
      <c r="Q55" s="1">
        <v>0</v>
      </c>
      <c r="R55" s="1">
        <f>SUM(B55:Q55)</f>
        <v>0</v>
      </c>
    </row>
    <row r="56" spans="1:18" x14ac:dyDescent="0.3">
      <c r="A56" s="4" t="s">
        <v>143</v>
      </c>
      <c r="B56" s="1">
        <f t="array" ref="B56:Q56">MMULT(B32:C32,$B$44:$Q$45)</f>
        <v>0</v>
      </c>
      <c r="C56" s="1">
        <v>0</v>
      </c>
      <c r="D56" s="1">
        <v>0</v>
      </c>
      <c r="E56" s="1">
        <v>0</v>
      </c>
      <c r="F56" s="1">
        <v>0</v>
      </c>
      <c r="G56" s="1">
        <v>0</v>
      </c>
      <c r="H56" s="1">
        <v>0</v>
      </c>
      <c r="I56" s="1">
        <v>0</v>
      </c>
      <c r="J56" s="1">
        <v>0</v>
      </c>
      <c r="K56" s="1">
        <v>0</v>
      </c>
      <c r="L56" s="1">
        <v>0</v>
      </c>
      <c r="M56" s="1">
        <v>0</v>
      </c>
      <c r="N56" s="1">
        <v>0</v>
      </c>
      <c r="O56" s="1">
        <v>0</v>
      </c>
      <c r="P56" s="1">
        <v>0</v>
      </c>
      <c r="Q56" s="1">
        <v>0</v>
      </c>
      <c r="R56" s="1">
        <f>SUM(B56:Q56)</f>
        <v>0</v>
      </c>
    </row>
    <row r="57" spans="1:18" x14ac:dyDescent="0.3">
      <c r="A57" s="4" t="s">
        <v>174</v>
      </c>
      <c r="B57" s="1">
        <f t="shared" ref="B57:Q57" si="9">SUBTOTAL(9,B51:B56)</f>
        <v>0</v>
      </c>
      <c r="C57" s="1">
        <f t="shared" si="9"/>
        <v>0</v>
      </c>
      <c r="D57" s="1">
        <f t="shared" si="9"/>
        <v>0</v>
      </c>
      <c r="E57" s="1">
        <f t="shared" si="9"/>
        <v>0</v>
      </c>
      <c r="F57" s="1">
        <f t="shared" si="9"/>
        <v>176599591.875</v>
      </c>
      <c r="G57" s="1">
        <f t="shared" si="9"/>
        <v>0</v>
      </c>
      <c r="H57" s="1">
        <f t="shared" si="9"/>
        <v>58866530.625</v>
      </c>
      <c r="I57" s="1">
        <f t="shared" si="9"/>
        <v>0</v>
      </c>
      <c r="J57" s="1">
        <f t="shared" si="9"/>
        <v>0</v>
      </c>
      <c r="K57" s="1">
        <f t="shared" si="9"/>
        <v>0</v>
      </c>
      <c r="L57" s="1">
        <f t="shared" si="9"/>
        <v>0</v>
      </c>
      <c r="M57" s="1">
        <f t="shared" si="9"/>
        <v>0</v>
      </c>
      <c r="N57" s="1">
        <f t="shared" si="9"/>
        <v>0</v>
      </c>
      <c r="O57" s="1">
        <f t="shared" si="9"/>
        <v>0</v>
      </c>
      <c r="P57" s="1">
        <f t="shared" si="9"/>
        <v>0</v>
      </c>
      <c r="Q57" s="1">
        <f t="shared" si="9"/>
        <v>0</v>
      </c>
      <c r="R57" s="1">
        <f>SUBTOTAL(9,R51:R56)</f>
        <v>235466122.5</v>
      </c>
    </row>
    <row r="58" spans="1:18" x14ac:dyDescent="0.3">
      <c r="A58" s="3" t="s">
        <v>175</v>
      </c>
      <c r="B58" s="1">
        <f t="array" ref="B58:Q58">MMULT(B34:C34,$B$44:$Q$45)</f>
        <v>0</v>
      </c>
      <c r="C58" s="1">
        <v>0</v>
      </c>
      <c r="D58" s="1">
        <v>0</v>
      </c>
      <c r="E58" s="1">
        <v>0</v>
      </c>
      <c r="F58" s="1">
        <v>0</v>
      </c>
      <c r="G58" s="1">
        <v>0</v>
      </c>
      <c r="H58" s="1">
        <v>0</v>
      </c>
      <c r="I58" s="1">
        <v>0</v>
      </c>
      <c r="J58" s="1">
        <v>0</v>
      </c>
      <c r="K58" s="1">
        <v>0</v>
      </c>
      <c r="L58" s="1">
        <v>0</v>
      </c>
      <c r="M58" s="1">
        <v>0</v>
      </c>
      <c r="N58" s="1">
        <v>0</v>
      </c>
      <c r="O58" s="1">
        <v>0</v>
      </c>
      <c r="P58" s="1">
        <v>0</v>
      </c>
      <c r="Q58" s="1">
        <v>0</v>
      </c>
      <c r="R58" s="1">
        <f>SUM(B58:Q58)</f>
        <v>0</v>
      </c>
    </row>
    <row r="59" spans="1:18" x14ac:dyDescent="0.3">
      <c r="A59" s="3" t="s">
        <v>213</v>
      </c>
      <c r="B59" s="1">
        <f t="shared" ref="B59:R59" si="10">SUBTOTAL(9,B49:B58)</f>
        <v>0</v>
      </c>
      <c r="C59" s="1">
        <f t="shared" si="10"/>
        <v>0</v>
      </c>
      <c r="D59" s="1">
        <f t="shared" si="10"/>
        <v>0</v>
      </c>
      <c r="E59" s="1">
        <f t="shared" si="10"/>
        <v>0</v>
      </c>
      <c r="F59" s="1">
        <f t="shared" si="10"/>
        <v>176599591.875</v>
      </c>
      <c r="G59" s="1">
        <f t="shared" si="10"/>
        <v>0</v>
      </c>
      <c r="H59" s="1">
        <f t="shared" si="10"/>
        <v>58866530.625</v>
      </c>
      <c r="I59" s="1">
        <f t="shared" si="10"/>
        <v>0</v>
      </c>
      <c r="J59" s="1">
        <f t="shared" si="10"/>
        <v>0</v>
      </c>
      <c r="K59" s="1">
        <f t="shared" si="10"/>
        <v>0</v>
      </c>
      <c r="L59" s="1">
        <f t="shared" si="10"/>
        <v>0</v>
      </c>
      <c r="M59" s="1">
        <f t="shared" si="10"/>
        <v>0</v>
      </c>
      <c r="N59" s="1">
        <f t="shared" si="10"/>
        <v>0</v>
      </c>
      <c r="O59" s="1">
        <f t="shared" si="10"/>
        <v>0</v>
      </c>
      <c r="P59" s="1">
        <f t="shared" si="10"/>
        <v>0</v>
      </c>
      <c r="Q59" s="1">
        <f t="shared" si="10"/>
        <v>0</v>
      </c>
      <c r="R59" s="1">
        <f t="shared" si="10"/>
        <v>235466122.5</v>
      </c>
    </row>
    <row r="60" spans="1:18" x14ac:dyDescent="0.3">
      <c r="A60" s="2" t="s">
        <v>186</v>
      </c>
    </row>
    <row r="61" spans="1:18" x14ac:dyDescent="0.3">
      <c r="A61" s="3" t="s">
        <v>238</v>
      </c>
      <c r="B61" s="1">
        <f t="array" ref="B61:Q61">MMULT(B37:C37,$B$44:$Q$45)</f>
        <v>0</v>
      </c>
      <c r="C61" s="1">
        <v>0</v>
      </c>
      <c r="D61" s="1">
        <v>0</v>
      </c>
      <c r="E61" s="1">
        <v>0</v>
      </c>
      <c r="F61" s="1">
        <v>144280.48973076654</v>
      </c>
      <c r="G61" s="1">
        <v>89626.013692311317</v>
      </c>
      <c r="H61" s="1">
        <v>48093.496576922174</v>
      </c>
      <c r="I61" s="1">
        <v>0</v>
      </c>
      <c r="J61" s="1">
        <v>0</v>
      </c>
      <c r="K61" s="1">
        <v>0</v>
      </c>
      <c r="L61" s="1">
        <v>0</v>
      </c>
      <c r="M61" s="1">
        <v>0</v>
      </c>
      <c r="N61" s="1">
        <v>0</v>
      </c>
      <c r="O61" s="1">
        <v>0</v>
      </c>
      <c r="P61" s="1">
        <v>0</v>
      </c>
      <c r="Q61" s="1">
        <v>0</v>
      </c>
      <c r="R61" s="1">
        <f>SUM(B61:Q61)</f>
        <v>282000.00000000006</v>
      </c>
    </row>
    <row r="62" spans="1:18" x14ac:dyDescent="0.3">
      <c r="A62" s="3" t="s">
        <v>239</v>
      </c>
      <c r="B62" s="1">
        <f t="array" ref="B62:Q62">MMULT(B38:C38,$B$44:$Q$45)</f>
        <v>0</v>
      </c>
      <c r="C62" s="1">
        <v>0</v>
      </c>
      <c r="D62" s="1">
        <v>0</v>
      </c>
      <c r="E62" s="1">
        <v>0</v>
      </c>
      <c r="F62" s="1">
        <v>0</v>
      </c>
      <c r="G62" s="1">
        <v>0</v>
      </c>
      <c r="H62" s="1">
        <v>0</v>
      </c>
      <c r="I62" s="1">
        <v>0</v>
      </c>
      <c r="J62" s="1">
        <v>0</v>
      </c>
      <c r="K62" s="1">
        <v>0</v>
      </c>
      <c r="L62" s="1">
        <v>0</v>
      </c>
      <c r="M62" s="1">
        <v>0</v>
      </c>
      <c r="N62" s="1">
        <v>0</v>
      </c>
      <c r="O62" s="1">
        <v>0</v>
      </c>
      <c r="P62" s="1">
        <v>0</v>
      </c>
      <c r="Q62" s="1">
        <v>0</v>
      </c>
      <c r="R62" s="1">
        <f>SUM(B62:Q62)</f>
        <v>0</v>
      </c>
    </row>
    <row r="63" spans="1:18" x14ac:dyDescent="0.3">
      <c r="A63" s="3" t="s">
        <v>187</v>
      </c>
      <c r="B63" s="1">
        <f t="shared" ref="B63:R63" si="11">SUBTOTAL(9,B61:B62)</f>
        <v>0</v>
      </c>
      <c r="C63" s="1">
        <f t="shared" si="11"/>
        <v>0</v>
      </c>
      <c r="D63" s="1">
        <f t="shared" si="11"/>
        <v>0</v>
      </c>
      <c r="E63" s="1">
        <f t="shared" si="11"/>
        <v>0</v>
      </c>
      <c r="F63" s="1">
        <f t="shared" si="11"/>
        <v>144280.48973076654</v>
      </c>
      <c r="G63" s="1">
        <f t="shared" si="11"/>
        <v>89626.013692311317</v>
      </c>
      <c r="H63" s="1">
        <f t="shared" si="11"/>
        <v>48093.496576922174</v>
      </c>
      <c r="I63" s="1">
        <f t="shared" si="11"/>
        <v>0</v>
      </c>
      <c r="J63" s="1">
        <f t="shared" si="11"/>
        <v>0</v>
      </c>
      <c r="K63" s="1">
        <f t="shared" si="11"/>
        <v>0</v>
      </c>
      <c r="L63" s="1">
        <f t="shared" si="11"/>
        <v>0</v>
      </c>
      <c r="M63" s="1">
        <f t="shared" si="11"/>
        <v>0</v>
      </c>
      <c r="N63" s="1">
        <f t="shared" si="11"/>
        <v>0</v>
      </c>
      <c r="O63" s="1">
        <f t="shared" si="11"/>
        <v>0</v>
      </c>
      <c r="P63" s="1">
        <f t="shared" si="11"/>
        <v>0</v>
      </c>
      <c r="Q63" s="1">
        <f t="shared" si="11"/>
        <v>0</v>
      </c>
      <c r="R63" s="1">
        <f t="shared" si="11"/>
        <v>282000.00000000006</v>
      </c>
    </row>
    <row r="64" spans="1:18" x14ac:dyDescent="0.3">
      <c r="A64" s="2" t="s">
        <v>214</v>
      </c>
      <c r="B64" s="1">
        <f t="shared" ref="B64:R64" si="12">SUBTOTAL(9,B49:B63)</f>
        <v>0</v>
      </c>
      <c r="C64" s="1">
        <f t="shared" si="12"/>
        <v>0</v>
      </c>
      <c r="D64" s="1">
        <f t="shared" si="12"/>
        <v>0</v>
      </c>
      <c r="E64" s="1">
        <f t="shared" si="12"/>
        <v>0</v>
      </c>
      <c r="F64" s="1">
        <f t="shared" si="12"/>
        <v>176743872.36473078</v>
      </c>
      <c r="G64" s="1">
        <f t="shared" si="12"/>
        <v>89626.013692311317</v>
      </c>
      <c r="H64" s="1">
        <f t="shared" si="12"/>
        <v>58914624.12157692</v>
      </c>
      <c r="I64" s="1">
        <f t="shared" si="12"/>
        <v>0</v>
      </c>
      <c r="J64" s="1">
        <f t="shared" si="12"/>
        <v>0</v>
      </c>
      <c r="K64" s="1">
        <f t="shared" si="12"/>
        <v>0</v>
      </c>
      <c r="L64" s="1">
        <f t="shared" si="12"/>
        <v>0</v>
      </c>
      <c r="M64" s="1">
        <f t="shared" si="12"/>
        <v>0</v>
      </c>
      <c r="N64" s="1">
        <f t="shared" si="12"/>
        <v>0</v>
      </c>
      <c r="O64" s="1">
        <f t="shared" si="12"/>
        <v>0</v>
      </c>
      <c r="P64" s="1">
        <f t="shared" si="12"/>
        <v>0</v>
      </c>
      <c r="Q64" s="1">
        <f t="shared" si="12"/>
        <v>0</v>
      </c>
      <c r="R64" s="1">
        <f t="shared" si="12"/>
        <v>235748122.5</v>
      </c>
    </row>
    <row r="66" spans="1:18" x14ac:dyDescent="0.3">
      <c r="A66" s="1" t="s">
        <v>214</v>
      </c>
    </row>
    <row r="67" spans="1:18" s="9" customFormat="1" ht="54" x14ac:dyDescent="0.25">
      <c r="B67" s="17" t="str">
        <f t="array" ref="B67:Q67">TRANSPOSE(List_Functions)</f>
        <v>Generation</v>
      </c>
      <c r="C67" s="17" t="str">
        <v>Purchased Power</v>
      </c>
      <c r="D67" s="17" t="str">
        <v>Transmission</v>
      </c>
      <c r="E67" s="17" t="str">
        <v>Substations</v>
      </c>
      <c r="F67" s="17" t="str">
        <v>Primary Lines</v>
      </c>
      <c r="G67" s="17" t="str">
        <v>Transformers</v>
      </c>
      <c r="H67" s="17" t="str">
        <v>Secondary Lines</v>
      </c>
      <c r="I67" s="17" t="str">
        <v>Service Lines</v>
      </c>
      <c r="J67" s="17" t="str">
        <v>Meter Assets</v>
      </c>
      <c r="K67" s="17" t="str">
        <v>Meter Reading</v>
      </c>
      <c r="L67" s="17" t="str">
        <v>Billing</v>
      </c>
      <c r="M67" s="17" t="str">
        <v>Remittance &amp; Collection</v>
      </c>
      <c r="N67" s="17" t="str">
        <v>Uncollectibles &amp; Damage Claims</v>
      </c>
      <c r="O67" s="17" t="str">
        <v>Service Connections</v>
      </c>
      <c r="P67" s="17" t="str">
        <v>Late Payments</v>
      </c>
      <c r="Q67" s="17" t="str">
        <v>Lighting</v>
      </c>
      <c r="R67" s="17" t="s">
        <v>214</v>
      </c>
    </row>
    <row r="68" spans="1:18" x14ac:dyDescent="0.3">
      <c r="A68" s="1" t="s">
        <v>129</v>
      </c>
    </row>
    <row r="69" spans="1:18" x14ac:dyDescent="0.3">
      <c r="A69" s="3" t="s">
        <v>172</v>
      </c>
      <c r="B69" s="1">
        <f>SUM(B7,B50)</f>
        <v>0</v>
      </c>
      <c r="C69" s="1">
        <f>SUM(C7,C50)</f>
        <v>0</v>
      </c>
      <c r="D69" s="1">
        <f>SUM(D7,D50)</f>
        <v>0</v>
      </c>
      <c r="E69" s="1">
        <f>SUM(E7,E50)</f>
        <v>0</v>
      </c>
      <c r="F69" s="1">
        <f>SUM(F7,F50)</f>
        <v>0</v>
      </c>
      <c r="G69" s="1">
        <f>SUM(G7,G50)</f>
        <v>0</v>
      </c>
      <c r="H69" s="1">
        <f>SUM(H7,H50)</f>
        <v>0</v>
      </c>
      <c r="I69" s="1">
        <f>SUM(I7,I50)</f>
        <v>0</v>
      </c>
      <c r="J69" s="1">
        <f>SUM(J7,J50)</f>
        <v>0</v>
      </c>
      <c r="K69" s="1">
        <f>SUM(K7,K50)</f>
        <v>0</v>
      </c>
      <c r="L69" s="1">
        <f>SUM(L7,L50)</f>
        <v>0</v>
      </c>
      <c r="M69" s="1">
        <f>SUM(M7,M50)</f>
        <v>0</v>
      </c>
      <c r="N69" s="1">
        <f>SUM(N7,N50)</f>
        <v>0</v>
      </c>
      <c r="O69" s="1">
        <f>SUM(O7,O50)</f>
        <v>0</v>
      </c>
      <c r="P69" s="1">
        <f>SUM(P7,P50)</f>
        <v>0</v>
      </c>
      <c r="Q69" s="1">
        <f>SUM(Q7,Q50)</f>
        <v>0</v>
      </c>
      <c r="R69" s="1">
        <f>SUM(B69:Q69)</f>
        <v>0</v>
      </c>
    </row>
    <row r="70" spans="1:18" x14ac:dyDescent="0.3">
      <c r="A70" s="3" t="s">
        <v>173</v>
      </c>
    </row>
    <row r="71" spans="1:18" x14ac:dyDescent="0.3">
      <c r="A71" s="4" t="s">
        <v>13</v>
      </c>
      <c r="B71" s="1">
        <f>SUM(B9,B52)</f>
        <v>0</v>
      </c>
      <c r="C71" s="1">
        <f>SUM(C9,C52)</f>
        <v>0</v>
      </c>
      <c r="D71" s="1">
        <f>SUM(D9,D52)</f>
        <v>0</v>
      </c>
      <c r="E71" s="1">
        <f>SUM(E9,E52)</f>
        <v>0</v>
      </c>
      <c r="F71" s="1">
        <f>SUM(F9,F52)</f>
        <v>0</v>
      </c>
      <c r="G71" s="1">
        <f>SUM(G9,G52)</f>
        <v>0</v>
      </c>
      <c r="H71" s="1">
        <f>SUM(H9,H52)</f>
        <v>0</v>
      </c>
      <c r="I71" s="1">
        <f>SUM(I9,I52)</f>
        <v>0</v>
      </c>
      <c r="J71" s="1">
        <f>SUM(J9,J52)</f>
        <v>0</v>
      </c>
      <c r="K71" s="1">
        <f>SUM(K9,K52)</f>
        <v>0</v>
      </c>
      <c r="L71" s="1">
        <f>SUM(L9,L52)</f>
        <v>0</v>
      </c>
      <c r="M71" s="1">
        <f>SUM(M9,M52)</f>
        <v>0</v>
      </c>
      <c r="N71" s="1">
        <f>SUM(N9,N52)</f>
        <v>0</v>
      </c>
      <c r="O71" s="1">
        <f>SUM(O9,O52)</f>
        <v>0</v>
      </c>
      <c r="P71" s="1">
        <f>SUM(P9,P52)</f>
        <v>0</v>
      </c>
      <c r="Q71" s="1">
        <f>SUM(Q9,Q52)</f>
        <v>0</v>
      </c>
      <c r="R71" s="1">
        <f>SUM(B71:Q71)</f>
        <v>0</v>
      </c>
    </row>
    <row r="72" spans="1:18" x14ac:dyDescent="0.3">
      <c r="A72" s="4" t="s">
        <v>140</v>
      </c>
      <c r="B72" s="1">
        <f>SUM(B10,B53)</f>
        <v>0</v>
      </c>
      <c r="C72" s="1">
        <f>SUM(C10,C53)</f>
        <v>0</v>
      </c>
      <c r="D72" s="1">
        <f>SUM(D10,D53)</f>
        <v>0</v>
      </c>
      <c r="E72" s="1">
        <f>SUM(E10,E53)</f>
        <v>0</v>
      </c>
      <c r="F72" s="1">
        <f>SUM(F10,F53)</f>
        <v>176599591.875</v>
      </c>
      <c r="G72" s="1">
        <f>SUM(G10,G53)</f>
        <v>109702410</v>
      </c>
      <c r="H72" s="1">
        <f>SUM(H10,H53)</f>
        <v>58866530.625</v>
      </c>
      <c r="I72" s="1">
        <f>SUM(I10,I53)</f>
        <v>89590707</v>
      </c>
      <c r="J72" s="1">
        <f>SUM(J10,J53)</f>
        <v>0</v>
      </c>
      <c r="K72" s="1">
        <f>SUM(K10,K53)</f>
        <v>0</v>
      </c>
      <c r="L72" s="1">
        <f>SUM(L10,L53)</f>
        <v>0</v>
      </c>
      <c r="M72" s="1">
        <f>SUM(M10,M53)</f>
        <v>0</v>
      </c>
      <c r="N72" s="1">
        <f>SUM(N10,N53)</f>
        <v>0</v>
      </c>
      <c r="O72" s="1">
        <f>SUM(O10,O53)</f>
        <v>0</v>
      </c>
      <c r="P72" s="1">
        <f>SUM(P10,P53)</f>
        <v>0</v>
      </c>
      <c r="Q72" s="1">
        <f>SUM(Q10,Q53)</f>
        <v>0</v>
      </c>
      <c r="R72" s="1">
        <f>SUM(B72:Q72)</f>
        <v>434759239.5</v>
      </c>
    </row>
    <row r="73" spans="1:18" x14ac:dyDescent="0.3">
      <c r="A73" s="4" t="s">
        <v>141</v>
      </c>
      <c r="B73" s="1">
        <f>SUM(B11,B54)</f>
        <v>0</v>
      </c>
      <c r="C73" s="1">
        <f>SUM(C11,C54)</f>
        <v>0</v>
      </c>
      <c r="D73" s="1">
        <f>SUM(D11,D54)</f>
        <v>0</v>
      </c>
      <c r="E73" s="1">
        <f>SUM(E11,E54)</f>
        <v>0</v>
      </c>
      <c r="F73" s="1">
        <f>SUM(F11,F54)</f>
        <v>0</v>
      </c>
      <c r="G73" s="1">
        <f>SUM(G11,G54)</f>
        <v>0</v>
      </c>
      <c r="H73" s="1">
        <f>SUM(H11,H54)</f>
        <v>0</v>
      </c>
      <c r="I73" s="1">
        <f>SUM(I11,I54)</f>
        <v>0</v>
      </c>
      <c r="J73" s="1">
        <f>SUM(J11,J54)</f>
        <v>0</v>
      </c>
      <c r="K73" s="1">
        <f>SUM(K11,K54)</f>
        <v>0</v>
      </c>
      <c r="L73" s="1">
        <f>SUM(L11,L54)</f>
        <v>0</v>
      </c>
      <c r="M73" s="1">
        <f>SUM(M11,M54)</f>
        <v>0</v>
      </c>
      <c r="N73" s="1">
        <f>SUM(N11,N54)</f>
        <v>0</v>
      </c>
      <c r="O73" s="1">
        <f>SUM(O11,O54)</f>
        <v>0</v>
      </c>
      <c r="P73" s="1">
        <f>SUM(P11,P54)</f>
        <v>0</v>
      </c>
      <c r="Q73" s="1">
        <f>SUM(Q11,Q54)</f>
        <v>0</v>
      </c>
      <c r="R73" s="1">
        <f>SUM(B73:Q73)</f>
        <v>0</v>
      </c>
    </row>
    <row r="74" spans="1:18" x14ac:dyDescent="0.3">
      <c r="A74" s="4" t="s">
        <v>142</v>
      </c>
      <c r="B74" s="1">
        <f>SUM(B12,B55)</f>
        <v>0</v>
      </c>
      <c r="C74" s="1">
        <f>SUM(C12,C55)</f>
        <v>0</v>
      </c>
      <c r="D74" s="1">
        <f>SUM(D12,D55)</f>
        <v>0</v>
      </c>
      <c r="E74" s="1">
        <f>SUM(E12,E55)</f>
        <v>0</v>
      </c>
      <c r="F74" s="1">
        <f>SUM(F12,F55)</f>
        <v>0</v>
      </c>
      <c r="G74" s="1">
        <f>SUM(G12,G55)</f>
        <v>0</v>
      </c>
      <c r="H74" s="1">
        <f>SUM(H12,H55)</f>
        <v>0</v>
      </c>
      <c r="I74" s="1">
        <f>SUM(I12,I55)</f>
        <v>0</v>
      </c>
      <c r="J74" s="1">
        <f>SUM(J12,J55)</f>
        <v>18277754.5</v>
      </c>
      <c r="K74" s="1">
        <f>SUM(K12,K55)</f>
        <v>0</v>
      </c>
      <c r="L74" s="1">
        <f>SUM(L12,L55)</f>
        <v>0</v>
      </c>
      <c r="M74" s="1">
        <f>SUM(M12,M55)</f>
        <v>0</v>
      </c>
      <c r="N74" s="1">
        <f>SUM(N12,N55)</f>
        <v>0</v>
      </c>
      <c r="O74" s="1">
        <f>SUM(O12,O55)</f>
        <v>0</v>
      </c>
      <c r="P74" s="1">
        <f>SUM(P12,P55)</f>
        <v>0</v>
      </c>
      <c r="Q74" s="1">
        <f>SUM(Q12,Q55)</f>
        <v>0</v>
      </c>
      <c r="R74" s="1">
        <f>SUM(B74:Q74)</f>
        <v>18277754.5</v>
      </c>
    </row>
    <row r="75" spans="1:18" x14ac:dyDescent="0.3">
      <c r="A75" s="4" t="s">
        <v>143</v>
      </c>
      <c r="B75" s="1">
        <f>SUM(B13,B56)</f>
        <v>0</v>
      </c>
      <c r="C75" s="1">
        <f>SUM(C13,C56)</f>
        <v>0</v>
      </c>
      <c r="D75" s="1">
        <f>SUM(D13,D56)</f>
        <v>0</v>
      </c>
      <c r="E75" s="1">
        <f>SUM(E13,E56)</f>
        <v>0</v>
      </c>
      <c r="F75" s="1">
        <f>SUM(F13,F56)</f>
        <v>0</v>
      </c>
      <c r="G75" s="1">
        <f>SUM(G13,G56)</f>
        <v>0</v>
      </c>
      <c r="H75" s="1">
        <f>SUM(H13,H56)</f>
        <v>0</v>
      </c>
      <c r="I75" s="1">
        <f>SUM(I13,I56)</f>
        <v>0</v>
      </c>
      <c r="J75" s="1">
        <f>SUM(J13,J56)</f>
        <v>0</v>
      </c>
      <c r="K75" s="1">
        <f>SUM(K13,K56)</f>
        <v>0</v>
      </c>
      <c r="L75" s="1">
        <f>SUM(L13,L56)</f>
        <v>0</v>
      </c>
      <c r="M75" s="1">
        <f>SUM(M13,M56)</f>
        <v>0</v>
      </c>
      <c r="N75" s="1">
        <f>SUM(N13,N56)</f>
        <v>0</v>
      </c>
      <c r="O75" s="1">
        <f>SUM(O13,O56)</f>
        <v>0</v>
      </c>
      <c r="P75" s="1">
        <f>SUM(P13,P56)</f>
        <v>0</v>
      </c>
      <c r="Q75" s="1">
        <f>SUM(Q13,Q56)</f>
        <v>10623103</v>
      </c>
      <c r="R75" s="1">
        <f>SUM(B75:Q75)</f>
        <v>10623103</v>
      </c>
    </row>
    <row r="76" spans="1:18" x14ac:dyDescent="0.3">
      <c r="A76" s="4" t="s">
        <v>174</v>
      </c>
      <c r="B76" s="1">
        <f t="shared" ref="B76:Q76" si="13">SUBTOTAL(9,B70:B75)</f>
        <v>0</v>
      </c>
      <c r="C76" s="1">
        <f t="shared" si="13"/>
        <v>0</v>
      </c>
      <c r="D76" s="1">
        <f t="shared" si="13"/>
        <v>0</v>
      </c>
      <c r="E76" s="1">
        <f t="shared" si="13"/>
        <v>0</v>
      </c>
      <c r="F76" s="1">
        <f t="shared" si="13"/>
        <v>176599591.875</v>
      </c>
      <c r="G76" s="1">
        <f t="shared" si="13"/>
        <v>109702410</v>
      </c>
      <c r="H76" s="1">
        <f t="shared" si="13"/>
        <v>58866530.625</v>
      </c>
      <c r="I76" s="1">
        <f t="shared" si="13"/>
        <v>89590707</v>
      </c>
      <c r="J76" s="1">
        <f t="shared" si="13"/>
        <v>18277754.5</v>
      </c>
      <c r="K76" s="1">
        <f t="shared" si="13"/>
        <v>0</v>
      </c>
      <c r="L76" s="1">
        <f t="shared" si="13"/>
        <v>0</v>
      </c>
      <c r="M76" s="1">
        <f t="shared" si="13"/>
        <v>0</v>
      </c>
      <c r="N76" s="1">
        <f t="shared" si="13"/>
        <v>0</v>
      </c>
      <c r="O76" s="1">
        <f t="shared" si="13"/>
        <v>0</v>
      </c>
      <c r="P76" s="1">
        <f t="shared" si="13"/>
        <v>0</v>
      </c>
      <c r="Q76" s="1">
        <f t="shared" si="13"/>
        <v>10623103</v>
      </c>
      <c r="R76" s="1">
        <f>SUBTOTAL(9,R70:R75)</f>
        <v>463660097</v>
      </c>
    </row>
    <row r="77" spans="1:18" x14ac:dyDescent="0.3">
      <c r="A77" s="3" t="s">
        <v>175</v>
      </c>
      <c r="B77" s="1">
        <f>SUM(B15,B58)</f>
        <v>0</v>
      </c>
      <c r="C77" s="1">
        <f>SUM(C15,C58)</f>
        <v>0</v>
      </c>
      <c r="D77" s="1">
        <f>SUM(D15,D58)</f>
        <v>0</v>
      </c>
      <c r="E77" s="1">
        <f>SUM(E15,E58)</f>
        <v>0</v>
      </c>
      <c r="F77" s="1">
        <f>SUM(F15,F58)</f>
        <v>0</v>
      </c>
      <c r="G77" s="1">
        <f>SUM(G15,G58)</f>
        <v>0</v>
      </c>
      <c r="H77" s="1">
        <f>SUM(H15,H58)</f>
        <v>0</v>
      </c>
      <c r="I77" s="1">
        <f>SUM(I15,I58)</f>
        <v>0</v>
      </c>
      <c r="J77" s="1">
        <f>SUM(J15,J58)</f>
        <v>0</v>
      </c>
      <c r="K77" s="1">
        <f>SUM(K15,K58)</f>
        <v>0</v>
      </c>
      <c r="L77" s="1">
        <f>SUM(L15,L58)</f>
        <v>0</v>
      </c>
      <c r="M77" s="1">
        <f>SUM(M15,M58)</f>
        <v>0</v>
      </c>
      <c r="N77" s="1">
        <f>SUM(N15,N58)</f>
        <v>0</v>
      </c>
      <c r="O77" s="1">
        <f>SUM(O15,O58)</f>
        <v>0</v>
      </c>
      <c r="P77" s="1">
        <f>SUM(P15,P58)</f>
        <v>0</v>
      </c>
      <c r="Q77" s="1">
        <f>SUM(Q15,Q58)</f>
        <v>0</v>
      </c>
      <c r="R77" s="1">
        <f>SUM(B77:Q77)</f>
        <v>0</v>
      </c>
    </row>
    <row r="78" spans="1:18" x14ac:dyDescent="0.3">
      <c r="A78" s="3" t="s">
        <v>213</v>
      </c>
      <c r="B78" s="1">
        <f t="shared" ref="B78:R78" si="14">SUBTOTAL(9,B68:B77)</f>
        <v>0</v>
      </c>
      <c r="C78" s="1">
        <f t="shared" si="14"/>
        <v>0</v>
      </c>
      <c r="D78" s="1">
        <f t="shared" si="14"/>
        <v>0</v>
      </c>
      <c r="E78" s="1">
        <f t="shared" si="14"/>
        <v>0</v>
      </c>
      <c r="F78" s="1">
        <f t="shared" si="14"/>
        <v>176599591.875</v>
      </c>
      <c r="G78" s="1">
        <f t="shared" si="14"/>
        <v>109702410</v>
      </c>
      <c r="H78" s="1">
        <f t="shared" si="14"/>
        <v>58866530.625</v>
      </c>
      <c r="I78" s="1">
        <f t="shared" si="14"/>
        <v>89590707</v>
      </c>
      <c r="J78" s="1">
        <f t="shared" si="14"/>
        <v>18277754.5</v>
      </c>
      <c r="K78" s="1">
        <f t="shared" si="14"/>
        <v>0</v>
      </c>
      <c r="L78" s="1">
        <f t="shared" si="14"/>
        <v>0</v>
      </c>
      <c r="M78" s="1">
        <f t="shared" si="14"/>
        <v>0</v>
      </c>
      <c r="N78" s="1">
        <f t="shared" si="14"/>
        <v>0</v>
      </c>
      <c r="O78" s="1">
        <f t="shared" si="14"/>
        <v>0</v>
      </c>
      <c r="P78" s="1">
        <f t="shared" si="14"/>
        <v>0</v>
      </c>
      <c r="Q78" s="1">
        <f t="shared" si="14"/>
        <v>10623103</v>
      </c>
      <c r="R78" s="1">
        <f t="shared" si="14"/>
        <v>463660097</v>
      </c>
    </row>
    <row r="79" spans="1:18" x14ac:dyDescent="0.3">
      <c r="A79" s="2" t="s">
        <v>186</v>
      </c>
    </row>
    <row r="80" spans="1:18" x14ac:dyDescent="0.3">
      <c r="A80" s="3" t="s">
        <v>238</v>
      </c>
      <c r="B80" s="1">
        <f t="shared" ref="B80:Q80" si="15">SUM(B18,B61)</f>
        <v>0</v>
      </c>
      <c r="C80" s="1">
        <f t="shared" si="15"/>
        <v>0</v>
      </c>
      <c r="D80" s="1">
        <f t="shared" si="15"/>
        <v>0</v>
      </c>
      <c r="E80" s="1">
        <f t="shared" si="15"/>
        <v>0</v>
      </c>
      <c r="F80" s="1">
        <f t="shared" si="15"/>
        <v>144280.48973076654</v>
      </c>
      <c r="G80" s="1">
        <f t="shared" si="15"/>
        <v>89626.013692311317</v>
      </c>
      <c r="H80" s="1">
        <f t="shared" si="15"/>
        <v>48093.496576922174</v>
      </c>
      <c r="I80" s="1">
        <f t="shared" si="15"/>
        <v>0</v>
      </c>
      <c r="J80" s="1">
        <f t="shared" si="15"/>
        <v>0</v>
      </c>
      <c r="K80" s="1">
        <f t="shared" si="15"/>
        <v>0</v>
      </c>
      <c r="L80" s="1">
        <f t="shared" si="15"/>
        <v>0</v>
      </c>
      <c r="M80" s="1">
        <f t="shared" si="15"/>
        <v>0</v>
      </c>
      <c r="N80" s="1">
        <f t="shared" si="15"/>
        <v>0</v>
      </c>
      <c r="O80" s="1">
        <f t="shared" si="15"/>
        <v>0</v>
      </c>
      <c r="P80" s="1">
        <f t="shared" si="15"/>
        <v>0</v>
      </c>
      <c r="Q80" s="1">
        <f t="shared" si="15"/>
        <v>0</v>
      </c>
      <c r="R80" s="1">
        <f>SUM(B80:Q80)</f>
        <v>282000.00000000006</v>
      </c>
    </row>
    <row r="81" spans="1:18" x14ac:dyDescent="0.3">
      <c r="A81" s="3" t="s">
        <v>239</v>
      </c>
      <c r="B81" s="1">
        <f t="shared" ref="B81:Q81" si="16">SUM(B19,B62)</f>
        <v>0</v>
      </c>
      <c r="C81" s="1">
        <f t="shared" si="16"/>
        <v>0</v>
      </c>
      <c r="D81" s="1">
        <f t="shared" si="16"/>
        <v>0</v>
      </c>
      <c r="E81" s="1">
        <f t="shared" si="16"/>
        <v>0</v>
      </c>
      <c r="F81" s="1">
        <f t="shared" si="16"/>
        <v>0</v>
      </c>
      <c r="G81" s="1">
        <f t="shared" si="16"/>
        <v>0</v>
      </c>
      <c r="H81" s="1">
        <f t="shared" si="16"/>
        <v>0</v>
      </c>
      <c r="I81" s="1">
        <f t="shared" si="16"/>
        <v>0</v>
      </c>
      <c r="J81" s="1">
        <f t="shared" si="16"/>
        <v>0</v>
      </c>
      <c r="K81" s="1">
        <f t="shared" si="16"/>
        <v>0</v>
      </c>
      <c r="L81" s="1">
        <f t="shared" si="16"/>
        <v>0</v>
      </c>
      <c r="M81" s="1">
        <f t="shared" si="16"/>
        <v>0</v>
      </c>
      <c r="N81" s="1">
        <f t="shared" si="16"/>
        <v>0</v>
      </c>
      <c r="O81" s="1">
        <f t="shared" si="16"/>
        <v>0</v>
      </c>
      <c r="P81" s="1">
        <f t="shared" si="16"/>
        <v>0</v>
      </c>
      <c r="Q81" s="1">
        <f t="shared" si="16"/>
        <v>0</v>
      </c>
      <c r="R81" s="1">
        <f>SUM(B81:Q81)</f>
        <v>0</v>
      </c>
    </row>
    <row r="82" spans="1:18" x14ac:dyDescent="0.3">
      <c r="A82" s="3" t="s">
        <v>187</v>
      </c>
      <c r="B82" s="1">
        <f t="shared" ref="B82:R82" si="17">SUBTOTAL(9,B80:B81)</f>
        <v>0</v>
      </c>
      <c r="C82" s="1">
        <f t="shared" si="17"/>
        <v>0</v>
      </c>
      <c r="D82" s="1">
        <f t="shared" si="17"/>
        <v>0</v>
      </c>
      <c r="E82" s="1">
        <f t="shared" si="17"/>
        <v>0</v>
      </c>
      <c r="F82" s="1">
        <f t="shared" si="17"/>
        <v>144280.48973076654</v>
      </c>
      <c r="G82" s="1">
        <f t="shared" si="17"/>
        <v>89626.013692311317</v>
      </c>
      <c r="H82" s="1">
        <f t="shared" si="17"/>
        <v>48093.496576922174</v>
      </c>
      <c r="I82" s="1">
        <f t="shared" si="17"/>
        <v>0</v>
      </c>
      <c r="J82" s="1">
        <f t="shared" si="17"/>
        <v>0</v>
      </c>
      <c r="K82" s="1">
        <f t="shared" si="17"/>
        <v>0</v>
      </c>
      <c r="L82" s="1">
        <f t="shared" si="17"/>
        <v>0</v>
      </c>
      <c r="M82" s="1">
        <f t="shared" si="17"/>
        <v>0</v>
      </c>
      <c r="N82" s="1">
        <f t="shared" si="17"/>
        <v>0</v>
      </c>
      <c r="O82" s="1">
        <f t="shared" si="17"/>
        <v>0</v>
      </c>
      <c r="P82" s="1">
        <f t="shared" si="17"/>
        <v>0</v>
      </c>
      <c r="Q82" s="1">
        <f t="shared" si="17"/>
        <v>0</v>
      </c>
      <c r="R82" s="1">
        <f t="shared" si="17"/>
        <v>282000.00000000006</v>
      </c>
    </row>
    <row r="83" spans="1:18" x14ac:dyDescent="0.3">
      <c r="A83" s="2" t="s">
        <v>214</v>
      </c>
      <c r="B83" s="1">
        <f>SUBTOTAL(9,B68:B82)</f>
        <v>0</v>
      </c>
      <c r="C83" s="1">
        <f t="shared" ref="C83:R83" si="18">SUBTOTAL(9,C68:C82)</f>
        <v>0</v>
      </c>
      <c r="D83" s="1">
        <f t="shared" si="18"/>
        <v>0</v>
      </c>
      <c r="E83" s="1">
        <f t="shared" si="18"/>
        <v>0</v>
      </c>
      <c r="F83" s="1">
        <f t="shared" si="18"/>
        <v>176743872.36473078</v>
      </c>
      <c r="G83" s="1">
        <f t="shared" si="18"/>
        <v>109792036.0136923</v>
      </c>
      <c r="H83" s="1">
        <f t="shared" si="18"/>
        <v>58914624.12157692</v>
      </c>
      <c r="I83" s="1">
        <f t="shared" si="18"/>
        <v>89590707</v>
      </c>
      <c r="J83" s="1">
        <f t="shared" si="18"/>
        <v>18277754.5</v>
      </c>
      <c r="K83" s="1">
        <f t="shared" si="18"/>
        <v>0</v>
      </c>
      <c r="L83" s="1">
        <f t="shared" si="18"/>
        <v>0</v>
      </c>
      <c r="M83" s="1">
        <f t="shared" si="18"/>
        <v>0</v>
      </c>
      <c r="N83" s="1">
        <f t="shared" si="18"/>
        <v>0</v>
      </c>
      <c r="O83" s="1">
        <f t="shared" si="18"/>
        <v>0</v>
      </c>
      <c r="P83" s="1">
        <f t="shared" si="18"/>
        <v>0</v>
      </c>
      <c r="Q83" s="1">
        <f t="shared" si="18"/>
        <v>10623103</v>
      </c>
      <c r="R83" s="1">
        <f t="shared" si="18"/>
        <v>463942097</v>
      </c>
    </row>
    <row r="85" spans="1:18" x14ac:dyDescent="0.3">
      <c r="A85" s="1" t="s">
        <v>230</v>
      </c>
    </row>
    <row r="86" spans="1:18" x14ac:dyDescent="0.3">
      <c r="A86" s="1" t="s">
        <v>231</v>
      </c>
      <c r="B86" s="1">
        <f>R21</f>
        <v>228193974.5</v>
      </c>
    </row>
    <row r="87" spans="1:18" x14ac:dyDescent="0.3">
      <c r="A87" s="1" t="s">
        <v>225</v>
      </c>
      <c r="B87" s="1">
        <f>R40</f>
        <v>235748122.5</v>
      </c>
      <c r="C87" s="1" t="b">
        <f>ROUND(SUM(B86:B87),0)=ROUND(B89,0)</f>
        <v>1</v>
      </c>
    </row>
    <row r="88" spans="1:18" x14ac:dyDescent="0.3">
      <c r="A88" s="1" t="s">
        <v>232</v>
      </c>
      <c r="B88" s="1">
        <f>R64</f>
        <v>235748122.5</v>
      </c>
      <c r="C88" s="1" t="b">
        <f>ROUND(B87,0)=ROUND(B88,0)</f>
        <v>1</v>
      </c>
    </row>
    <row r="89" spans="1:18" x14ac:dyDescent="0.3">
      <c r="A89" s="1" t="s">
        <v>233</v>
      </c>
      <c r="B89" s="1">
        <f>SUM('6.1'!E28:E39,'6.2'!F30)</f>
        <v>463942097</v>
      </c>
    </row>
    <row r="90" spans="1:18" x14ac:dyDescent="0.3">
      <c r="A90" s="1" t="s">
        <v>234</v>
      </c>
      <c r="B90" s="1">
        <f>SUM(B83:Q83)</f>
        <v>463942097</v>
      </c>
      <c r="C90" s="1" t="b">
        <f>ROUND(B89,0)=ROUND(B90,0)</f>
        <v>1</v>
      </c>
    </row>
  </sheetData>
  <printOptions horizontalCentered="1" gridLines="1"/>
  <pageMargins left="0.19685039370078741" right="0.19685039370078741" top="0.98425196850393704" bottom="0.59055118110236227" header="0.19685039370078741" footer="0.19685039370078741"/>
  <pageSetup scale="60" pageOrder="overThenDown" orientation="landscape" r:id="rId1"/>
  <headerFooter scaleWithDoc="0">
    <oddHeader xml:space="preserve">&amp;C2023 "Status Quo Methods" Cost Allocation Model for MECL </oddHeader>
    <oddFooter>&amp;LPage &amp;P of &amp;N&amp;RJune 27, 2025</oddFooter>
  </headerFooter>
  <rowBreaks count="1" manualBreakCount="1">
    <brk id="46"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87"/>
  <sheetViews>
    <sheetView view="pageBreakPreview" topLeftCell="E35" zoomScale="40" zoomScaleNormal="100" zoomScaleSheetLayoutView="40" workbookViewId="0">
      <selection activeCell="E21" sqref="E21"/>
    </sheetView>
  </sheetViews>
  <sheetFormatPr defaultColWidth="8.7109375" defaultRowHeight="13.5" x14ac:dyDescent="0.3"/>
  <cols>
    <col min="1" max="1" width="25.7109375" style="1" customWidth="1"/>
    <col min="2" max="2" width="9.2109375" style="1" customWidth="1"/>
    <col min="3" max="18" width="7.7109375" style="1" customWidth="1"/>
    <col min="19" max="16384" width="8.7109375" style="1"/>
  </cols>
  <sheetData>
    <row r="1" spans="1:18" x14ac:dyDescent="0.3">
      <c r="A1" s="1" t="s">
        <v>615</v>
      </c>
    </row>
    <row r="2" spans="1:18" x14ac:dyDescent="0.3">
      <c r="A2" s="1" t="s">
        <v>244</v>
      </c>
    </row>
    <row r="4" spans="1:18" s="5" customFormat="1" x14ac:dyDescent="0.3">
      <c r="A4" s="5" t="s">
        <v>224</v>
      </c>
    </row>
    <row r="5" spans="1:18" s="9" customFormat="1" ht="54" x14ac:dyDescent="0.25">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x14ac:dyDescent="0.3">
      <c r="A6" s="1" t="s">
        <v>129</v>
      </c>
    </row>
    <row r="7" spans="1:18" x14ac:dyDescent="0.3">
      <c r="A7" s="3" t="s">
        <v>172</v>
      </c>
      <c r="B7" s="1">
        <f>SUMIFS('6.1'!$M$6:$M$74,Assets_PresHeader,$A7,Assets_BasisFunc,B$5)</f>
        <v>2009652</v>
      </c>
      <c r="C7" s="1">
        <f>SUMIFS('6.1'!$M$6:$M$74,Assets_PresHeader,$A7,Assets_BasisFunc,C$5)</f>
        <v>0</v>
      </c>
      <c r="D7" s="1">
        <f>SUMIFS('6.1'!$M$6:$M$74,Assets_PresHeader,$A7,Assets_BasisFunc,D$5)</f>
        <v>0</v>
      </c>
      <c r="E7" s="1">
        <f>SUMIFS('6.1'!$M$6:$M$74,Assets_PresHeader,$A7,Assets_BasisFunc,E$5)</f>
        <v>0</v>
      </c>
      <c r="F7" s="1">
        <f>SUMIFS('6.1'!$M$6:$M$74,Assets_PresHeader,$A7,Assets_BasisFunc,F$5)</f>
        <v>0</v>
      </c>
      <c r="G7" s="1">
        <f>SUMIFS('6.1'!$M$6:$M$74,Assets_PresHeader,$A7,Assets_BasisFunc,G$5)</f>
        <v>0</v>
      </c>
      <c r="H7" s="1">
        <f>SUMIFS('6.1'!$M$6:$M$74,Assets_PresHeader,$A7,Assets_BasisFunc,H$5)</f>
        <v>0</v>
      </c>
      <c r="I7" s="1">
        <f>SUMIFS('6.1'!$M$6:$M$74,Assets_PresHeader,$A7,Assets_BasisFunc,I$5)</f>
        <v>0</v>
      </c>
      <c r="J7" s="1">
        <f>SUMIFS('6.1'!$M$6:$M$74,Assets_PresHeader,$A7,Assets_BasisFunc,J$5)</f>
        <v>0</v>
      </c>
      <c r="K7" s="1">
        <f>SUMIFS('6.1'!$M$6:$M$74,Assets_PresHeader,$A7,Assets_BasisFunc,K$5)</f>
        <v>0</v>
      </c>
      <c r="L7" s="1">
        <f>SUMIFS('6.1'!$M$6:$M$74,Assets_PresHeader,$A7,Assets_BasisFunc,L$5)</f>
        <v>0</v>
      </c>
      <c r="M7" s="1">
        <f>SUMIFS('6.1'!$M$6:$M$74,Assets_PresHeader,$A7,Assets_BasisFunc,M$5)</f>
        <v>0</v>
      </c>
      <c r="N7" s="1">
        <f>SUMIFS('6.1'!$M$6:$M$74,Assets_PresHeader,$A7,Assets_BasisFunc,N$5)</f>
        <v>0</v>
      </c>
      <c r="O7" s="1">
        <f>SUMIFS('6.1'!$M$6:$M$74,Assets_PresHeader,$A7,Assets_BasisFunc,O$5)</f>
        <v>0</v>
      </c>
      <c r="P7" s="1">
        <f>SUMIFS('6.1'!$M$6:$M$74,Assets_PresHeader,$A7,Assets_BasisFunc,P$5)</f>
        <v>0</v>
      </c>
      <c r="Q7" s="1">
        <f>SUMIFS('6.1'!$M$6:$M$74,Assets_PresHeader,$A7,Assets_BasisFunc,Q$5)</f>
        <v>0</v>
      </c>
      <c r="R7" s="1">
        <f>SUM(B7:Q7)</f>
        <v>2009652</v>
      </c>
    </row>
    <row r="8" spans="1:18" x14ac:dyDescent="0.3">
      <c r="A8" s="3" t="s">
        <v>173</v>
      </c>
    </row>
    <row r="9" spans="1:18" x14ac:dyDescent="0.3">
      <c r="A9" s="4" t="s">
        <v>13</v>
      </c>
      <c r="B9" s="1">
        <f>SUMIFS('6.1'!$M$6:$M$74,Assets_PresHeader,$A9,Assets_BasisFunc,B$5)</f>
        <v>0</v>
      </c>
      <c r="C9" s="1">
        <f>SUMIFS('6.1'!$M$6:$M$74,Assets_PresHeader,$A9,Assets_BasisFunc,C$5)</f>
        <v>0</v>
      </c>
      <c r="D9" s="1">
        <f>SUMIFS('6.1'!$M$6:$M$74,Assets_PresHeader,$A9,Assets_BasisFunc,D$5)</f>
        <v>0</v>
      </c>
      <c r="E9" s="1">
        <f>SUMIFS('6.1'!$M$6:$M$74,Assets_PresHeader,$A9,Assets_BasisFunc,E$5)</f>
        <v>145694</v>
      </c>
      <c r="F9" s="1">
        <f>SUMIFS('6.1'!$M$6:$M$74,Assets_PresHeader,$A9,Assets_BasisFunc,F$5)</f>
        <v>0</v>
      </c>
      <c r="G9" s="1">
        <f>SUMIFS('6.1'!$M$6:$M$74,Assets_PresHeader,$A9,Assets_BasisFunc,G$5)</f>
        <v>0</v>
      </c>
      <c r="H9" s="1">
        <f>SUMIFS('6.1'!$M$6:$M$74,Assets_PresHeader,$A9,Assets_BasisFunc,H$5)</f>
        <v>0</v>
      </c>
      <c r="I9" s="1">
        <f>SUMIFS('6.1'!$M$6:$M$74,Assets_PresHeader,$A9,Assets_BasisFunc,I$5)</f>
        <v>0</v>
      </c>
      <c r="J9" s="1">
        <f>SUMIFS('6.1'!$M$6:$M$74,Assets_PresHeader,$A9,Assets_BasisFunc,J$5)</f>
        <v>0</v>
      </c>
      <c r="K9" s="1">
        <f>SUMIFS('6.1'!$M$6:$M$74,Assets_PresHeader,$A9,Assets_BasisFunc,K$5)</f>
        <v>0</v>
      </c>
      <c r="L9" s="1">
        <f>SUMIFS('6.1'!$M$6:$M$74,Assets_PresHeader,$A9,Assets_BasisFunc,L$5)</f>
        <v>0</v>
      </c>
      <c r="M9" s="1">
        <f>SUMIFS('6.1'!$M$6:$M$74,Assets_PresHeader,$A9,Assets_BasisFunc,M$5)</f>
        <v>0</v>
      </c>
      <c r="N9" s="1">
        <f>SUMIFS('6.1'!$M$6:$M$74,Assets_PresHeader,$A9,Assets_BasisFunc,N$5)</f>
        <v>0</v>
      </c>
      <c r="O9" s="1">
        <f>SUMIFS('6.1'!$M$6:$M$74,Assets_PresHeader,$A9,Assets_BasisFunc,O$5)</f>
        <v>0</v>
      </c>
      <c r="P9" s="1">
        <f>SUMIFS('6.1'!$M$6:$M$74,Assets_PresHeader,$A9,Assets_BasisFunc,P$5)</f>
        <v>0</v>
      </c>
      <c r="Q9" s="1">
        <f>SUMIFS('6.1'!$M$6:$M$74,Assets_PresHeader,$A9,Assets_BasisFunc,Q$5)</f>
        <v>0</v>
      </c>
      <c r="R9" s="1">
        <f>SUM(B9:Q9)</f>
        <v>145694</v>
      </c>
    </row>
    <row r="10" spans="1:18" x14ac:dyDescent="0.3">
      <c r="A10" s="4" t="s">
        <v>140</v>
      </c>
      <c r="B10" s="1">
        <f>SUMIFS('6.1'!$M$6:$M$74,Assets_PresHeader,$A10,Assets_BasisFunc,B$5)</f>
        <v>0</v>
      </c>
      <c r="C10" s="1">
        <f>SUMIFS('6.1'!$M$6:$M$74,Assets_PresHeader,$A10,Assets_BasisFunc,C$5)</f>
        <v>0</v>
      </c>
      <c r="D10" s="1">
        <f>SUMIFS('6.1'!$M$6:$M$74,Assets_PresHeader,$A10,Assets_BasisFunc,D$5)</f>
        <v>2947720</v>
      </c>
      <c r="E10" s="1">
        <f>SUMIFS('6.1'!$M$6:$M$74,Assets_PresHeader,$A10,Assets_BasisFunc,E$5)</f>
        <v>0</v>
      </c>
      <c r="F10" s="1">
        <f>SUMIFS('6.1'!$M$6:$M$74,Assets_PresHeader,$A10,Assets_BasisFunc,F$5)</f>
        <v>0</v>
      </c>
      <c r="G10" s="1">
        <f>SUMIFS('6.1'!$M$6:$M$74,Assets_PresHeader,$A10,Assets_BasisFunc,G$5)</f>
        <v>4389023</v>
      </c>
      <c r="H10" s="1">
        <f>SUMIFS('6.1'!$M$6:$M$74,Assets_PresHeader,$A10,Assets_BasisFunc,H$5)</f>
        <v>0</v>
      </c>
      <c r="I10" s="1">
        <f>SUMIFS('6.1'!$M$6:$M$74,Assets_PresHeader,$A10,Assets_BasisFunc,I$5)</f>
        <v>3146156</v>
      </c>
      <c r="J10" s="1">
        <f>SUMIFS('6.1'!$M$6:$M$74,Assets_PresHeader,$A10,Assets_BasisFunc,J$5)</f>
        <v>0</v>
      </c>
      <c r="K10" s="1">
        <f>SUMIFS('6.1'!$M$6:$M$74,Assets_PresHeader,$A10,Assets_BasisFunc,K$5)</f>
        <v>0</v>
      </c>
      <c r="L10" s="1">
        <f>SUMIFS('6.1'!$M$6:$M$74,Assets_PresHeader,$A10,Assets_BasisFunc,L$5)</f>
        <v>0</v>
      </c>
      <c r="M10" s="1">
        <f>SUMIFS('6.1'!$M$6:$M$74,Assets_PresHeader,$A10,Assets_BasisFunc,M$5)</f>
        <v>0</v>
      </c>
      <c r="N10" s="1">
        <f>SUMIFS('6.1'!$M$6:$M$74,Assets_PresHeader,$A10,Assets_BasisFunc,N$5)</f>
        <v>0</v>
      </c>
      <c r="O10" s="1">
        <f>SUMIFS('6.1'!$M$6:$M$74,Assets_PresHeader,$A10,Assets_BasisFunc,O$5)</f>
        <v>0</v>
      </c>
      <c r="P10" s="1">
        <f>SUMIFS('6.1'!$M$6:$M$74,Assets_PresHeader,$A10,Assets_BasisFunc,P$5)</f>
        <v>0</v>
      </c>
      <c r="Q10" s="1">
        <f>SUMIFS('6.1'!$M$6:$M$74,Assets_PresHeader,$A10,Assets_BasisFunc,Q$5)</f>
        <v>0</v>
      </c>
      <c r="R10" s="1">
        <f>SUM(B10:Q10)</f>
        <v>10482899</v>
      </c>
    </row>
    <row r="11" spans="1:18" x14ac:dyDescent="0.3">
      <c r="A11" s="4" t="s">
        <v>141</v>
      </c>
      <c r="B11" s="1">
        <f>SUMIFS('6.1'!$M$6:$M$74,Assets_PresHeader,$A11,Assets_BasisFunc,B$5)</f>
        <v>0</v>
      </c>
      <c r="C11" s="1">
        <f>SUMIFS('6.1'!$M$6:$M$74,Assets_PresHeader,$A11,Assets_BasisFunc,C$5)</f>
        <v>0</v>
      </c>
      <c r="D11" s="1">
        <f>SUMIFS('6.1'!$M$6:$M$74,Assets_PresHeader,$A11,Assets_BasisFunc,D$5)</f>
        <v>0</v>
      </c>
      <c r="E11" s="1">
        <f>SUMIFS('6.1'!$M$6:$M$74,Assets_PresHeader,$A11,Assets_BasisFunc,E$5)</f>
        <v>0</v>
      </c>
      <c r="F11" s="1">
        <f>SUMIFS('6.1'!$M$6:$M$74,Assets_PresHeader,$A11,Assets_BasisFunc,F$5)</f>
        <v>0</v>
      </c>
      <c r="G11" s="1">
        <f>SUMIFS('6.1'!$M$6:$M$74,Assets_PresHeader,$A11,Assets_BasisFunc,G$5)</f>
        <v>0</v>
      </c>
      <c r="H11" s="1">
        <f>SUMIFS('6.1'!$M$6:$M$74,Assets_PresHeader,$A11,Assets_BasisFunc,H$5)</f>
        <v>0</v>
      </c>
      <c r="I11" s="1">
        <f>SUMIFS('6.1'!$M$6:$M$74,Assets_PresHeader,$A11,Assets_BasisFunc,I$5)</f>
        <v>0</v>
      </c>
      <c r="J11" s="1">
        <f>SUMIFS('6.1'!$M$6:$M$74,Assets_PresHeader,$A11,Assets_BasisFunc,J$5)</f>
        <v>0</v>
      </c>
      <c r="K11" s="1">
        <f>SUMIFS('6.1'!$M$6:$M$74,Assets_PresHeader,$A11,Assets_BasisFunc,K$5)</f>
        <v>0</v>
      </c>
      <c r="L11" s="1">
        <f>SUMIFS('6.1'!$M$6:$M$74,Assets_PresHeader,$A11,Assets_BasisFunc,L$5)</f>
        <v>0</v>
      </c>
      <c r="M11" s="1">
        <f>SUMIFS('6.1'!$M$6:$M$74,Assets_PresHeader,$A11,Assets_BasisFunc,M$5)</f>
        <v>0</v>
      </c>
      <c r="N11" s="1">
        <f>SUMIFS('6.1'!$M$6:$M$74,Assets_PresHeader,$A11,Assets_BasisFunc,N$5)</f>
        <v>0</v>
      </c>
      <c r="O11" s="1">
        <f>SUMIFS('6.1'!$M$6:$M$74,Assets_PresHeader,$A11,Assets_BasisFunc,O$5)</f>
        <v>0</v>
      </c>
      <c r="P11" s="1">
        <f>SUMIFS('6.1'!$M$6:$M$74,Assets_PresHeader,$A11,Assets_BasisFunc,P$5)</f>
        <v>0</v>
      </c>
      <c r="Q11" s="1">
        <f>SUMIFS('6.1'!$M$6:$M$74,Assets_PresHeader,$A11,Assets_BasisFunc,Q$5)</f>
        <v>0</v>
      </c>
      <c r="R11" s="1">
        <f>SUM(B11:Q11)</f>
        <v>0</v>
      </c>
    </row>
    <row r="12" spans="1:18" x14ac:dyDescent="0.3">
      <c r="A12" s="4" t="s">
        <v>142</v>
      </c>
      <c r="B12" s="1">
        <f>SUMIFS('6.1'!$M$6:$M$74,Assets_PresHeader,$A12,Assets_BasisFunc,B$5)</f>
        <v>0</v>
      </c>
      <c r="C12" s="1">
        <f>SUMIFS('6.1'!$M$6:$M$74,Assets_PresHeader,$A12,Assets_BasisFunc,C$5)</f>
        <v>0</v>
      </c>
      <c r="D12" s="1">
        <f>SUMIFS('6.1'!$M$6:$M$74,Assets_PresHeader,$A12,Assets_BasisFunc,D$5)</f>
        <v>0</v>
      </c>
      <c r="E12" s="1">
        <f>SUMIFS('6.1'!$M$6:$M$74,Assets_PresHeader,$A12,Assets_BasisFunc,E$5)</f>
        <v>0</v>
      </c>
      <c r="F12" s="1">
        <f>SUMIFS('6.1'!$M$6:$M$74,Assets_PresHeader,$A12,Assets_BasisFunc,F$5)</f>
        <v>0</v>
      </c>
      <c r="G12" s="1">
        <f>SUMIFS('6.1'!$M$6:$M$74,Assets_PresHeader,$A12,Assets_BasisFunc,G$5)</f>
        <v>0</v>
      </c>
      <c r="H12" s="1">
        <f>SUMIFS('6.1'!$M$6:$M$74,Assets_PresHeader,$A12,Assets_BasisFunc,H$5)</f>
        <v>0</v>
      </c>
      <c r="I12" s="1">
        <f>SUMIFS('6.1'!$M$6:$M$74,Assets_PresHeader,$A12,Assets_BasisFunc,I$5)</f>
        <v>0</v>
      </c>
      <c r="J12" s="1">
        <f>SUMIFS('6.1'!$M$6:$M$74,Assets_PresHeader,$A12,Assets_BasisFunc,J$5)</f>
        <v>1223534</v>
      </c>
      <c r="K12" s="1">
        <f>SUMIFS('6.1'!$M$6:$M$74,Assets_PresHeader,$A12,Assets_BasisFunc,K$5)</f>
        <v>0</v>
      </c>
      <c r="L12" s="1">
        <f>SUMIFS('6.1'!$M$6:$M$74,Assets_PresHeader,$A12,Assets_BasisFunc,L$5)</f>
        <v>0</v>
      </c>
      <c r="M12" s="1">
        <f>SUMIFS('6.1'!$M$6:$M$74,Assets_PresHeader,$A12,Assets_BasisFunc,M$5)</f>
        <v>0</v>
      </c>
      <c r="N12" s="1">
        <f>SUMIFS('6.1'!$M$6:$M$74,Assets_PresHeader,$A12,Assets_BasisFunc,N$5)</f>
        <v>0</v>
      </c>
      <c r="O12" s="1">
        <f>SUMIFS('6.1'!$M$6:$M$74,Assets_PresHeader,$A12,Assets_BasisFunc,O$5)</f>
        <v>0</v>
      </c>
      <c r="P12" s="1">
        <f>SUMIFS('6.1'!$M$6:$M$74,Assets_PresHeader,$A12,Assets_BasisFunc,P$5)</f>
        <v>0</v>
      </c>
      <c r="Q12" s="1">
        <f>SUMIFS('6.1'!$M$6:$M$74,Assets_PresHeader,$A12,Assets_BasisFunc,Q$5)</f>
        <v>0</v>
      </c>
      <c r="R12" s="1">
        <f>SUM(B12:Q12)</f>
        <v>1223534</v>
      </c>
    </row>
    <row r="13" spans="1:18" x14ac:dyDescent="0.3">
      <c r="A13" s="4" t="s">
        <v>143</v>
      </c>
      <c r="B13" s="1">
        <f>SUMIFS('6.1'!$M$6:$M$74,Assets_PresHeader,$A13,Assets_BasisFunc,B$5)</f>
        <v>0</v>
      </c>
      <c r="C13" s="1">
        <f>SUMIFS('6.1'!$M$6:$M$74,Assets_PresHeader,$A13,Assets_BasisFunc,C$5)</f>
        <v>0</v>
      </c>
      <c r="D13" s="1">
        <f>SUMIFS('6.1'!$M$6:$M$74,Assets_PresHeader,$A13,Assets_BasisFunc,D$5)</f>
        <v>0</v>
      </c>
      <c r="E13" s="1">
        <f>SUMIFS('6.1'!$M$6:$M$74,Assets_PresHeader,$A13,Assets_BasisFunc,E$5)</f>
        <v>0</v>
      </c>
      <c r="F13" s="1">
        <f>SUMIFS('6.1'!$M$6:$M$74,Assets_PresHeader,$A13,Assets_BasisFunc,F$5)</f>
        <v>0</v>
      </c>
      <c r="G13" s="1">
        <f>SUMIFS('6.1'!$M$6:$M$74,Assets_PresHeader,$A13,Assets_BasisFunc,G$5)</f>
        <v>0</v>
      </c>
      <c r="H13" s="1">
        <f>SUMIFS('6.1'!$M$6:$M$74,Assets_PresHeader,$A13,Assets_BasisFunc,H$5)</f>
        <v>0</v>
      </c>
      <c r="I13" s="1">
        <f>SUMIFS('6.1'!$M$6:$M$74,Assets_PresHeader,$A13,Assets_BasisFunc,I$5)</f>
        <v>0</v>
      </c>
      <c r="J13" s="1">
        <f>SUMIFS('6.1'!$M$6:$M$74,Assets_PresHeader,$A13,Assets_BasisFunc,J$5)</f>
        <v>0</v>
      </c>
      <c r="K13" s="1">
        <f>SUMIFS('6.1'!$M$6:$M$74,Assets_PresHeader,$A13,Assets_BasisFunc,K$5)</f>
        <v>0</v>
      </c>
      <c r="L13" s="1">
        <f>SUMIFS('6.1'!$M$6:$M$74,Assets_PresHeader,$A13,Assets_BasisFunc,L$5)</f>
        <v>0</v>
      </c>
      <c r="M13" s="1">
        <f>SUMIFS('6.1'!$M$6:$M$74,Assets_PresHeader,$A13,Assets_BasisFunc,M$5)</f>
        <v>0</v>
      </c>
      <c r="N13" s="1">
        <f>SUMIFS('6.1'!$M$6:$M$74,Assets_PresHeader,$A13,Assets_BasisFunc,N$5)</f>
        <v>0</v>
      </c>
      <c r="O13" s="1">
        <f>SUMIFS('6.1'!$M$6:$M$74,Assets_PresHeader,$A13,Assets_BasisFunc,O$5)</f>
        <v>0</v>
      </c>
      <c r="P13" s="1">
        <f>SUMIFS('6.1'!$M$6:$M$74,Assets_PresHeader,$A13,Assets_BasisFunc,P$5)</f>
        <v>0</v>
      </c>
      <c r="Q13" s="1">
        <f>SUMIFS('6.1'!$M$6:$M$74,Assets_PresHeader,$A13,Assets_BasisFunc,Q$5)</f>
        <v>528652</v>
      </c>
      <c r="R13" s="1">
        <f>SUM(B13:Q13)</f>
        <v>528652</v>
      </c>
    </row>
    <row r="14" spans="1:18" x14ac:dyDescent="0.3">
      <c r="A14" s="4" t="s">
        <v>174</v>
      </c>
      <c r="B14" s="1">
        <f t="shared" ref="B14:Q14" si="0">SUBTOTAL(9,B8:B13)</f>
        <v>0</v>
      </c>
      <c r="C14" s="1">
        <f t="shared" si="0"/>
        <v>0</v>
      </c>
      <c r="D14" s="1">
        <f t="shared" si="0"/>
        <v>2947720</v>
      </c>
      <c r="E14" s="1">
        <f t="shared" si="0"/>
        <v>145694</v>
      </c>
      <c r="F14" s="1">
        <f t="shared" si="0"/>
        <v>0</v>
      </c>
      <c r="G14" s="1">
        <f t="shared" si="0"/>
        <v>4389023</v>
      </c>
      <c r="H14" s="1">
        <f t="shared" si="0"/>
        <v>0</v>
      </c>
      <c r="I14" s="1">
        <f t="shared" si="0"/>
        <v>3146156</v>
      </c>
      <c r="J14" s="1">
        <f t="shared" si="0"/>
        <v>1223534</v>
      </c>
      <c r="K14" s="1">
        <f t="shared" si="0"/>
        <v>0</v>
      </c>
      <c r="L14" s="1">
        <f t="shared" si="0"/>
        <v>0</v>
      </c>
      <c r="M14" s="1">
        <f t="shared" si="0"/>
        <v>0</v>
      </c>
      <c r="N14" s="1">
        <f t="shared" si="0"/>
        <v>0</v>
      </c>
      <c r="O14" s="1">
        <f t="shared" si="0"/>
        <v>0</v>
      </c>
      <c r="P14" s="1">
        <f t="shared" si="0"/>
        <v>0</v>
      </c>
      <c r="Q14" s="1">
        <f t="shared" si="0"/>
        <v>528652</v>
      </c>
      <c r="R14" s="1">
        <f>SUBTOTAL(9,R8:R13)</f>
        <v>12380779</v>
      </c>
    </row>
    <row r="15" spans="1:18" x14ac:dyDescent="0.3">
      <c r="A15" s="3" t="s">
        <v>175</v>
      </c>
      <c r="B15" s="1">
        <f>SUMIFS('6.1'!$M$6:$M$74,Assets_PresHeader,$A15,Assets_BasisFunc,B$5)</f>
        <v>0</v>
      </c>
      <c r="C15" s="1">
        <f>SUMIFS('6.1'!$M$6:$M$74,Assets_PresHeader,$A15,Assets_BasisFunc,C$5)</f>
        <v>0</v>
      </c>
      <c r="D15" s="1">
        <f>SUMIFS('6.1'!$M$6:$M$74,Assets_PresHeader,$A15,Assets_BasisFunc,D$5)</f>
        <v>0</v>
      </c>
      <c r="E15" s="1">
        <f>SUMIFS('6.1'!$M$6:$M$74,Assets_PresHeader,$A15,Assets_BasisFunc,E$5)</f>
        <v>0</v>
      </c>
      <c r="F15" s="1">
        <f>SUMIFS('6.1'!$M$6:$M$74,Assets_PresHeader,$A15,Assets_BasisFunc,F$5)</f>
        <v>0</v>
      </c>
      <c r="G15" s="1">
        <f>SUMIFS('6.1'!$M$6:$M$74,Assets_PresHeader,$A15,Assets_BasisFunc,G$5)</f>
        <v>0</v>
      </c>
      <c r="H15" s="1">
        <f>SUMIFS('6.1'!$M$6:$M$74,Assets_PresHeader,$A15,Assets_BasisFunc,H$5)</f>
        <v>0</v>
      </c>
      <c r="I15" s="1">
        <f>SUMIFS('6.1'!$M$6:$M$74,Assets_PresHeader,$A15,Assets_BasisFunc,I$5)</f>
        <v>0</v>
      </c>
      <c r="J15" s="1">
        <f>SUMIFS('6.1'!$M$6:$M$74,Assets_PresHeader,$A15,Assets_BasisFunc,J$5)</f>
        <v>0</v>
      </c>
      <c r="K15" s="1">
        <f>SUMIFS('6.1'!$M$6:$M$74,Assets_PresHeader,$A15,Assets_BasisFunc,K$5)</f>
        <v>0</v>
      </c>
      <c r="L15" s="1">
        <f>SUMIFS('6.1'!$M$6:$M$74,Assets_PresHeader,$A15,Assets_BasisFunc,L$5)</f>
        <v>0</v>
      </c>
      <c r="M15" s="1">
        <f>SUMIFS('6.1'!$M$6:$M$74,Assets_PresHeader,$A15,Assets_BasisFunc,M$5)</f>
        <v>0</v>
      </c>
      <c r="N15" s="1">
        <f>SUMIFS('6.1'!$M$6:$M$74,Assets_PresHeader,$A15,Assets_BasisFunc,N$5)</f>
        <v>0</v>
      </c>
      <c r="O15" s="1">
        <f>SUMIFS('6.1'!$M$6:$M$74,Assets_PresHeader,$A15,Assets_BasisFunc,O$5)</f>
        <v>0</v>
      </c>
      <c r="P15" s="1">
        <f>SUMIFS('6.1'!$M$6:$M$74,Assets_PresHeader,$A15,Assets_BasisFunc,P$5)</f>
        <v>0</v>
      </c>
      <c r="Q15" s="1">
        <f>SUMIFS('6.1'!$M$6:$M$74,Assets_PresHeader,$A15,Assets_BasisFunc,Q$5)</f>
        <v>0</v>
      </c>
      <c r="R15" s="1">
        <f>SUM(B15:Q15)</f>
        <v>0</v>
      </c>
    </row>
    <row r="16" spans="1:18" x14ac:dyDescent="0.3">
      <c r="A16" s="3" t="s">
        <v>213</v>
      </c>
      <c r="B16" s="1">
        <f t="shared" ref="B16:R16" si="1">SUBTOTAL(9,B6:B15)</f>
        <v>2009652</v>
      </c>
      <c r="C16" s="1">
        <f t="shared" si="1"/>
        <v>0</v>
      </c>
      <c r="D16" s="1">
        <f t="shared" si="1"/>
        <v>2947720</v>
      </c>
      <c r="E16" s="1">
        <f t="shared" si="1"/>
        <v>145694</v>
      </c>
      <c r="F16" s="1">
        <f t="shared" si="1"/>
        <v>0</v>
      </c>
      <c r="G16" s="1">
        <f t="shared" si="1"/>
        <v>4389023</v>
      </c>
      <c r="H16" s="1">
        <f t="shared" si="1"/>
        <v>0</v>
      </c>
      <c r="I16" s="1">
        <f t="shared" si="1"/>
        <v>3146156</v>
      </c>
      <c r="J16" s="1">
        <f t="shared" si="1"/>
        <v>1223534</v>
      </c>
      <c r="K16" s="1">
        <f t="shared" si="1"/>
        <v>0</v>
      </c>
      <c r="L16" s="1">
        <f t="shared" si="1"/>
        <v>0</v>
      </c>
      <c r="M16" s="1">
        <f t="shared" si="1"/>
        <v>0</v>
      </c>
      <c r="N16" s="1">
        <f t="shared" si="1"/>
        <v>0</v>
      </c>
      <c r="O16" s="1">
        <f t="shared" si="1"/>
        <v>0</v>
      </c>
      <c r="P16" s="1">
        <f t="shared" si="1"/>
        <v>0</v>
      </c>
      <c r="Q16" s="1">
        <f t="shared" si="1"/>
        <v>528652</v>
      </c>
      <c r="R16" s="1">
        <f t="shared" si="1"/>
        <v>14390431</v>
      </c>
    </row>
    <row r="17" spans="1:18" x14ac:dyDescent="0.3">
      <c r="A17" s="2" t="s">
        <v>176</v>
      </c>
      <c r="B17" s="10">
        <f>-SUMIFS('6.2'!$E$15:$E$19,'6.2'!$G$15:$G$19,B$5)</f>
        <v>0</v>
      </c>
      <c r="C17" s="10">
        <f>-SUMIFS('6.2'!$E$15:$E$19,'6.2'!$G$15:$G$19,C$5)</f>
        <v>0</v>
      </c>
      <c r="D17" s="10">
        <f>-SUMIFS('6.2'!$E$15:$E$19,'6.2'!$G$15:$G$19,D$5)</f>
        <v>-577597</v>
      </c>
      <c r="E17" s="10">
        <f>-SUMIFS('6.2'!$E$15:$E$19,'6.2'!$G$15:$G$19,E$5)</f>
        <v>0</v>
      </c>
      <c r="F17" s="10">
        <f>-SUMIFS('6.2'!$E$15:$E$19,'6.2'!$G$15:$G$19,F$5)</f>
        <v>0</v>
      </c>
      <c r="G17" s="10">
        <f>-SUMIFS('6.2'!$E$15:$E$19,'6.2'!$G$15:$G$19,G$5)</f>
        <v>0</v>
      </c>
      <c r="H17" s="10">
        <f>-SUMIFS('6.2'!$E$15:$E$19,'6.2'!$G$15:$G$19,H$5)</f>
        <v>0</v>
      </c>
      <c r="I17" s="10">
        <f>-SUMIFS('6.2'!$E$15:$E$19,'6.2'!$G$15:$G$19,I$5)</f>
        <v>0</v>
      </c>
      <c r="J17" s="10">
        <f>-SUMIFS('6.2'!$E$15:$E$19,'6.2'!$G$15:$G$19,J$5)</f>
        <v>0</v>
      </c>
      <c r="K17" s="10">
        <f>-SUMIFS('6.2'!$E$15:$E$19,'6.2'!$G$15:$G$19,K$5)</f>
        <v>0</v>
      </c>
      <c r="L17" s="10">
        <f>-SUMIFS('6.2'!$E$15:$E$19,'6.2'!$G$15:$G$19,L$5)</f>
        <v>0</v>
      </c>
      <c r="M17" s="10">
        <f>-SUMIFS('6.2'!$E$15:$E$19,'6.2'!$G$15:$G$19,M$5)</f>
        <v>0</v>
      </c>
      <c r="N17" s="10">
        <f>-SUMIFS('6.2'!$E$15:$E$19,'6.2'!$G$15:$G$19,N$5)</f>
        <v>0</v>
      </c>
      <c r="O17" s="10">
        <f>-SUMIFS('6.2'!$E$15:$E$19,'6.2'!$G$15:$G$19,O$5)</f>
        <v>0</v>
      </c>
      <c r="P17" s="10">
        <f>-SUMIFS('6.2'!$E$15:$E$19,'6.2'!$G$15:$G$19,P$5)</f>
        <v>0</v>
      </c>
      <c r="Q17" s="10">
        <f>-SUMIFS('6.2'!$E$15:$E$19,'6.2'!$G$15:$G$19,Q$5)</f>
        <v>0</v>
      </c>
      <c r="R17" s="1">
        <f>SUM(B17:Q17)</f>
        <v>-577597</v>
      </c>
    </row>
    <row r="18" spans="1:18" x14ac:dyDescent="0.3">
      <c r="A18" s="2" t="s">
        <v>214</v>
      </c>
      <c r="B18" s="1">
        <f>SUBTOTAL(9,B6:B17)</f>
        <v>2009652</v>
      </c>
      <c r="C18" s="1">
        <f>SUBTOTAL(9,C6:C17)</f>
        <v>0</v>
      </c>
      <c r="D18" s="1">
        <f>SUBTOTAL(9,D6:D17)</f>
        <v>2370123</v>
      </c>
      <c r="E18" s="1">
        <f>SUBTOTAL(9,E6:E17)</f>
        <v>145694</v>
      </c>
      <c r="F18" s="1">
        <f>SUBTOTAL(9,F6:F17)</f>
        <v>0</v>
      </c>
      <c r="G18" s="1">
        <f>SUBTOTAL(9,G6:G17)</f>
        <v>4389023</v>
      </c>
      <c r="H18" s="1">
        <f>SUBTOTAL(9,H6:H17)</f>
        <v>0</v>
      </c>
      <c r="I18" s="1">
        <f>SUBTOTAL(9,I6:I17)</f>
        <v>3146156</v>
      </c>
      <c r="J18" s="1">
        <f>SUBTOTAL(9,J6:J17)</f>
        <v>1223534</v>
      </c>
      <c r="K18" s="1">
        <f>SUBTOTAL(9,K6:K17)</f>
        <v>0</v>
      </c>
      <c r="L18" s="1">
        <f>SUBTOTAL(9,L6:L17)</f>
        <v>0</v>
      </c>
      <c r="M18" s="1">
        <f>SUBTOTAL(9,M6:M17)</f>
        <v>0</v>
      </c>
      <c r="N18" s="1">
        <f>SUBTOTAL(9,N6:N17)</f>
        <v>0</v>
      </c>
      <c r="O18" s="1">
        <f>SUBTOTAL(9,O6:O17)</f>
        <v>0</v>
      </c>
      <c r="P18" s="1">
        <f>SUBTOTAL(9,P6:P17)</f>
        <v>0</v>
      </c>
      <c r="Q18" s="1">
        <f>SUBTOTAL(9,Q6:Q17)</f>
        <v>528652</v>
      </c>
      <c r="R18" s="1">
        <f>SUBTOTAL(9,R6:R17)</f>
        <v>13812834</v>
      </c>
    </row>
    <row r="20" spans="1:18" s="5" customFormat="1" x14ac:dyDescent="0.3">
      <c r="A20" s="5" t="s">
        <v>225</v>
      </c>
    </row>
    <row r="21" spans="1:18" s="9" customFormat="1" ht="67.5" x14ac:dyDescent="0.25">
      <c r="B21" s="17" t="str">
        <f t="array" ref="B21:L21">TRANSPOSE(A38:A48)</f>
        <v>Substations 1841 Account</v>
      </c>
      <c r="C21" s="17" t="str">
        <v>ECC</v>
      </c>
      <c r="D21" s="17" t="str">
        <v>SCADA</v>
      </c>
      <c r="E21" s="17" t="str">
        <v>Primary &amp; Secondary</v>
      </c>
      <c r="F21" s="17" t="str">
        <v>Distribution Facilities</v>
      </c>
      <c r="G21" s="17" t="str">
        <v>Distribution Lines</v>
      </c>
      <c r="H21" s="17" t="str">
        <v>Distribution Network</v>
      </c>
      <c r="I21" s="17" t="str">
        <v>Transportation</v>
      </c>
      <c r="J21" s="17" t="str">
        <v>Labour</v>
      </c>
      <c r="K21" s="17" t="str">
        <v>Head Office</v>
      </c>
      <c r="L21" s="17" t="str">
        <v>Contributions Related Distribution Plant</v>
      </c>
      <c r="M21" s="17"/>
      <c r="N21" s="17"/>
      <c r="O21" s="17"/>
      <c r="P21" s="17"/>
      <c r="Q21" s="17"/>
      <c r="R21" s="17" t="s">
        <v>214</v>
      </c>
    </row>
    <row r="22" spans="1:18" x14ac:dyDescent="0.3">
      <c r="A22" s="1" t="s">
        <v>129</v>
      </c>
    </row>
    <row r="23" spans="1:18" x14ac:dyDescent="0.3">
      <c r="A23" s="3" t="s">
        <v>172</v>
      </c>
      <c r="B23" s="1">
        <f>SUMIFS('6.1'!$M$6:$M$74,Assets_PresHeader,$A23,Assets_BasisFunc,B$21)</f>
        <v>0</v>
      </c>
      <c r="C23" s="1">
        <f>SUMIFS('6.1'!$M$6:$M$74,Assets_PresHeader,$A23,Assets_BasisFunc,C$21)</f>
        <v>0</v>
      </c>
      <c r="D23" s="1">
        <f>SUMIFS('6.1'!$M$6:$M$74,Assets_PresHeader,$A23,Assets_BasisFunc,D$21)</f>
        <v>0</v>
      </c>
      <c r="E23" s="1">
        <f>SUMIFS('6.1'!$M$6:$M$74,Assets_PresHeader,$A23,Assets_BasisFunc,E$21)</f>
        <v>0</v>
      </c>
      <c r="F23" s="1">
        <f>SUMIFS('6.1'!$M$6:$M$74,Assets_PresHeader,$A23,Assets_BasisFunc,F$21)</f>
        <v>0</v>
      </c>
      <c r="G23" s="1">
        <f>SUMIFS('6.1'!$M$6:$M$74,Assets_PresHeader,$A23,Assets_BasisFunc,G$21)</f>
        <v>0</v>
      </c>
      <c r="H23" s="1">
        <f>SUMIFS('6.1'!$M$6:$M$74,Assets_PresHeader,$A23,Assets_BasisFunc,H$21)</f>
        <v>0</v>
      </c>
      <c r="I23" s="1">
        <f>SUMIFS('6.1'!$M$6:$M$74,Assets_PresHeader,$A23,Assets_BasisFunc,I$21)</f>
        <v>0</v>
      </c>
      <c r="J23" s="1">
        <f>SUMIFS('6.1'!$M$6:$M$74,Assets_PresHeader,$A23,Assets_BasisFunc,J$21)</f>
        <v>0</v>
      </c>
      <c r="K23" s="1">
        <f>SUMIFS('6.1'!$M$6:$M$74,Assets_PresHeader,$A23,Assets_BasisFunc,K$21)</f>
        <v>0</v>
      </c>
      <c r="L23" s="1">
        <f>SUMIFS('6.1'!$M$6:$M$74,Assets_PresHeader,$A23,Assets_BasisFunc,L$21)</f>
        <v>0</v>
      </c>
      <c r="M23" s="1">
        <f>SUMIFS('6.1'!$M$6:$M$74,Assets_PresHeader,$A23,Assets_BasisFunc,M$21)</f>
        <v>0</v>
      </c>
      <c r="N23" s="1">
        <f>SUMIFS('6.1'!$M$6:$M$74,Assets_PresHeader,$A23,Assets_BasisFunc,N$21)</f>
        <v>0</v>
      </c>
      <c r="O23" s="1">
        <f>SUMIFS('6.1'!$M$6:$M$74,Assets_PresHeader,$A23,Assets_BasisFunc,O$21)</f>
        <v>0</v>
      </c>
      <c r="P23" s="1">
        <f>SUMIFS('6.1'!$M$6:$M$74,Assets_PresHeader,$A23,Assets_BasisFunc,P$21)</f>
        <v>0</v>
      </c>
      <c r="Q23" s="1">
        <f>SUMIFS('6.1'!$M$6:$M$74,Assets_PresHeader,$A23,Assets_BasisFunc,Q$21)</f>
        <v>0</v>
      </c>
      <c r="R23" s="1">
        <f>SUM(B23:Q23)</f>
        <v>0</v>
      </c>
    </row>
    <row r="24" spans="1:18" x14ac:dyDescent="0.3">
      <c r="A24" s="3" t="s">
        <v>173</v>
      </c>
    </row>
    <row r="25" spans="1:18" x14ac:dyDescent="0.3">
      <c r="A25" s="4" t="s">
        <v>13</v>
      </c>
      <c r="B25" s="1">
        <f>SUMIFS('6.1'!$M$6:$M$74,Assets_PresHeader,$A25,Assets_BasisFunc,B$21)</f>
        <v>1529675</v>
      </c>
      <c r="C25" s="1">
        <f>SUMIFS('6.1'!$M$6:$M$74,Assets_PresHeader,$A25,Assets_BasisFunc,C$21)</f>
        <v>0</v>
      </c>
      <c r="D25" s="1">
        <f>SUMIFS('6.1'!$M$6:$M$74,Assets_PresHeader,$A25,Assets_BasisFunc,D$21)</f>
        <v>0</v>
      </c>
      <c r="E25" s="1">
        <f>SUMIFS('6.1'!$M$6:$M$74,Assets_PresHeader,$A25,Assets_BasisFunc,E$21)</f>
        <v>0</v>
      </c>
      <c r="F25" s="1">
        <f>SUMIFS('6.1'!$M$6:$M$74,Assets_PresHeader,$A25,Assets_BasisFunc,F$21)</f>
        <v>0</v>
      </c>
      <c r="G25" s="1">
        <f>SUMIFS('6.1'!$M$6:$M$74,Assets_PresHeader,$A25,Assets_BasisFunc,G$21)</f>
        <v>0</v>
      </c>
      <c r="H25" s="1">
        <f>SUMIFS('6.1'!$M$6:$M$74,Assets_PresHeader,$A25,Assets_BasisFunc,H$21)</f>
        <v>0</v>
      </c>
      <c r="I25" s="1">
        <f>SUMIFS('6.1'!$M$6:$M$74,Assets_PresHeader,$A25,Assets_BasisFunc,I$21)</f>
        <v>0</v>
      </c>
      <c r="J25" s="1">
        <f>SUMIFS('6.1'!$M$6:$M$74,Assets_PresHeader,$A25,Assets_BasisFunc,J$21)</f>
        <v>0</v>
      </c>
      <c r="K25" s="1">
        <f>SUMIFS('6.1'!$M$6:$M$74,Assets_PresHeader,$A25,Assets_BasisFunc,K$21)</f>
        <v>0</v>
      </c>
      <c r="L25" s="1">
        <f>SUMIFS('6.1'!$M$6:$M$74,Assets_PresHeader,$A25,Assets_BasisFunc,L$21)</f>
        <v>0</v>
      </c>
      <c r="M25" s="1">
        <f>SUMIFS('6.1'!$M$6:$M$74,Assets_PresHeader,$A25,Assets_BasisFunc,M$21)</f>
        <v>0</v>
      </c>
      <c r="N25" s="1">
        <f>SUMIFS('6.1'!$M$6:$M$74,Assets_PresHeader,$A25,Assets_BasisFunc,N$21)</f>
        <v>0</v>
      </c>
      <c r="O25" s="1">
        <f>SUMIFS('6.1'!$M$6:$M$74,Assets_PresHeader,$A25,Assets_BasisFunc,O$21)</f>
        <v>0</v>
      </c>
      <c r="P25" s="1">
        <f>SUMIFS('6.1'!$M$6:$M$74,Assets_PresHeader,$A25,Assets_BasisFunc,P$21)</f>
        <v>0</v>
      </c>
      <c r="Q25" s="1">
        <f>SUMIFS('6.1'!$M$6:$M$74,Assets_PresHeader,$A25,Assets_BasisFunc,Q$21)</f>
        <v>0</v>
      </c>
      <c r="R25" s="1">
        <f>SUM(B25:Q25)</f>
        <v>1529675</v>
      </c>
    </row>
    <row r="26" spans="1:18" x14ac:dyDescent="0.3">
      <c r="A26" s="4" t="s">
        <v>140</v>
      </c>
      <c r="B26" s="1">
        <f>SUMIFS('6.1'!$M$6:$M$74,Assets_PresHeader,$A26,Assets_BasisFunc,B$21)</f>
        <v>0</v>
      </c>
      <c r="C26" s="1">
        <f>SUMIFS('6.1'!$M$6:$M$74,Assets_PresHeader,$A26,Assets_BasisFunc,C$21)</f>
        <v>0</v>
      </c>
      <c r="D26" s="1">
        <f>SUMIFS('6.1'!$M$6:$M$74,Assets_PresHeader,$A26,Assets_BasisFunc,D$21)</f>
        <v>0</v>
      </c>
      <c r="E26" s="1">
        <f>SUMIFS('6.1'!$M$6:$M$74,Assets_PresHeader,$A26,Assets_BasisFunc,E$21)</f>
        <v>8527543</v>
      </c>
      <c r="F26" s="1">
        <f>SUMIFS('6.1'!$M$6:$M$74,Assets_PresHeader,$A26,Assets_BasisFunc,F$21)</f>
        <v>0</v>
      </c>
      <c r="G26" s="1">
        <f>SUMIFS('6.1'!$M$6:$M$74,Assets_PresHeader,$A26,Assets_BasisFunc,G$21)</f>
        <v>0</v>
      </c>
      <c r="H26" s="1">
        <f>SUMIFS('6.1'!$M$6:$M$74,Assets_PresHeader,$A26,Assets_BasisFunc,H$21)</f>
        <v>0</v>
      </c>
      <c r="I26" s="1">
        <f>SUMIFS('6.1'!$M$6:$M$74,Assets_PresHeader,$A26,Assets_BasisFunc,I$21)</f>
        <v>0</v>
      </c>
      <c r="J26" s="1">
        <f>SUMIFS('6.1'!$M$6:$M$74,Assets_PresHeader,$A26,Assets_BasisFunc,J$21)</f>
        <v>0</v>
      </c>
      <c r="K26" s="1">
        <f>SUMIFS('6.1'!$M$6:$M$74,Assets_PresHeader,$A26,Assets_BasisFunc,K$21)</f>
        <v>0</v>
      </c>
      <c r="L26" s="1">
        <f>SUMIFS('6.1'!$M$6:$M$74,Assets_PresHeader,$A26,Assets_BasisFunc,L$21)</f>
        <v>0</v>
      </c>
      <c r="M26" s="1">
        <f>SUMIFS('6.1'!$M$6:$M$74,Assets_PresHeader,$A26,Assets_BasisFunc,M$21)</f>
        <v>0</v>
      </c>
      <c r="N26" s="1">
        <f>SUMIFS('6.1'!$M$6:$M$74,Assets_PresHeader,$A26,Assets_BasisFunc,N$21)</f>
        <v>0</v>
      </c>
      <c r="O26" s="1">
        <f>SUMIFS('6.1'!$M$6:$M$74,Assets_PresHeader,$A26,Assets_BasisFunc,O$21)</f>
        <v>0</v>
      </c>
      <c r="P26" s="1">
        <f>SUMIFS('6.1'!$M$6:$M$74,Assets_PresHeader,$A26,Assets_BasisFunc,P$21)</f>
        <v>0</v>
      </c>
      <c r="Q26" s="1">
        <f>SUMIFS('6.1'!$M$6:$M$74,Assets_PresHeader,$A26,Assets_BasisFunc,Q$21)</f>
        <v>0</v>
      </c>
      <c r="R26" s="1">
        <f>SUM(B26:Q26)</f>
        <v>8527543</v>
      </c>
    </row>
    <row r="27" spans="1:18" x14ac:dyDescent="0.3">
      <c r="A27" s="4" t="s">
        <v>141</v>
      </c>
      <c r="B27" s="1">
        <f>SUMIFS('6.1'!$M$6:$M$74,Assets_PresHeader,$A27,Assets_BasisFunc,B$21)</f>
        <v>0</v>
      </c>
      <c r="C27" s="1">
        <f>SUMIFS('6.1'!$M$6:$M$74,Assets_PresHeader,$A27,Assets_BasisFunc,C$21)</f>
        <v>0</v>
      </c>
      <c r="D27" s="1">
        <f>SUMIFS('6.1'!$M$6:$M$74,Assets_PresHeader,$A27,Assets_BasisFunc,D$21)</f>
        <v>774535</v>
      </c>
      <c r="E27" s="1">
        <f>SUMIFS('6.1'!$M$6:$M$74,Assets_PresHeader,$A27,Assets_BasisFunc,E$21)</f>
        <v>0</v>
      </c>
      <c r="F27" s="1">
        <f>SUMIFS('6.1'!$M$6:$M$74,Assets_PresHeader,$A27,Assets_BasisFunc,F$21)</f>
        <v>0</v>
      </c>
      <c r="G27" s="1">
        <f>SUMIFS('6.1'!$M$6:$M$74,Assets_PresHeader,$A27,Assets_BasisFunc,G$21)</f>
        <v>0</v>
      </c>
      <c r="H27" s="1">
        <f>SUMIFS('6.1'!$M$6:$M$74,Assets_PresHeader,$A27,Assets_BasisFunc,H$21)</f>
        <v>0</v>
      </c>
      <c r="I27" s="1">
        <f>SUMIFS('6.1'!$M$6:$M$74,Assets_PresHeader,$A27,Assets_BasisFunc,I$21)</f>
        <v>0</v>
      </c>
      <c r="J27" s="1">
        <f>SUMIFS('6.1'!$M$6:$M$74,Assets_PresHeader,$A27,Assets_BasisFunc,J$21)</f>
        <v>0</v>
      </c>
      <c r="K27" s="1">
        <f>SUMIFS('6.1'!$M$6:$M$74,Assets_PresHeader,$A27,Assets_BasisFunc,K$21)</f>
        <v>0</v>
      </c>
      <c r="L27" s="1">
        <f>SUMIFS('6.1'!$M$6:$M$74,Assets_PresHeader,$A27,Assets_BasisFunc,L$21)</f>
        <v>0</v>
      </c>
      <c r="M27" s="1">
        <f>SUMIFS('6.1'!$M$6:$M$74,Assets_PresHeader,$A27,Assets_BasisFunc,M$21)</f>
        <v>0</v>
      </c>
      <c r="N27" s="1">
        <f>SUMIFS('6.1'!$M$6:$M$74,Assets_PresHeader,$A27,Assets_BasisFunc,N$21)</f>
        <v>0</v>
      </c>
      <c r="O27" s="1">
        <f>SUMIFS('6.1'!$M$6:$M$74,Assets_PresHeader,$A27,Assets_BasisFunc,O$21)</f>
        <v>0</v>
      </c>
      <c r="P27" s="1">
        <f>SUMIFS('6.1'!$M$6:$M$74,Assets_PresHeader,$A27,Assets_BasisFunc,P$21)</f>
        <v>0</v>
      </c>
      <c r="Q27" s="1">
        <f>SUMIFS('6.1'!$M$6:$M$74,Assets_PresHeader,$A27,Assets_BasisFunc,Q$21)</f>
        <v>0</v>
      </c>
      <c r="R27" s="1">
        <f>SUM(B27:Q27)</f>
        <v>774535</v>
      </c>
    </row>
    <row r="28" spans="1:18" x14ac:dyDescent="0.3">
      <c r="A28" s="4" t="s">
        <v>142</v>
      </c>
      <c r="B28" s="1">
        <f>SUMIFS('6.1'!$M$6:$M$74,Assets_PresHeader,$A28,Assets_BasisFunc,B$21)</f>
        <v>0</v>
      </c>
      <c r="C28" s="1">
        <f>SUMIFS('6.1'!$M$6:$M$74,Assets_PresHeader,$A28,Assets_BasisFunc,C$21)</f>
        <v>0</v>
      </c>
      <c r="D28" s="1">
        <f>SUMIFS('6.1'!$M$6:$M$74,Assets_PresHeader,$A28,Assets_BasisFunc,D$21)</f>
        <v>0</v>
      </c>
      <c r="E28" s="1">
        <f>SUMIFS('6.1'!$M$6:$M$74,Assets_PresHeader,$A28,Assets_BasisFunc,E$21)</f>
        <v>0</v>
      </c>
      <c r="F28" s="1">
        <f>SUMIFS('6.1'!$M$6:$M$74,Assets_PresHeader,$A28,Assets_BasisFunc,F$21)</f>
        <v>0</v>
      </c>
      <c r="G28" s="1">
        <f>SUMIFS('6.1'!$M$6:$M$74,Assets_PresHeader,$A28,Assets_BasisFunc,G$21)</f>
        <v>0</v>
      </c>
      <c r="H28" s="1">
        <f>SUMIFS('6.1'!$M$6:$M$74,Assets_PresHeader,$A28,Assets_BasisFunc,H$21)</f>
        <v>0</v>
      </c>
      <c r="I28" s="1">
        <f>SUMIFS('6.1'!$M$6:$M$74,Assets_PresHeader,$A28,Assets_BasisFunc,I$21)</f>
        <v>0</v>
      </c>
      <c r="J28" s="1">
        <f>SUMIFS('6.1'!$M$6:$M$74,Assets_PresHeader,$A28,Assets_BasisFunc,J$21)</f>
        <v>0</v>
      </c>
      <c r="K28" s="1">
        <f>SUMIFS('6.1'!$M$6:$M$74,Assets_PresHeader,$A28,Assets_BasisFunc,K$21)</f>
        <v>0</v>
      </c>
      <c r="L28" s="1">
        <f>SUMIFS('6.1'!$M$6:$M$74,Assets_PresHeader,$A28,Assets_BasisFunc,L$21)</f>
        <v>0</v>
      </c>
      <c r="M28" s="1">
        <f>SUMIFS('6.1'!$M$6:$M$74,Assets_PresHeader,$A28,Assets_BasisFunc,M$21)</f>
        <v>0</v>
      </c>
      <c r="N28" s="1">
        <f>SUMIFS('6.1'!$M$6:$M$74,Assets_PresHeader,$A28,Assets_BasisFunc,N$21)</f>
        <v>0</v>
      </c>
      <c r="O28" s="1">
        <f>SUMIFS('6.1'!$M$6:$M$74,Assets_PresHeader,$A28,Assets_BasisFunc,O$21)</f>
        <v>0</v>
      </c>
      <c r="P28" s="1">
        <f>SUMIFS('6.1'!$M$6:$M$74,Assets_PresHeader,$A28,Assets_BasisFunc,P$21)</f>
        <v>0</v>
      </c>
      <c r="Q28" s="1">
        <f>SUMIFS('6.1'!$M$6:$M$74,Assets_PresHeader,$A28,Assets_BasisFunc,Q$21)</f>
        <v>0</v>
      </c>
      <c r="R28" s="1">
        <f>SUM(B28:Q28)</f>
        <v>0</v>
      </c>
    </row>
    <row r="29" spans="1:18" x14ac:dyDescent="0.3">
      <c r="A29" s="4" t="s">
        <v>143</v>
      </c>
      <c r="B29" s="1">
        <f>SUMIFS('6.1'!$M$6:$M$74,Assets_PresHeader,$A29,Assets_BasisFunc,B$21)</f>
        <v>0</v>
      </c>
      <c r="C29" s="1">
        <f>SUMIFS('6.1'!$M$6:$M$74,Assets_PresHeader,$A29,Assets_BasisFunc,C$21)</f>
        <v>0</v>
      </c>
      <c r="D29" s="1">
        <f>SUMIFS('6.1'!$M$6:$M$74,Assets_PresHeader,$A29,Assets_BasisFunc,D$21)</f>
        <v>0</v>
      </c>
      <c r="E29" s="1">
        <f>SUMIFS('6.1'!$M$6:$M$74,Assets_PresHeader,$A29,Assets_BasisFunc,E$21)</f>
        <v>0</v>
      </c>
      <c r="F29" s="1">
        <f>SUMIFS('6.1'!$M$6:$M$74,Assets_PresHeader,$A29,Assets_BasisFunc,F$21)</f>
        <v>0</v>
      </c>
      <c r="G29" s="1">
        <f>SUMIFS('6.1'!$M$6:$M$74,Assets_PresHeader,$A29,Assets_BasisFunc,G$21)</f>
        <v>0</v>
      </c>
      <c r="H29" s="1">
        <f>SUMIFS('6.1'!$M$6:$M$74,Assets_PresHeader,$A29,Assets_BasisFunc,H$21)</f>
        <v>0</v>
      </c>
      <c r="I29" s="1">
        <f>SUMIFS('6.1'!$M$6:$M$74,Assets_PresHeader,$A29,Assets_BasisFunc,I$21)</f>
        <v>0</v>
      </c>
      <c r="J29" s="1">
        <f>SUMIFS('6.1'!$M$6:$M$74,Assets_PresHeader,$A29,Assets_BasisFunc,J$21)</f>
        <v>0</v>
      </c>
      <c r="K29" s="1">
        <f>SUMIFS('6.1'!$M$6:$M$74,Assets_PresHeader,$A29,Assets_BasisFunc,K$21)</f>
        <v>0</v>
      </c>
      <c r="L29" s="1">
        <f>SUMIFS('6.1'!$M$6:$M$74,Assets_PresHeader,$A29,Assets_BasisFunc,L$21)</f>
        <v>0</v>
      </c>
      <c r="M29" s="1">
        <f>SUMIFS('6.1'!$M$6:$M$74,Assets_PresHeader,$A29,Assets_BasisFunc,M$21)</f>
        <v>0</v>
      </c>
      <c r="N29" s="1">
        <f>SUMIFS('6.1'!$M$6:$M$74,Assets_PresHeader,$A29,Assets_BasisFunc,N$21)</f>
        <v>0</v>
      </c>
      <c r="O29" s="1">
        <f>SUMIFS('6.1'!$M$6:$M$74,Assets_PresHeader,$A29,Assets_BasisFunc,O$21)</f>
        <v>0</v>
      </c>
      <c r="P29" s="1">
        <f>SUMIFS('6.1'!$M$6:$M$74,Assets_PresHeader,$A29,Assets_BasisFunc,P$21)</f>
        <v>0</v>
      </c>
      <c r="Q29" s="1">
        <f>SUMIFS('6.1'!$M$6:$M$74,Assets_PresHeader,$A29,Assets_BasisFunc,Q$21)</f>
        <v>0</v>
      </c>
      <c r="R29" s="1">
        <f>SUM(B29:Q29)</f>
        <v>0</v>
      </c>
    </row>
    <row r="30" spans="1:18" x14ac:dyDescent="0.3">
      <c r="A30" s="4" t="s">
        <v>174</v>
      </c>
      <c r="B30" s="1">
        <f t="shared" ref="B30:Q30" si="2">SUBTOTAL(9,B24:B29)</f>
        <v>1529675</v>
      </c>
      <c r="C30" s="1">
        <f t="shared" si="2"/>
        <v>0</v>
      </c>
      <c r="D30" s="1">
        <f t="shared" si="2"/>
        <v>774535</v>
      </c>
      <c r="E30" s="1">
        <f t="shared" si="2"/>
        <v>8527543</v>
      </c>
      <c r="F30" s="1">
        <f t="shared" si="2"/>
        <v>0</v>
      </c>
      <c r="G30" s="1">
        <f t="shared" si="2"/>
        <v>0</v>
      </c>
      <c r="H30" s="1">
        <f t="shared" si="2"/>
        <v>0</v>
      </c>
      <c r="I30" s="1">
        <f t="shared" si="2"/>
        <v>0</v>
      </c>
      <c r="J30" s="1">
        <f t="shared" si="2"/>
        <v>0</v>
      </c>
      <c r="K30" s="1">
        <f t="shared" si="2"/>
        <v>0</v>
      </c>
      <c r="L30" s="1">
        <f t="shared" si="2"/>
        <v>0</v>
      </c>
      <c r="M30" s="1">
        <f t="shared" si="2"/>
        <v>0</v>
      </c>
      <c r="N30" s="1">
        <f t="shared" si="2"/>
        <v>0</v>
      </c>
      <c r="O30" s="1">
        <f t="shared" si="2"/>
        <v>0</v>
      </c>
      <c r="P30" s="1">
        <f t="shared" si="2"/>
        <v>0</v>
      </c>
      <c r="Q30" s="1">
        <f t="shared" si="2"/>
        <v>0</v>
      </c>
      <c r="R30" s="1">
        <f>SUBTOTAL(9,R24:R29)</f>
        <v>10831753</v>
      </c>
    </row>
    <row r="31" spans="1:18" x14ac:dyDescent="0.3">
      <c r="A31" s="3" t="s">
        <v>175</v>
      </c>
      <c r="B31" s="1">
        <f>SUMIFS('6.1'!$M$6:$M$74,Assets_PresHeader,$A31,Assets_BasisFunc,B$21)</f>
        <v>0</v>
      </c>
      <c r="C31" s="1">
        <f>SUMIFS('6.1'!$M$6:$M$74,Assets_PresHeader,$A31,Assets_BasisFunc,C$21)</f>
        <v>43685</v>
      </c>
      <c r="D31" s="1">
        <f>SUMIFS('6.1'!$M$6:$M$74,Assets_PresHeader,$A31,Assets_BasisFunc,D$21)</f>
        <v>0</v>
      </c>
      <c r="E31" s="1">
        <f>SUMIFS('6.1'!$M$6:$M$74,Assets_PresHeader,$A31,Assets_BasisFunc,E$21)</f>
        <v>0</v>
      </c>
      <c r="F31" s="1">
        <f>SUMIFS('6.1'!$M$6:$M$74,Assets_PresHeader,$A31,Assets_BasisFunc,F$21)</f>
        <v>0</v>
      </c>
      <c r="G31" s="1">
        <f>SUMIFS('6.1'!$M$6:$M$74,Assets_PresHeader,$A31,Assets_BasisFunc,G$21)</f>
        <v>0</v>
      </c>
      <c r="H31" s="1">
        <f>SUMIFS('6.1'!$M$6:$M$74,Assets_PresHeader,$A31,Assets_BasisFunc,H$21)</f>
        <v>378371</v>
      </c>
      <c r="I31" s="1">
        <f>SUMIFS('6.1'!$M$6:$M$74,Assets_PresHeader,$A31,Assets_BasisFunc,I$21)</f>
        <v>1175009</v>
      </c>
      <c r="J31" s="1">
        <f>SUMIFS('6.1'!$M$6:$M$74,Assets_PresHeader,$A31,Assets_BasisFunc,J$21)</f>
        <v>1692815</v>
      </c>
      <c r="K31" s="1">
        <f>SUMIFS('6.1'!$M$6:$M$74,Assets_PresHeader,$A31,Assets_BasisFunc,K$21)</f>
        <v>158098</v>
      </c>
      <c r="L31" s="1">
        <f>SUMIFS('6.1'!$M$6:$M$74,Assets_PresHeader,$A31,Assets_BasisFunc,L$21)</f>
        <v>0</v>
      </c>
      <c r="M31" s="1">
        <f>SUMIFS('6.1'!$M$6:$M$74,Assets_PresHeader,$A31,Assets_BasisFunc,M$21)</f>
        <v>0</v>
      </c>
      <c r="N31" s="1">
        <f>SUMIFS('6.1'!$M$6:$M$74,Assets_PresHeader,$A31,Assets_BasisFunc,N$21)</f>
        <v>0</v>
      </c>
      <c r="O31" s="1">
        <f>SUMIFS('6.1'!$M$6:$M$74,Assets_PresHeader,$A31,Assets_BasisFunc,O$21)</f>
        <v>0</v>
      </c>
      <c r="P31" s="1">
        <f>SUMIFS('6.1'!$M$6:$M$74,Assets_PresHeader,$A31,Assets_BasisFunc,P$21)</f>
        <v>0</v>
      </c>
      <c r="Q31" s="1">
        <f>SUMIFS('6.1'!$M$6:$M$74,Assets_PresHeader,$A31,Assets_BasisFunc,Q$21)</f>
        <v>0</v>
      </c>
      <c r="R31" s="1">
        <f>SUM(B31:Q31)</f>
        <v>3447978</v>
      </c>
    </row>
    <row r="32" spans="1:18" x14ac:dyDescent="0.3">
      <c r="A32" s="3" t="s">
        <v>213</v>
      </c>
      <c r="B32" s="1">
        <f t="shared" ref="B32:R32" si="3">SUBTOTAL(9,B22:B31)</f>
        <v>1529675</v>
      </c>
      <c r="C32" s="1">
        <f t="shared" si="3"/>
        <v>43685</v>
      </c>
      <c r="D32" s="1">
        <f t="shared" si="3"/>
        <v>774535</v>
      </c>
      <c r="E32" s="1">
        <f t="shared" si="3"/>
        <v>8527543</v>
      </c>
      <c r="F32" s="1">
        <f t="shared" si="3"/>
        <v>0</v>
      </c>
      <c r="G32" s="1">
        <f t="shared" si="3"/>
        <v>0</v>
      </c>
      <c r="H32" s="1">
        <f t="shared" si="3"/>
        <v>378371</v>
      </c>
      <c r="I32" s="1">
        <f t="shared" si="3"/>
        <v>1175009</v>
      </c>
      <c r="J32" s="1">
        <f t="shared" si="3"/>
        <v>1692815</v>
      </c>
      <c r="K32" s="1">
        <f t="shared" si="3"/>
        <v>158098</v>
      </c>
      <c r="L32" s="1">
        <f t="shared" si="3"/>
        <v>0</v>
      </c>
      <c r="M32" s="1">
        <f t="shared" si="3"/>
        <v>0</v>
      </c>
      <c r="N32" s="1">
        <f t="shared" si="3"/>
        <v>0</v>
      </c>
      <c r="O32" s="1">
        <f t="shared" si="3"/>
        <v>0</v>
      </c>
      <c r="P32" s="1">
        <f t="shared" si="3"/>
        <v>0</v>
      </c>
      <c r="Q32" s="1">
        <f t="shared" si="3"/>
        <v>0</v>
      </c>
      <c r="R32" s="1">
        <f t="shared" si="3"/>
        <v>14279731</v>
      </c>
    </row>
    <row r="33" spans="1:18" x14ac:dyDescent="0.3">
      <c r="A33" s="2" t="s">
        <v>176</v>
      </c>
      <c r="B33" s="10">
        <f>-SUMIFS('6.2'!$E$15:$E$19,'6.2'!$G$15:$G$19,B$21)</f>
        <v>0</v>
      </c>
      <c r="C33" s="10">
        <f>-SUMIFS('6.2'!$E$15:$E$19,'6.2'!$G$15:$G$19,C$21)</f>
        <v>0</v>
      </c>
      <c r="D33" s="10">
        <f>-SUMIFS('6.2'!$E$15:$E$19,'6.2'!$G$15:$G$19,D$21)</f>
        <v>0</v>
      </c>
      <c r="E33" s="10">
        <f>-SUMIFS('6.2'!$E$15:$E$19,'6.2'!$G$15:$G$19,E$21)</f>
        <v>0</v>
      </c>
      <c r="F33" s="10">
        <f>-SUMIFS('6.2'!$E$15:$E$19,'6.2'!$G$15:$G$19,F$21)</f>
        <v>-24152</v>
      </c>
      <c r="G33" s="10">
        <f>-SUMIFS('6.2'!$E$15:$E$19,'6.2'!$G$15:$G$19,G$21)</f>
        <v>0</v>
      </c>
      <c r="H33" s="10">
        <f>-SUMIFS('6.2'!$E$15:$E$19,'6.2'!$G$15:$G$19,H$21)</f>
        <v>0</v>
      </c>
      <c r="I33" s="10">
        <f>-SUMIFS('6.2'!$E$15:$E$19,'6.2'!$G$15:$G$19,I$21)</f>
        <v>0</v>
      </c>
      <c r="J33" s="10">
        <f>-SUMIFS('6.2'!$E$15:$E$19,'6.2'!$G$15:$G$19,J$21)</f>
        <v>0</v>
      </c>
      <c r="K33" s="10">
        <f>-SUMIFS('6.2'!$E$15:$E$19,'6.2'!$G$15:$G$19,K$21)</f>
        <v>0</v>
      </c>
      <c r="L33" s="10">
        <f>-SUMIFS('6.2'!$E$15:$E$19,'6.2'!$G$15:$G$19,L$21)</f>
        <v>-1067059</v>
      </c>
      <c r="M33" s="10">
        <f>-SUMIFS('6.2'!$E$15:$E$19,'6.2'!$G$15:$G$19,M$21)</f>
        <v>0</v>
      </c>
      <c r="N33" s="10">
        <f>-SUMIFS('6.2'!$E$15:$E$19,'6.2'!$G$15:$G$19,N$21)</f>
        <v>0</v>
      </c>
      <c r="O33" s="10">
        <f>-SUMIFS('6.2'!$E$15:$E$19,'6.2'!$G$15:$G$19,O$21)</f>
        <v>0</v>
      </c>
      <c r="P33" s="10">
        <f>-SUMIFS('6.2'!$E$15:$E$19,'6.2'!$G$15:$G$19,P$21)</f>
        <v>0</v>
      </c>
      <c r="Q33" s="10">
        <f>-SUMIFS('6.2'!$E$15:$E$19,'6.2'!$G$15:$G$19,Q$21)</f>
        <v>0</v>
      </c>
      <c r="R33" s="1">
        <f>SUM(B33:Q33)</f>
        <v>-1091211</v>
      </c>
    </row>
    <row r="34" spans="1:18" x14ac:dyDescent="0.3">
      <c r="A34" s="2" t="s">
        <v>214</v>
      </c>
      <c r="B34" s="1">
        <f t="shared" ref="B34:R34" si="4">SUBTOTAL(9,B22:B33)</f>
        <v>1529675</v>
      </c>
      <c r="C34" s="1">
        <f t="shared" si="4"/>
        <v>43685</v>
      </c>
      <c r="D34" s="1">
        <f t="shared" si="4"/>
        <v>774535</v>
      </c>
      <c r="E34" s="1">
        <f t="shared" si="4"/>
        <v>8527543</v>
      </c>
      <c r="F34" s="1">
        <f t="shared" si="4"/>
        <v>-24152</v>
      </c>
      <c r="G34" s="1">
        <f t="shared" si="4"/>
        <v>0</v>
      </c>
      <c r="H34" s="1">
        <f t="shared" si="4"/>
        <v>378371</v>
      </c>
      <c r="I34" s="1">
        <f t="shared" si="4"/>
        <v>1175009</v>
      </c>
      <c r="J34" s="1">
        <f t="shared" si="4"/>
        <v>1692815</v>
      </c>
      <c r="K34" s="1">
        <f t="shared" si="4"/>
        <v>158098</v>
      </c>
      <c r="L34" s="1">
        <f t="shared" si="4"/>
        <v>-1067059</v>
      </c>
      <c r="M34" s="1">
        <f t="shared" si="4"/>
        <v>0</v>
      </c>
      <c r="N34" s="1">
        <f t="shared" si="4"/>
        <v>0</v>
      </c>
      <c r="O34" s="1">
        <f t="shared" si="4"/>
        <v>0</v>
      </c>
      <c r="P34" s="1">
        <f t="shared" si="4"/>
        <v>0</v>
      </c>
      <c r="Q34" s="1">
        <f t="shared" si="4"/>
        <v>0</v>
      </c>
      <c r="R34" s="1">
        <f t="shared" si="4"/>
        <v>13188520</v>
      </c>
    </row>
    <row r="36" spans="1:18" x14ac:dyDescent="0.3">
      <c r="A36" s="1" t="s">
        <v>229</v>
      </c>
    </row>
    <row r="37" spans="1:18" s="9" customFormat="1" ht="54" x14ac:dyDescent="0.25">
      <c r="B37" s="17" t="str">
        <f t="array" ref="B37:Q37">TRANSPOSE(List_Functions)</f>
        <v>Generation</v>
      </c>
      <c r="C37" s="17" t="str">
        <v>Purchased Power</v>
      </c>
      <c r="D37" s="17" t="str">
        <v>Transmission</v>
      </c>
      <c r="E37" s="17" t="str">
        <v>Substations</v>
      </c>
      <c r="F37" s="17" t="str">
        <v>Primary Lines</v>
      </c>
      <c r="G37" s="17" t="str">
        <v>Transformers</v>
      </c>
      <c r="H37" s="17" t="str">
        <v>Secondary Lines</v>
      </c>
      <c r="I37" s="17" t="str">
        <v>Service Lines</v>
      </c>
      <c r="J37" s="17" t="str">
        <v>Meter Assets</v>
      </c>
      <c r="K37" s="17" t="str">
        <v>Meter Reading</v>
      </c>
      <c r="L37" s="17" t="str">
        <v>Billing</v>
      </c>
      <c r="M37" s="17" t="str">
        <v>Remittance &amp; Collection</v>
      </c>
      <c r="N37" s="17" t="str">
        <v>Uncollectibles &amp; Damage Claims</v>
      </c>
      <c r="O37" s="17" t="str">
        <v>Service Connections</v>
      </c>
      <c r="P37" s="17" t="str">
        <v>Late Payments</v>
      </c>
      <c r="Q37" s="17" t="str">
        <v>Lighting</v>
      </c>
      <c r="R37" s="17" t="s">
        <v>214</v>
      </c>
    </row>
    <row r="38" spans="1:18" x14ac:dyDescent="0.3">
      <c r="A38" s="1" t="s">
        <v>628</v>
      </c>
      <c r="B38" s="30">
        <f t="shared" ref="B38:Q48" si="5">VLOOKUP($A38,Table_FunctionAllocators,COLUMN(),FALSE)</f>
        <v>0</v>
      </c>
      <c r="C38" s="30">
        <f t="shared" si="5"/>
        <v>0</v>
      </c>
      <c r="D38" s="30">
        <f t="shared" si="5"/>
        <v>0.49</v>
      </c>
      <c r="E38" s="30">
        <f t="shared" si="5"/>
        <v>0.51</v>
      </c>
      <c r="F38" s="30">
        <f t="shared" si="5"/>
        <v>0</v>
      </c>
      <c r="G38" s="30">
        <f t="shared" si="5"/>
        <v>0</v>
      </c>
      <c r="H38" s="30">
        <f t="shared" si="5"/>
        <v>0</v>
      </c>
      <c r="I38" s="30">
        <f t="shared" si="5"/>
        <v>0</v>
      </c>
      <c r="J38" s="30">
        <f t="shared" si="5"/>
        <v>0</v>
      </c>
      <c r="K38" s="30">
        <f t="shared" si="5"/>
        <v>0</v>
      </c>
      <c r="L38" s="30">
        <f t="shared" si="5"/>
        <v>0</v>
      </c>
      <c r="M38" s="30">
        <f t="shared" si="5"/>
        <v>0</v>
      </c>
      <c r="N38" s="30">
        <f t="shared" si="5"/>
        <v>0</v>
      </c>
      <c r="O38" s="30">
        <f t="shared" si="5"/>
        <v>0</v>
      </c>
      <c r="P38" s="30">
        <f t="shared" si="5"/>
        <v>0</v>
      </c>
      <c r="Q38" s="30">
        <f t="shared" si="5"/>
        <v>0</v>
      </c>
      <c r="R38" s="30">
        <f t="shared" ref="R38:R48" si="6">SUM(B38:Q38)</f>
        <v>1</v>
      </c>
    </row>
    <row r="39" spans="1:18" x14ac:dyDescent="0.3">
      <c r="A39" s="1" t="s">
        <v>200</v>
      </c>
      <c r="B39" s="30">
        <f t="shared" si="5"/>
        <v>8.3333333333333356E-2</v>
      </c>
      <c r="C39" s="30">
        <f t="shared" si="5"/>
        <v>0.16666666666666671</v>
      </c>
      <c r="D39" s="30">
        <f t="shared" si="5"/>
        <v>0.25000000000000006</v>
      </c>
      <c r="E39" s="30">
        <f t="shared" si="5"/>
        <v>0.25000000000000006</v>
      </c>
      <c r="F39" s="30">
        <f t="shared" si="5"/>
        <v>8.3333333333333356E-2</v>
      </c>
      <c r="G39" s="30">
        <f t="shared" si="5"/>
        <v>8.3333333333333356E-2</v>
      </c>
      <c r="H39" s="30">
        <f t="shared" si="5"/>
        <v>8.3333333333333356E-2</v>
      </c>
      <c r="I39" s="30">
        <f t="shared" si="5"/>
        <v>0</v>
      </c>
      <c r="J39" s="30">
        <f t="shared" si="5"/>
        <v>0</v>
      </c>
      <c r="K39" s="30">
        <f t="shared" si="5"/>
        <v>0</v>
      </c>
      <c r="L39" s="30">
        <f t="shared" si="5"/>
        <v>0</v>
      </c>
      <c r="M39" s="30">
        <f t="shared" si="5"/>
        <v>0</v>
      </c>
      <c r="N39" s="30">
        <f t="shared" si="5"/>
        <v>0</v>
      </c>
      <c r="O39" s="30">
        <f t="shared" si="5"/>
        <v>0</v>
      </c>
      <c r="P39" s="30">
        <f t="shared" si="5"/>
        <v>0</v>
      </c>
      <c r="Q39" s="30">
        <f t="shared" si="5"/>
        <v>0</v>
      </c>
      <c r="R39" s="30">
        <f t="shared" si="6"/>
        <v>1.0000000000000002</v>
      </c>
    </row>
    <row r="40" spans="1:18" x14ac:dyDescent="0.3">
      <c r="A40" s="1" t="s">
        <v>201</v>
      </c>
      <c r="B40" s="30">
        <f t="shared" si="5"/>
        <v>0.25000000000000006</v>
      </c>
      <c r="C40" s="30">
        <f t="shared" si="5"/>
        <v>0</v>
      </c>
      <c r="D40" s="30">
        <f t="shared" si="5"/>
        <v>0.25000000000000006</v>
      </c>
      <c r="E40" s="30">
        <f t="shared" si="5"/>
        <v>0.25000000000000006</v>
      </c>
      <c r="F40" s="30">
        <f t="shared" si="5"/>
        <v>8.3333333333333356E-2</v>
      </c>
      <c r="G40" s="30">
        <f t="shared" si="5"/>
        <v>8.3333333333333356E-2</v>
      </c>
      <c r="H40" s="30">
        <f t="shared" si="5"/>
        <v>8.3333333333333356E-2</v>
      </c>
      <c r="I40" s="30">
        <f t="shared" si="5"/>
        <v>0</v>
      </c>
      <c r="J40" s="30">
        <f t="shared" si="5"/>
        <v>0</v>
      </c>
      <c r="K40" s="30">
        <f t="shared" si="5"/>
        <v>0</v>
      </c>
      <c r="L40" s="30">
        <f t="shared" ref="L40:Q48" si="7">VLOOKUP($A40,Table_FunctionAllocators,COLUMN(),FALSE)</f>
        <v>0</v>
      </c>
      <c r="M40" s="30">
        <f t="shared" si="7"/>
        <v>0</v>
      </c>
      <c r="N40" s="30">
        <f t="shared" si="7"/>
        <v>0</v>
      </c>
      <c r="O40" s="30">
        <f t="shared" si="7"/>
        <v>0</v>
      </c>
      <c r="P40" s="30">
        <f t="shared" si="7"/>
        <v>0</v>
      </c>
      <c r="Q40" s="30">
        <f t="shared" si="7"/>
        <v>0</v>
      </c>
      <c r="R40" s="30">
        <f t="shared" si="6"/>
        <v>1.0000000000000002</v>
      </c>
    </row>
    <row r="41" spans="1:18" x14ac:dyDescent="0.3">
      <c r="A41" s="1" t="s">
        <v>198</v>
      </c>
      <c r="B41" s="30">
        <f t="shared" si="5"/>
        <v>0</v>
      </c>
      <c r="C41" s="30">
        <f t="shared" si="5"/>
        <v>0</v>
      </c>
      <c r="D41" s="30">
        <f t="shared" si="5"/>
        <v>0</v>
      </c>
      <c r="E41" s="30">
        <f t="shared" si="5"/>
        <v>0</v>
      </c>
      <c r="F41" s="30">
        <f t="shared" si="5"/>
        <v>0.75</v>
      </c>
      <c r="G41" s="30">
        <f t="shared" si="5"/>
        <v>0</v>
      </c>
      <c r="H41" s="30">
        <f t="shared" si="5"/>
        <v>0.25</v>
      </c>
      <c r="I41" s="30">
        <f t="shared" si="5"/>
        <v>0</v>
      </c>
      <c r="J41" s="30">
        <f t="shared" si="5"/>
        <v>0</v>
      </c>
      <c r="K41" s="30">
        <f t="shared" si="5"/>
        <v>0</v>
      </c>
      <c r="L41" s="30">
        <f t="shared" si="7"/>
        <v>0</v>
      </c>
      <c r="M41" s="30">
        <f t="shared" si="7"/>
        <v>0</v>
      </c>
      <c r="N41" s="30">
        <f t="shared" si="7"/>
        <v>0</v>
      </c>
      <c r="O41" s="30">
        <f t="shared" si="7"/>
        <v>0</v>
      </c>
      <c r="P41" s="30">
        <f t="shared" si="7"/>
        <v>0</v>
      </c>
      <c r="Q41" s="30">
        <f t="shared" si="7"/>
        <v>0</v>
      </c>
      <c r="R41" s="30">
        <f t="shared" si="6"/>
        <v>1</v>
      </c>
    </row>
    <row r="42" spans="1:18" x14ac:dyDescent="0.3">
      <c r="A42" s="1" t="s">
        <v>204</v>
      </c>
      <c r="B42" s="30">
        <f t="shared" si="5"/>
        <v>0</v>
      </c>
      <c r="C42" s="30">
        <f t="shared" si="5"/>
        <v>0</v>
      </c>
      <c r="D42" s="30">
        <f t="shared" si="5"/>
        <v>0</v>
      </c>
      <c r="E42" s="30">
        <f t="shared" si="5"/>
        <v>0</v>
      </c>
      <c r="F42" s="30">
        <f t="shared" si="5"/>
        <v>0.51163294230768275</v>
      </c>
      <c r="G42" s="30">
        <f t="shared" si="5"/>
        <v>0.31782274358975643</v>
      </c>
      <c r="H42" s="30">
        <f t="shared" si="5"/>
        <v>0.17054431410256091</v>
      </c>
      <c r="I42" s="30">
        <f t="shared" si="5"/>
        <v>0</v>
      </c>
      <c r="J42" s="30">
        <f t="shared" si="5"/>
        <v>0</v>
      </c>
      <c r="K42" s="30">
        <f t="shared" si="5"/>
        <v>0</v>
      </c>
      <c r="L42" s="30">
        <f t="shared" si="7"/>
        <v>0</v>
      </c>
      <c r="M42" s="30">
        <f t="shared" si="7"/>
        <v>0</v>
      </c>
      <c r="N42" s="30">
        <f t="shared" si="7"/>
        <v>0</v>
      </c>
      <c r="O42" s="30">
        <f t="shared" si="7"/>
        <v>0</v>
      </c>
      <c r="P42" s="30">
        <f t="shared" si="7"/>
        <v>0</v>
      </c>
      <c r="Q42" s="30">
        <f t="shared" si="7"/>
        <v>0</v>
      </c>
      <c r="R42" s="30">
        <f t="shared" si="6"/>
        <v>1</v>
      </c>
    </row>
    <row r="43" spans="1:18" x14ac:dyDescent="0.3">
      <c r="A43" s="1" t="s">
        <v>191</v>
      </c>
      <c r="B43" s="30">
        <f t="shared" si="5"/>
        <v>0</v>
      </c>
      <c r="C43" s="30">
        <f t="shared" si="5"/>
        <v>0</v>
      </c>
      <c r="D43" s="30">
        <f t="shared" si="5"/>
        <v>0</v>
      </c>
      <c r="E43" s="30">
        <f t="shared" si="5"/>
        <v>0</v>
      </c>
      <c r="F43" s="30">
        <f t="shared" si="5"/>
        <v>0.52622341571925935</v>
      </c>
      <c r="G43" s="30">
        <f t="shared" si="5"/>
        <v>0</v>
      </c>
      <c r="H43" s="30">
        <f t="shared" si="5"/>
        <v>0.17540780523975311</v>
      </c>
      <c r="I43" s="30">
        <f t="shared" si="5"/>
        <v>0.26674038100146935</v>
      </c>
      <c r="J43" s="30">
        <f t="shared" si="5"/>
        <v>0</v>
      </c>
      <c r="K43" s="30">
        <f t="shared" si="5"/>
        <v>0</v>
      </c>
      <c r="L43" s="30">
        <f t="shared" si="7"/>
        <v>0</v>
      </c>
      <c r="M43" s="30">
        <f t="shared" si="7"/>
        <v>0</v>
      </c>
      <c r="N43" s="30">
        <f t="shared" si="7"/>
        <v>0</v>
      </c>
      <c r="O43" s="30">
        <f t="shared" si="7"/>
        <v>0</v>
      </c>
      <c r="P43" s="30">
        <f t="shared" si="7"/>
        <v>0</v>
      </c>
      <c r="Q43" s="30">
        <f t="shared" si="7"/>
        <v>3.1628398039518231E-2</v>
      </c>
      <c r="R43" s="30">
        <f t="shared" si="6"/>
        <v>1</v>
      </c>
    </row>
    <row r="44" spans="1:18" x14ac:dyDescent="0.3">
      <c r="A44" s="1" t="s">
        <v>207</v>
      </c>
      <c r="B44" s="30">
        <f t="shared" si="5"/>
        <v>0</v>
      </c>
      <c r="C44" s="30">
        <f t="shared" si="5"/>
        <v>0</v>
      </c>
      <c r="D44" s="30">
        <f t="shared" si="5"/>
        <v>0</v>
      </c>
      <c r="E44" s="30">
        <f t="shared" si="5"/>
        <v>0.12285669081634128</v>
      </c>
      <c r="F44" s="30">
        <f t="shared" si="5"/>
        <v>0.44877541210313276</v>
      </c>
      <c r="G44" s="30">
        <f t="shared" si="5"/>
        <v>0.27877609304614837</v>
      </c>
      <c r="H44" s="30">
        <f t="shared" si="5"/>
        <v>0.14959180403437758</v>
      </c>
      <c r="I44" s="30">
        <f t="shared" si="5"/>
        <v>0</v>
      </c>
      <c r="J44" s="30">
        <f t="shared" si="5"/>
        <v>0</v>
      </c>
      <c r="K44" s="30">
        <f t="shared" si="5"/>
        <v>0</v>
      </c>
      <c r="L44" s="30">
        <f t="shared" si="7"/>
        <v>0</v>
      </c>
      <c r="M44" s="30">
        <f t="shared" si="7"/>
        <v>0</v>
      </c>
      <c r="N44" s="30">
        <f t="shared" si="7"/>
        <v>0</v>
      </c>
      <c r="O44" s="30">
        <f t="shared" si="7"/>
        <v>0</v>
      </c>
      <c r="P44" s="30">
        <f t="shared" si="7"/>
        <v>0</v>
      </c>
      <c r="Q44" s="30">
        <f t="shared" si="7"/>
        <v>0</v>
      </c>
      <c r="R44" s="30">
        <f t="shared" si="6"/>
        <v>1</v>
      </c>
    </row>
    <row r="45" spans="1:18" x14ac:dyDescent="0.3">
      <c r="A45" s="1" t="s">
        <v>144</v>
      </c>
      <c r="B45" s="30">
        <f t="shared" si="5"/>
        <v>6.6702602392113758E-2</v>
      </c>
      <c r="C45" s="30">
        <f t="shared" si="5"/>
        <v>7.6976893097969153E-3</v>
      </c>
      <c r="D45" s="30">
        <f t="shared" si="5"/>
        <v>0.17857700456130085</v>
      </c>
      <c r="E45" s="30">
        <f t="shared" si="5"/>
        <v>7.7290269872384063E-2</v>
      </c>
      <c r="F45" s="30">
        <f t="shared" si="5"/>
        <v>0.20178136807558739</v>
      </c>
      <c r="G45" s="30">
        <f t="shared" si="5"/>
        <v>0.3546170985742334</v>
      </c>
      <c r="H45" s="30">
        <f t="shared" si="5"/>
        <v>7.1965917025765838E-2</v>
      </c>
      <c r="I45" s="30">
        <f t="shared" si="5"/>
        <v>8.0249425291610346E-3</v>
      </c>
      <c r="J45" s="30">
        <f t="shared" si="5"/>
        <v>3.2391560407592147E-2</v>
      </c>
      <c r="K45" s="30">
        <f t="shared" si="5"/>
        <v>0</v>
      </c>
      <c r="L45" s="30">
        <f t="shared" si="7"/>
        <v>0</v>
      </c>
      <c r="M45" s="30">
        <f t="shared" si="7"/>
        <v>0</v>
      </c>
      <c r="N45" s="30">
        <f t="shared" si="7"/>
        <v>0</v>
      </c>
      <c r="O45" s="30">
        <f t="shared" si="7"/>
        <v>0</v>
      </c>
      <c r="P45" s="30">
        <f t="shared" si="7"/>
        <v>0</v>
      </c>
      <c r="Q45" s="30">
        <f t="shared" si="7"/>
        <v>9.5154725206441531E-4</v>
      </c>
      <c r="R45" s="30">
        <f t="shared" si="6"/>
        <v>0.99999999999999978</v>
      </c>
    </row>
    <row r="46" spans="1:18" x14ac:dyDescent="0.3">
      <c r="A46" s="1" t="s">
        <v>156</v>
      </c>
      <c r="B46" s="30">
        <f t="shared" si="5"/>
        <v>0.12113254655344105</v>
      </c>
      <c r="C46" s="30">
        <f t="shared" si="5"/>
        <v>3.4372820389175815E-2</v>
      </c>
      <c r="D46" s="30">
        <f t="shared" si="5"/>
        <v>0.22645835694866853</v>
      </c>
      <c r="E46" s="30">
        <f t="shared" si="5"/>
        <v>9.6658953553241098E-2</v>
      </c>
      <c r="F46" s="30">
        <f t="shared" si="5"/>
        <v>0.13558744221439376</v>
      </c>
      <c r="G46" s="30">
        <f t="shared" si="5"/>
        <v>0.18934991436201665</v>
      </c>
      <c r="H46" s="30">
        <f t="shared" si="5"/>
        <v>5.9471804714520057E-2</v>
      </c>
      <c r="I46" s="30">
        <f t="shared" si="5"/>
        <v>6.228740772611604E-3</v>
      </c>
      <c r="J46" s="30">
        <f t="shared" si="5"/>
        <v>1.9263744309704213E-2</v>
      </c>
      <c r="K46" s="30">
        <f t="shared" si="5"/>
        <v>7.6481470746461208E-2</v>
      </c>
      <c r="L46" s="30">
        <f t="shared" si="7"/>
        <v>2.2709214023798351E-2</v>
      </c>
      <c r="M46" s="30">
        <f t="shared" si="7"/>
        <v>2.3653796662825442E-3</v>
      </c>
      <c r="N46" s="30">
        <f t="shared" si="7"/>
        <v>2.3653796662825442E-3</v>
      </c>
      <c r="O46" s="30">
        <f t="shared" si="7"/>
        <v>2.3653796662825442E-3</v>
      </c>
      <c r="P46" s="30">
        <f t="shared" si="7"/>
        <v>2.3653796662825442E-3</v>
      </c>
      <c r="Q46" s="30">
        <f t="shared" si="7"/>
        <v>2.8234727468375125E-3</v>
      </c>
      <c r="R46" s="30">
        <f t="shared" si="6"/>
        <v>1.0000000000000002</v>
      </c>
    </row>
    <row r="47" spans="1:18" x14ac:dyDescent="0.3">
      <c r="A47" s="1" t="s">
        <v>212</v>
      </c>
      <c r="B47" s="30">
        <f t="shared" si="5"/>
        <v>4.8723181189309892E-2</v>
      </c>
      <c r="C47" s="30">
        <f t="shared" si="5"/>
        <v>1.3609626622862716E-2</v>
      </c>
      <c r="D47" s="30">
        <f t="shared" si="5"/>
        <v>0.14610035826605675</v>
      </c>
      <c r="E47" s="30">
        <f t="shared" si="5"/>
        <v>5.1573402198519233E-2</v>
      </c>
      <c r="F47" s="30">
        <f t="shared" si="5"/>
        <v>0.11362028574347134</v>
      </c>
      <c r="G47" s="30">
        <f t="shared" si="5"/>
        <v>0.11766433144923831</v>
      </c>
      <c r="H47" s="30">
        <f t="shared" si="5"/>
        <v>5.2469812066459016E-2</v>
      </c>
      <c r="I47" s="30">
        <f t="shared" si="5"/>
        <v>2.5687619194927975E-2</v>
      </c>
      <c r="J47" s="30">
        <f t="shared" si="5"/>
        <v>1.2309905552467488E-2</v>
      </c>
      <c r="K47" s="30">
        <f t="shared" si="5"/>
        <v>5.0423834991147158E-2</v>
      </c>
      <c r="L47" s="30">
        <f t="shared" si="7"/>
        <v>8.8922957450883799E-2</v>
      </c>
      <c r="M47" s="30">
        <f t="shared" si="7"/>
        <v>0.19278845988876089</v>
      </c>
      <c r="N47" s="30">
        <f t="shared" si="7"/>
        <v>4.0788459888760856E-2</v>
      </c>
      <c r="O47" s="30">
        <f t="shared" si="7"/>
        <v>4.0788459888760856E-2</v>
      </c>
      <c r="P47" s="30">
        <f t="shared" si="7"/>
        <v>7.8845988876084805E-4</v>
      </c>
      <c r="Q47" s="30">
        <f t="shared" si="7"/>
        <v>3.7408457196129474E-3</v>
      </c>
      <c r="R47" s="30">
        <f t="shared" si="6"/>
        <v>1.0000000000000002</v>
      </c>
    </row>
    <row r="48" spans="1:18" x14ac:dyDescent="0.3">
      <c r="A48" s="1" t="s">
        <v>236</v>
      </c>
      <c r="B48" s="30">
        <f t="shared" si="5"/>
        <v>0</v>
      </c>
      <c r="C48" s="30">
        <f t="shared" si="5"/>
        <v>0</v>
      </c>
      <c r="D48" s="30">
        <f t="shared" si="5"/>
        <v>0</v>
      </c>
      <c r="E48" s="30">
        <f t="shared" si="5"/>
        <v>0</v>
      </c>
      <c r="F48" s="30">
        <f t="shared" si="5"/>
        <v>0.38096105851918582</v>
      </c>
      <c r="G48" s="30">
        <f t="shared" si="5"/>
        <v>0.23665029908612131</v>
      </c>
      <c r="H48" s="30">
        <f t="shared" si="5"/>
        <v>0.12698701950639527</v>
      </c>
      <c r="I48" s="30">
        <f t="shared" si="5"/>
        <v>0.19310751832895215</v>
      </c>
      <c r="J48" s="30">
        <f t="shared" si="5"/>
        <v>3.9396628627128012E-2</v>
      </c>
      <c r="K48" s="30">
        <f t="shared" si="5"/>
        <v>0</v>
      </c>
      <c r="L48" s="30">
        <f t="shared" si="7"/>
        <v>0</v>
      </c>
      <c r="M48" s="30">
        <f t="shared" si="7"/>
        <v>0</v>
      </c>
      <c r="N48" s="30">
        <f t="shared" si="7"/>
        <v>0</v>
      </c>
      <c r="O48" s="30">
        <f t="shared" si="7"/>
        <v>0</v>
      </c>
      <c r="P48" s="30">
        <f t="shared" si="7"/>
        <v>0</v>
      </c>
      <c r="Q48" s="30">
        <f t="shared" si="7"/>
        <v>2.2897475932217463E-2</v>
      </c>
      <c r="R48" s="30">
        <f t="shared" si="6"/>
        <v>1</v>
      </c>
    </row>
    <row r="50" spans="1:18" x14ac:dyDescent="0.3">
      <c r="A50" s="1" t="s">
        <v>226</v>
      </c>
    </row>
    <row r="51" spans="1:18" s="9" customFormat="1" ht="54" x14ac:dyDescent="0.25">
      <c r="B51" s="17" t="str">
        <f t="array" ref="B51:Q51">TRANSPOSE(List_Functions)</f>
        <v>Generation</v>
      </c>
      <c r="C51" s="17" t="str">
        <v>Purchased Power</v>
      </c>
      <c r="D51" s="17" t="str">
        <v>Transmission</v>
      </c>
      <c r="E51" s="17" t="str">
        <v>Substations</v>
      </c>
      <c r="F51" s="17" t="str">
        <v>Primary Lines</v>
      </c>
      <c r="G51" s="17" t="str">
        <v>Transformers</v>
      </c>
      <c r="H51" s="17" t="str">
        <v>Secondary Lines</v>
      </c>
      <c r="I51" s="17" t="str">
        <v>Service Lines</v>
      </c>
      <c r="J51" s="17" t="str">
        <v>Meter Assets</v>
      </c>
      <c r="K51" s="17" t="str">
        <v>Meter Reading</v>
      </c>
      <c r="L51" s="17" t="str">
        <v>Billing</v>
      </c>
      <c r="M51" s="17" t="str">
        <v>Remittance &amp; Collection</v>
      </c>
      <c r="N51" s="17" t="str">
        <v>Uncollectibles &amp; Damage Claims</v>
      </c>
      <c r="O51" s="17" t="str">
        <v>Service Connections</v>
      </c>
      <c r="P51" s="17" t="str">
        <v>Late Payments</v>
      </c>
      <c r="Q51" s="17" t="str">
        <v>Lighting</v>
      </c>
      <c r="R51" s="17" t="s">
        <v>214</v>
      </c>
    </row>
    <row r="52" spans="1:18" x14ac:dyDescent="0.3">
      <c r="A52" s="1" t="s">
        <v>129</v>
      </c>
    </row>
    <row r="53" spans="1:18" x14ac:dyDescent="0.3">
      <c r="A53" s="3" t="s">
        <v>172</v>
      </c>
      <c r="B53" s="1">
        <f t="array" ref="B53:Q53">MMULT(B23:L23,$B$38:$Q$48)</f>
        <v>0</v>
      </c>
      <c r="C53" s="1">
        <v>0</v>
      </c>
      <c r="D53" s="1">
        <v>0</v>
      </c>
      <c r="E53" s="1">
        <v>0</v>
      </c>
      <c r="F53" s="1">
        <v>0</v>
      </c>
      <c r="G53" s="1">
        <v>0</v>
      </c>
      <c r="H53" s="1">
        <v>0</v>
      </c>
      <c r="I53" s="1">
        <v>0</v>
      </c>
      <c r="J53" s="1">
        <v>0</v>
      </c>
      <c r="K53" s="1">
        <v>0</v>
      </c>
      <c r="L53" s="1">
        <v>0</v>
      </c>
      <c r="M53" s="1">
        <v>0</v>
      </c>
      <c r="N53" s="1">
        <v>0</v>
      </c>
      <c r="O53" s="1">
        <v>0</v>
      </c>
      <c r="P53" s="1">
        <v>0</v>
      </c>
      <c r="Q53" s="1">
        <v>0</v>
      </c>
      <c r="R53" s="1">
        <f>SUM(B53:Q53)</f>
        <v>0</v>
      </c>
    </row>
    <row r="54" spans="1:18" x14ac:dyDescent="0.3">
      <c r="A54" s="3" t="s">
        <v>173</v>
      </c>
    </row>
    <row r="55" spans="1:18" x14ac:dyDescent="0.3">
      <c r="A55" s="4" t="s">
        <v>13</v>
      </c>
      <c r="B55" s="1">
        <f t="array" ref="B55:Q55">MMULT(B25:L25,$B$38:$Q$48)</f>
        <v>0</v>
      </c>
      <c r="C55" s="1">
        <v>0</v>
      </c>
      <c r="D55" s="1">
        <v>749540.75</v>
      </c>
      <c r="E55" s="1">
        <v>780134.25</v>
      </c>
      <c r="F55" s="1">
        <v>0</v>
      </c>
      <c r="G55" s="1">
        <v>0</v>
      </c>
      <c r="H55" s="1">
        <v>0</v>
      </c>
      <c r="I55" s="1">
        <v>0</v>
      </c>
      <c r="J55" s="1">
        <v>0</v>
      </c>
      <c r="K55" s="1">
        <v>0</v>
      </c>
      <c r="L55" s="1">
        <v>0</v>
      </c>
      <c r="M55" s="1">
        <v>0</v>
      </c>
      <c r="N55" s="1">
        <v>0</v>
      </c>
      <c r="O55" s="1">
        <v>0</v>
      </c>
      <c r="P55" s="1">
        <v>0</v>
      </c>
      <c r="Q55" s="1">
        <v>0</v>
      </c>
      <c r="R55" s="1">
        <f>SUM(B55:Q55)</f>
        <v>1529675</v>
      </c>
    </row>
    <row r="56" spans="1:18" x14ac:dyDescent="0.3">
      <c r="A56" s="4" t="s">
        <v>140</v>
      </c>
      <c r="B56" s="1">
        <f t="array" ref="B56:Q56">MMULT(B26:L26,$B$38:$Q$48)</f>
        <v>0</v>
      </c>
      <c r="C56" s="1">
        <v>0</v>
      </c>
      <c r="D56" s="1">
        <v>0</v>
      </c>
      <c r="E56" s="1">
        <v>0</v>
      </c>
      <c r="F56" s="1">
        <v>6395657.25</v>
      </c>
      <c r="G56" s="1">
        <v>0</v>
      </c>
      <c r="H56" s="1">
        <v>2131885.75</v>
      </c>
      <c r="I56" s="1">
        <v>0</v>
      </c>
      <c r="J56" s="1">
        <v>0</v>
      </c>
      <c r="K56" s="1">
        <v>0</v>
      </c>
      <c r="L56" s="1">
        <v>0</v>
      </c>
      <c r="M56" s="1">
        <v>0</v>
      </c>
      <c r="N56" s="1">
        <v>0</v>
      </c>
      <c r="O56" s="1">
        <v>0</v>
      </c>
      <c r="P56" s="1">
        <v>0</v>
      </c>
      <c r="Q56" s="1">
        <v>0</v>
      </c>
      <c r="R56" s="1">
        <f>SUM(B56:Q56)</f>
        <v>8527543</v>
      </c>
    </row>
    <row r="57" spans="1:18" x14ac:dyDescent="0.3">
      <c r="A57" s="4" t="s">
        <v>141</v>
      </c>
      <c r="B57" s="1">
        <f t="array" ref="B57:Q57">MMULT(B27:L27,$B$38:$Q$48)</f>
        <v>193633.75000000003</v>
      </c>
      <c r="C57" s="1">
        <v>0</v>
      </c>
      <c r="D57" s="1">
        <v>193633.75000000003</v>
      </c>
      <c r="E57" s="1">
        <v>193633.75000000003</v>
      </c>
      <c r="F57" s="1">
        <v>64544.58333333335</v>
      </c>
      <c r="G57" s="1">
        <v>64544.58333333335</v>
      </c>
      <c r="H57" s="1">
        <v>64544.58333333335</v>
      </c>
      <c r="I57" s="1">
        <v>0</v>
      </c>
      <c r="J57" s="1">
        <v>0</v>
      </c>
      <c r="K57" s="1">
        <v>0</v>
      </c>
      <c r="L57" s="1">
        <v>0</v>
      </c>
      <c r="M57" s="1">
        <v>0</v>
      </c>
      <c r="N57" s="1">
        <v>0</v>
      </c>
      <c r="O57" s="1">
        <v>0</v>
      </c>
      <c r="P57" s="1">
        <v>0</v>
      </c>
      <c r="Q57" s="1">
        <v>0</v>
      </c>
      <c r="R57" s="1">
        <f>SUM(B57:Q57)</f>
        <v>774535.00000000023</v>
      </c>
    </row>
    <row r="58" spans="1:18" x14ac:dyDescent="0.3">
      <c r="A58" s="4" t="s">
        <v>142</v>
      </c>
      <c r="B58" s="1">
        <f t="array" ref="B58:Q58">MMULT(B28:L28,$B$38:$Q$48)</f>
        <v>0</v>
      </c>
      <c r="C58" s="1">
        <v>0</v>
      </c>
      <c r="D58" s="1">
        <v>0</v>
      </c>
      <c r="E58" s="1">
        <v>0</v>
      </c>
      <c r="F58" s="1">
        <v>0</v>
      </c>
      <c r="G58" s="1">
        <v>0</v>
      </c>
      <c r="H58" s="1">
        <v>0</v>
      </c>
      <c r="I58" s="1">
        <v>0</v>
      </c>
      <c r="J58" s="1">
        <v>0</v>
      </c>
      <c r="K58" s="1">
        <v>0</v>
      </c>
      <c r="L58" s="1">
        <v>0</v>
      </c>
      <c r="M58" s="1">
        <v>0</v>
      </c>
      <c r="N58" s="1">
        <v>0</v>
      </c>
      <c r="O58" s="1">
        <v>0</v>
      </c>
      <c r="P58" s="1">
        <v>0</v>
      </c>
      <c r="Q58" s="1">
        <v>0</v>
      </c>
      <c r="R58" s="1">
        <f>SUM(B58:Q58)</f>
        <v>0</v>
      </c>
    </row>
    <row r="59" spans="1:18" x14ac:dyDescent="0.3">
      <c r="A59" s="4" t="s">
        <v>143</v>
      </c>
      <c r="B59" s="1">
        <f t="array" ref="B59:Q59">MMULT(B29:L29,$B$38:$Q$48)</f>
        <v>0</v>
      </c>
      <c r="C59" s="1">
        <v>0</v>
      </c>
      <c r="D59" s="1">
        <v>0</v>
      </c>
      <c r="E59" s="1">
        <v>0</v>
      </c>
      <c r="F59" s="1">
        <v>0</v>
      </c>
      <c r="G59" s="1">
        <v>0</v>
      </c>
      <c r="H59" s="1">
        <v>0</v>
      </c>
      <c r="I59" s="1">
        <v>0</v>
      </c>
      <c r="J59" s="1">
        <v>0</v>
      </c>
      <c r="K59" s="1">
        <v>0</v>
      </c>
      <c r="L59" s="1">
        <v>0</v>
      </c>
      <c r="M59" s="1">
        <v>0</v>
      </c>
      <c r="N59" s="1">
        <v>0</v>
      </c>
      <c r="O59" s="1">
        <v>0</v>
      </c>
      <c r="P59" s="1">
        <v>0</v>
      </c>
      <c r="Q59" s="1">
        <v>0</v>
      </c>
      <c r="R59" s="1">
        <f>SUM(B59:Q59)</f>
        <v>0</v>
      </c>
    </row>
    <row r="60" spans="1:18" x14ac:dyDescent="0.3">
      <c r="A60" s="4" t="s">
        <v>174</v>
      </c>
      <c r="B60" s="1">
        <f t="shared" ref="B60:Q60" si="8">SUBTOTAL(9,B54:B59)</f>
        <v>193633.75000000003</v>
      </c>
      <c r="C60" s="1">
        <f t="shared" si="8"/>
        <v>0</v>
      </c>
      <c r="D60" s="1">
        <f t="shared" si="8"/>
        <v>943174.5</v>
      </c>
      <c r="E60" s="1">
        <f t="shared" si="8"/>
        <v>973768</v>
      </c>
      <c r="F60" s="1">
        <f t="shared" si="8"/>
        <v>6460201.833333333</v>
      </c>
      <c r="G60" s="1">
        <f t="shared" si="8"/>
        <v>64544.58333333335</v>
      </c>
      <c r="H60" s="1">
        <f t="shared" si="8"/>
        <v>2196430.3333333335</v>
      </c>
      <c r="I60" s="1">
        <f t="shared" si="8"/>
        <v>0</v>
      </c>
      <c r="J60" s="1">
        <f t="shared" si="8"/>
        <v>0</v>
      </c>
      <c r="K60" s="1">
        <f t="shared" si="8"/>
        <v>0</v>
      </c>
      <c r="L60" s="1">
        <f t="shared" si="8"/>
        <v>0</v>
      </c>
      <c r="M60" s="1">
        <f t="shared" si="8"/>
        <v>0</v>
      </c>
      <c r="N60" s="1">
        <f t="shared" si="8"/>
        <v>0</v>
      </c>
      <c r="O60" s="1">
        <f t="shared" si="8"/>
        <v>0</v>
      </c>
      <c r="P60" s="1">
        <f t="shared" si="8"/>
        <v>0</v>
      </c>
      <c r="Q60" s="1">
        <f t="shared" si="8"/>
        <v>0</v>
      </c>
      <c r="R60" s="1">
        <f>SUBTOTAL(9,R54:R59)</f>
        <v>10831753</v>
      </c>
    </row>
    <row r="61" spans="1:18" x14ac:dyDescent="0.3">
      <c r="A61" s="3" t="s">
        <v>175</v>
      </c>
      <c r="B61" s="1">
        <f t="array" ref="B61:Q61">MMULT(B31:L31,$B$38:$Q$48)</f>
        <v>294774.60409435269</v>
      </c>
      <c r="C61" s="1">
        <v>76664.168248472502</v>
      </c>
      <c r="D61" s="1">
        <v>627201.11551177688</v>
      </c>
      <c r="E61" s="1">
        <v>320002.79987336131</v>
      </c>
      <c r="F61" s="1">
        <v>658026.53756829933</v>
      </c>
      <c r="G61" s="1">
        <v>864936.3589014411</v>
      </c>
      <c r="H61" s="1">
        <v>253772.35279537956</v>
      </c>
      <c r="I61" s="1">
        <v>24034.646726715215</v>
      </c>
      <c r="J61" s="1">
        <v>72616.501774630378</v>
      </c>
      <c r="K61" s="1">
        <v>137440.88836610111</v>
      </c>
      <c r="L61" s="1">
        <v>52501.039864766033</v>
      </c>
      <c r="M61" s="1">
        <v>34483.620111271404</v>
      </c>
      <c r="N61" s="1">
        <v>10452.724111271398</v>
      </c>
      <c r="O61" s="1">
        <v>10452.724111271398</v>
      </c>
      <c r="P61" s="1">
        <v>4128.8041112713981</v>
      </c>
      <c r="Q61" s="1">
        <v>6489.1138296180679</v>
      </c>
      <c r="R61" s="1">
        <f>SUM(B61:Q61)</f>
        <v>3447978.0000000005</v>
      </c>
    </row>
    <row r="62" spans="1:18" x14ac:dyDescent="0.3">
      <c r="A62" s="3" t="s">
        <v>213</v>
      </c>
      <c r="B62" s="1">
        <f t="shared" ref="B62:R62" si="9">SUBTOTAL(9,B52:B61)</f>
        <v>488408.35409435269</v>
      </c>
      <c r="C62" s="1">
        <f t="shared" si="9"/>
        <v>76664.168248472502</v>
      </c>
      <c r="D62" s="1">
        <f t="shared" si="9"/>
        <v>1570375.6155117769</v>
      </c>
      <c r="E62" s="1">
        <f t="shared" si="9"/>
        <v>1293770.7998733614</v>
      </c>
      <c r="F62" s="1">
        <f t="shared" si="9"/>
        <v>7118228.3709016321</v>
      </c>
      <c r="G62" s="1">
        <f t="shared" si="9"/>
        <v>929480.94223477447</v>
      </c>
      <c r="H62" s="1">
        <f t="shared" si="9"/>
        <v>2450202.6861287132</v>
      </c>
      <c r="I62" s="1">
        <f t="shared" si="9"/>
        <v>24034.646726715215</v>
      </c>
      <c r="J62" s="1">
        <f t="shared" si="9"/>
        <v>72616.501774630378</v>
      </c>
      <c r="K62" s="1">
        <f t="shared" si="9"/>
        <v>137440.88836610111</v>
      </c>
      <c r="L62" s="1">
        <f t="shared" si="9"/>
        <v>52501.039864766033</v>
      </c>
      <c r="M62" s="1">
        <f t="shared" si="9"/>
        <v>34483.620111271404</v>
      </c>
      <c r="N62" s="1">
        <f t="shared" si="9"/>
        <v>10452.724111271398</v>
      </c>
      <c r="O62" s="1">
        <f t="shared" si="9"/>
        <v>10452.724111271398</v>
      </c>
      <c r="P62" s="1">
        <f t="shared" si="9"/>
        <v>4128.8041112713981</v>
      </c>
      <c r="Q62" s="1">
        <f t="shared" si="9"/>
        <v>6489.1138296180679</v>
      </c>
      <c r="R62" s="1">
        <f t="shared" si="9"/>
        <v>14279731</v>
      </c>
    </row>
    <row r="63" spans="1:18" x14ac:dyDescent="0.3">
      <c r="A63" s="2" t="s">
        <v>176</v>
      </c>
      <c r="B63" s="1">
        <f t="array" ref="B63:Q63">MMULT(B33:L33,$B$38:$Q$48)</f>
        <v>0</v>
      </c>
      <c r="C63" s="1">
        <v>0</v>
      </c>
      <c r="D63" s="1">
        <v>0</v>
      </c>
      <c r="E63" s="1">
        <v>0</v>
      </c>
      <c r="F63" s="1">
        <v>-418864.88496503903</v>
      </c>
      <c r="G63" s="1">
        <v>-260195.8863957173</v>
      </c>
      <c r="H63" s="1">
        <v>-139621.62832167969</v>
      </c>
      <c r="I63" s="1">
        <v>-206057.11540057336</v>
      </c>
      <c r="J63" s="1">
        <v>-42038.527146234592</v>
      </c>
      <c r="K63" s="1">
        <v>0</v>
      </c>
      <c r="L63" s="1">
        <v>0</v>
      </c>
      <c r="M63" s="1">
        <v>0</v>
      </c>
      <c r="N63" s="1">
        <v>0</v>
      </c>
      <c r="O63" s="1">
        <v>0</v>
      </c>
      <c r="P63" s="1">
        <v>0</v>
      </c>
      <c r="Q63" s="1">
        <v>-24432.957770756035</v>
      </c>
      <c r="R63" s="1">
        <f>SUM(B63:Q63)</f>
        <v>-1091211</v>
      </c>
    </row>
    <row r="64" spans="1:18" x14ac:dyDescent="0.3">
      <c r="A64" s="2" t="s">
        <v>214</v>
      </c>
      <c r="B64" s="1">
        <f t="shared" ref="B64:R64" si="10">SUBTOTAL(9,B52:B63)</f>
        <v>488408.35409435269</v>
      </c>
      <c r="C64" s="1">
        <f t="shared" si="10"/>
        <v>76664.168248472502</v>
      </c>
      <c r="D64" s="1">
        <f t="shared" si="10"/>
        <v>1570375.6155117769</v>
      </c>
      <c r="E64" s="1">
        <f t="shared" si="10"/>
        <v>1293770.7998733614</v>
      </c>
      <c r="F64" s="1">
        <f t="shared" si="10"/>
        <v>6699363.4859365933</v>
      </c>
      <c r="G64" s="1">
        <f t="shared" si="10"/>
        <v>669285.0558390572</v>
      </c>
      <c r="H64" s="1">
        <f t="shared" si="10"/>
        <v>2310581.0578070334</v>
      </c>
      <c r="I64" s="1">
        <f t="shared" si="10"/>
        <v>-182022.46867385815</v>
      </c>
      <c r="J64" s="1">
        <f t="shared" si="10"/>
        <v>30577.974628395787</v>
      </c>
      <c r="K64" s="1">
        <f t="shared" si="10"/>
        <v>137440.88836610111</v>
      </c>
      <c r="L64" s="1">
        <f t="shared" si="10"/>
        <v>52501.039864766033</v>
      </c>
      <c r="M64" s="1">
        <f t="shared" si="10"/>
        <v>34483.620111271404</v>
      </c>
      <c r="N64" s="1">
        <f t="shared" si="10"/>
        <v>10452.724111271398</v>
      </c>
      <c r="O64" s="1">
        <f t="shared" si="10"/>
        <v>10452.724111271398</v>
      </c>
      <c r="P64" s="1">
        <f t="shared" si="10"/>
        <v>4128.8041112713981</v>
      </c>
      <c r="Q64" s="1">
        <f t="shared" si="10"/>
        <v>-17943.843941137966</v>
      </c>
      <c r="R64" s="1">
        <f t="shared" si="10"/>
        <v>13188520</v>
      </c>
    </row>
    <row r="66" spans="1:18" x14ac:dyDescent="0.3">
      <c r="A66" s="1" t="s">
        <v>214</v>
      </c>
    </row>
    <row r="67" spans="1:18" s="9" customFormat="1" ht="54" x14ac:dyDescent="0.25">
      <c r="B67" s="17" t="str">
        <f t="array" ref="B67:Q67">TRANSPOSE(List_Functions)</f>
        <v>Generation</v>
      </c>
      <c r="C67" s="17" t="str">
        <v>Purchased Power</v>
      </c>
      <c r="D67" s="17" t="str">
        <v>Transmission</v>
      </c>
      <c r="E67" s="17" t="str">
        <v>Substations</v>
      </c>
      <c r="F67" s="17" t="str">
        <v>Primary Lines</v>
      </c>
      <c r="G67" s="17" t="str">
        <v>Transformers</v>
      </c>
      <c r="H67" s="17" t="str">
        <v>Secondary Lines</v>
      </c>
      <c r="I67" s="17" t="str">
        <v>Service Lines</v>
      </c>
      <c r="J67" s="17" t="str">
        <v>Meter Assets</v>
      </c>
      <c r="K67" s="17" t="str">
        <v>Meter Reading</v>
      </c>
      <c r="L67" s="17" t="str">
        <v>Billing</v>
      </c>
      <c r="M67" s="17" t="str">
        <v>Remittance &amp; Collection</v>
      </c>
      <c r="N67" s="17" t="str">
        <v>Uncollectibles &amp; Damage Claims</v>
      </c>
      <c r="O67" s="17" t="str">
        <v>Service Connections</v>
      </c>
      <c r="P67" s="17" t="str">
        <v>Late Payments</v>
      </c>
      <c r="Q67" s="17" t="str">
        <v>Lighting</v>
      </c>
      <c r="R67" s="17" t="s">
        <v>214</v>
      </c>
    </row>
    <row r="68" spans="1:18" x14ac:dyDescent="0.3">
      <c r="A68" s="1" t="s">
        <v>129</v>
      </c>
    </row>
    <row r="69" spans="1:18" x14ac:dyDescent="0.3">
      <c r="A69" s="3" t="s">
        <v>172</v>
      </c>
      <c r="B69" s="1">
        <f>SUM(B7,B53)</f>
        <v>2009652</v>
      </c>
      <c r="C69" s="1">
        <f>SUM(C7,C53)</f>
        <v>0</v>
      </c>
      <c r="D69" s="1">
        <f>SUM(D7,D53)</f>
        <v>0</v>
      </c>
      <c r="E69" s="1">
        <f>SUM(E7,E53)</f>
        <v>0</v>
      </c>
      <c r="F69" s="1">
        <f>SUM(F7,F53)</f>
        <v>0</v>
      </c>
      <c r="G69" s="1">
        <f>SUM(G7,G53)</f>
        <v>0</v>
      </c>
      <c r="H69" s="1">
        <f>SUM(H7,H53)</f>
        <v>0</v>
      </c>
      <c r="I69" s="1">
        <f>SUM(I7,I53)</f>
        <v>0</v>
      </c>
      <c r="J69" s="1">
        <f>SUM(J7,J53)</f>
        <v>0</v>
      </c>
      <c r="K69" s="1">
        <f>SUM(K7,K53)</f>
        <v>0</v>
      </c>
      <c r="L69" s="1">
        <f>SUM(L7,L53)</f>
        <v>0</v>
      </c>
      <c r="M69" s="1">
        <f>SUM(M7,M53)</f>
        <v>0</v>
      </c>
      <c r="N69" s="1">
        <f>SUM(N7,N53)</f>
        <v>0</v>
      </c>
      <c r="O69" s="1">
        <f>SUM(O7,O53)</f>
        <v>0</v>
      </c>
      <c r="P69" s="1">
        <f>SUM(P7,P53)</f>
        <v>0</v>
      </c>
      <c r="Q69" s="1">
        <f>SUM(Q7,Q53)</f>
        <v>0</v>
      </c>
      <c r="R69" s="1">
        <f>SUM(B69:Q69)</f>
        <v>2009652</v>
      </c>
    </row>
    <row r="70" spans="1:18" x14ac:dyDescent="0.3">
      <c r="A70" s="3" t="s">
        <v>173</v>
      </c>
    </row>
    <row r="71" spans="1:18" x14ac:dyDescent="0.3">
      <c r="A71" s="4" t="s">
        <v>13</v>
      </c>
      <c r="B71" s="1">
        <f>SUM(B9,B55)</f>
        <v>0</v>
      </c>
      <c r="C71" s="1">
        <f>SUM(C9,C55)</f>
        <v>0</v>
      </c>
      <c r="D71" s="1">
        <f>SUM(D9,D55)</f>
        <v>749540.75</v>
      </c>
      <c r="E71" s="1">
        <f>SUM(E9,E55)</f>
        <v>925828.25</v>
      </c>
      <c r="F71" s="1">
        <f>SUM(F9,F55)</f>
        <v>0</v>
      </c>
      <c r="G71" s="1">
        <f>SUM(G9,G55)</f>
        <v>0</v>
      </c>
      <c r="H71" s="1">
        <f>SUM(H9,H55)</f>
        <v>0</v>
      </c>
      <c r="I71" s="1">
        <f>SUM(I9,I55)</f>
        <v>0</v>
      </c>
      <c r="J71" s="1">
        <f>SUM(J9,J55)</f>
        <v>0</v>
      </c>
      <c r="K71" s="1">
        <f>SUM(K9,K55)</f>
        <v>0</v>
      </c>
      <c r="L71" s="1">
        <f>SUM(L9,L55)</f>
        <v>0</v>
      </c>
      <c r="M71" s="1">
        <f>SUM(M9,M55)</f>
        <v>0</v>
      </c>
      <c r="N71" s="1">
        <f>SUM(N9,N55)</f>
        <v>0</v>
      </c>
      <c r="O71" s="1">
        <f>SUM(O9,O55)</f>
        <v>0</v>
      </c>
      <c r="P71" s="1">
        <f>SUM(P9,P55)</f>
        <v>0</v>
      </c>
      <c r="Q71" s="1">
        <f>SUM(Q9,Q55)</f>
        <v>0</v>
      </c>
      <c r="R71" s="1">
        <f>SUM(B71:Q71)</f>
        <v>1675369</v>
      </c>
    </row>
    <row r="72" spans="1:18" x14ac:dyDescent="0.3">
      <c r="A72" s="4" t="s">
        <v>140</v>
      </c>
      <c r="B72" s="1">
        <f>SUM(B10,B56)</f>
        <v>0</v>
      </c>
      <c r="C72" s="1">
        <f>SUM(C10,C56)</f>
        <v>0</v>
      </c>
      <c r="D72" s="1">
        <f>SUM(D10,D56)</f>
        <v>2947720</v>
      </c>
      <c r="E72" s="1">
        <f>SUM(E10,E56)</f>
        <v>0</v>
      </c>
      <c r="F72" s="1">
        <f>SUM(F10,F56)</f>
        <v>6395657.25</v>
      </c>
      <c r="G72" s="1">
        <f>SUM(G10,G56)</f>
        <v>4389023</v>
      </c>
      <c r="H72" s="1">
        <f>SUM(H10,H56)</f>
        <v>2131885.75</v>
      </c>
      <c r="I72" s="1">
        <f>SUM(I10,I56)</f>
        <v>3146156</v>
      </c>
      <c r="J72" s="1">
        <f>SUM(J10,J56)</f>
        <v>0</v>
      </c>
      <c r="K72" s="1">
        <f>SUM(K10,K56)</f>
        <v>0</v>
      </c>
      <c r="L72" s="1">
        <f>SUM(L10,L56)</f>
        <v>0</v>
      </c>
      <c r="M72" s="1">
        <f>SUM(M10,M56)</f>
        <v>0</v>
      </c>
      <c r="N72" s="1">
        <f>SUM(N10,N56)</f>
        <v>0</v>
      </c>
      <c r="O72" s="1">
        <f>SUM(O10,O56)</f>
        <v>0</v>
      </c>
      <c r="P72" s="1">
        <f>SUM(P10,P56)</f>
        <v>0</v>
      </c>
      <c r="Q72" s="1">
        <f>SUM(Q10,Q56)</f>
        <v>0</v>
      </c>
      <c r="R72" s="1">
        <f>SUM(B72:Q72)</f>
        <v>19010442</v>
      </c>
    </row>
    <row r="73" spans="1:18" x14ac:dyDescent="0.3">
      <c r="A73" s="4" t="s">
        <v>141</v>
      </c>
      <c r="B73" s="1">
        <f>SUM(B11,B57)</f>
        <v>193633.75000000003</v>
      </c>
      <c r="C73" s="1">
        <f>SUM(C11,C57)</f>
        <v>0</v>
      </c>
      <c r="D73" s="1">
        <f>SUM(D11,D57)</f>
        <v>193633.75000000003</v>
      </c>
      <c r="E73" s="1">
        <f>SUM(E11,E57)</f>
        <v>193633.75000000003</v>
      </c>
      <c r="F73" s="1">
        <f>SUM(F11,F57)</f>
        <v>64544.58333333335</v>
      </c>
      <c r="G73" s="1">
        <f>SUM(G11,G57)</f>
        <v>64544.58333333335</v>
      </c>
      <c r="H73" s="1">
        <f>SUM(H11,H57)</f>
        <v>64544.58333333335</v>
      </c>
      <c r="I73" s="1">
        <f>SUM(I11,I57)</f>
        <v>0</v>
      </c>
      <c r="J73" s="1">
        <f>SUM(J11,J57)</f>
        <v>0</v>
      </c>
      <c r="K73" s="1">
        <f>SUM(K11,K57)</f>
        <v>0</v>
      </c>
      <c r="L73" s="1">
        <f>SUM(L11,L57)</f>
        <v>0</v>
      </c>
      <c r="M73" s="1">
        <f>SUM(M11,M57)</f>
        <v>0</v>
      </c>
      <c r="N73" s="1">
        <f>SUM(N11,N57)</f>
        <v>0</v>
      </c>
      <c r="O73" s="1">
        <f>SUM(O11,O57)</f>
        <v>0</v>
      </c>
      <c r="P73" s="1">
        <f>SUM(P11,P57)</f>
        <v>0</v>
      </c>
      <c r="Q73" s="1">
        <f>SUM(Q11,Q57)</f>
        <v>0</v>
      </c>
      <c r="R73" s="1">
        <f>SUM(B73:Q73)</f>
        <v>774535.00000000023</v>
      </c>
    </row>
    <row r="74" spans="1:18" x14ac:dyDescent="0.3">
      <c r="A74" s="4" t="s">
        <v>142</v>
      </c>
      <c r="B74" s="1">
        <f>SUM(B12,B58)</f>
        <v>0</v>
      </c>
      <c r="C74" s="1">
        <f>SUM(C12,C58)</f>
        <v>0</v>
      </c>
      <c r="D74" s="1">
        <f>SUM(D12,D58)</f>
        <v>0</v>
      </c>
      <c r="E74" s="1">
        <f>SUM(E12,E58)</f>
        <v>0</v>
      </c>
      <c r="F74" s="1">
        <f>SUM(F12,F58)</f>
        <v>0</v>
      </c>
      <c r="G74" s="1">
        <f>SUM(G12,G58)</f>
        <v>0</v>
      </c>
      <c r="H74" s="1">
        <f>SUM(H12,H58)</f>
        <v>0</v>
      </c>
      <c r="I74" s="1">
        <f>SUM(I12,I58)</f>
        <v>0</v>
      </c>
      <c r="J74" s="1">
        <f>SUM(J12,J58)</f>
        <v>1223534</v>
      </c>
      <c r="K74" s="1">
        <f>SUM(K12,K58)</f>
        <v>0</v>
      </c>
      <c r="L74" s="1">
        <f>SUM(L12,L58)</f>
        <v>0</v>
      </c>
      <c r="M74" s="1">
        <f>SUM(M12,M58)</f>
        <v>0</v>
      </c>
      <c r="N74" s="1">
        <f>SUM(N12,N58)</f>
        <v>0</v>
      </c>
      <c r="O74" s="1">
        <f>SUM(O12,O58)</f>
        <v>0</v>
      </c>
      <c r="P74" s="1">
        <f>SUM(P12,P58)</f>
        <v>0</v>
      </c>
      <c r="Q74" s="1">
        <f>SUM(Q12,Q58)</f>
        <v>0</v>
      </c>
      <c r="R74" s="1">
        <f>SUM(B74:Q74)</f>
        <v>1223534</v>
      </c>
    </row>
    <row r="75" spans="1:18" x14ac:dyDescent="0.3">
      <c r="A75" s="4" t="s">
        <v>143</v>
      </c>
      <c r="B75" s="1">
        <f>SUM(B13,B59)</f>
        <v>0</v>
      </c>
      <c r="C75" s="1">
        <f>SUM(C13,C59)</f>
        <v>0</v>
      </c>
      <c r="D75" s="1">
        <f>SUM(D13,D59)</f>
        <v>0</v>
      </c>
      <c r="E75" s="1">
        <f>SUM(E13,E59)</f>
        <v>0</v>
      </c>
      <c r="F75" s="1">
        <f>SUM(F13,F59)</f>
        <v>0</v>
      </c>
      <c r="G75" s="1">
        <f>SUM(G13,G59)</f>
        <v>0</v>
      </c>
      <c r="H75" s="1">
        <f>SUM(H13,H59)</f>
        <v>0</v>
      </c>
      <c r="I75" s="1">
        <f>SUM(I13,I59)</f>
        <v>0</v>
      </c>
      <c r="J75" s="1">
        <f>SUM(J13,J59)</f>
        <v>0</v>
      </c>
      <c r="K75" s="1">
        <f>SUM(K13,K59)</f>
        <v>0</v>
      </c>
      <c r="L75" s="1">
        <f>SUM(L13,L59)</f>
        <v>0</v>
      </c>
      <c r="M75" s="1">
        <f>SUM(M13,M59)</f>
        <v>0</v>
      </c>
      <c r="N75" s="1">
        <f>SUM(N13,N59)</f>
        <v>0</v>
      </c>
      <c r="O75" s="1">
        <f>SUM(O13,O59)</f>
        <v>0</v>
      </c>
      <c r="P75" s="1">
        <f>SUM(P13,P59)</f>
        <v>0</v>
      </c>
      <c r="Q75" s="1">
        <f>SUM(Q13,Q59)</f>
        <v>528652</v>
      </c>
      <c r="R75" s="1">
        <f>SUM(B75:Q75)</f>
        <v>528652</v>
      </c>
    </row>
    <row r="76" spans="1:18" x14ac:dyDescent="0.3">
      <c r="A76" s="4" t="s">
        <v>174</v>
      </c>
      <c r="B76" s="1">
        <f t="shared" ref="B76:Q76" si="11">SUBTOTAL(9,B70:B75)</f>
        <v>193633.75000000003</v>
      </c>
      <c r="C76" s="1">
        <f t="shared" si="11"/>
        <v>0</v>
      </c>
      <c r="D76" s="1">
        <f t="shared" si="11"/>
        <v>3890894.5</v>
      </c>
      <c r="E76" s="1">
        <f t="shared" si="11"/>
        <v>1119462</v>
      </c>
      <c r="F76" s="1">
        <f t="shared" si="11"/>
        <v>6460201.833333333</v>
      </c>
      <c r="G76" s="1">
        <f t="shared" si="11"/>
        <v>4453567.583333333</v>
      </c>
      <c r="H76" s="1">
        <f t="shared" si="11"/>
        <v>2196430.3333333335</v>
      </c>
      <c r="I76" s="1">
        <f t="shared" si="11"/>
        <v>3146156</v>
      </c>
      <c r="J76" s="1">
        <f t="shared" si="11"/>
        <v>1223534</v>
      </c>
      <c r="K76" s="1">
        <f t="shared" si="11"/>
        <v>0</v>
      </c>
      <c r="L76" s="1">
        <f t="shared" si="11"/>
        <v>0</v>
      </c>
      <c r="M76" s="1">
        <f t="shared" si="11"/>
        <v>0</v>
      </c>
      <c r="N76" s="1">
        <f t="shared" si="11"/>
        <v>0</v>
      </c>
      <c r="O76" s="1">
        <f t="shared" si="11"/>
        <v>0</v>
      </c>
      <c r="P76" s="1">
        <f t="shared" si="11"/>
        <v>0</v>
      </c>
      <c r="Q76" s="1">
        <f t="shared" si="11"/>
        <v>528652</v>
      </c>
      <c r="R76" s="1">
        <f>SUBTOTAL(9,R70:R75)</f>
        <v>23212532</v>
      </c>
    </row>
    <row r="77" spans="1:18" x14ac:dyDescent="0.3">
      <c r="A77" s="3" t="s">
        <v>175</v>
      </c>
      <c r="B77" s="1">
        <f>SUM(B15,B61)</f>
        <v>294774.60409435269</v>
      </c>
      <c r="C77" s="1">
        <f>SUM(C15,C61)</f>
        <v>76664.168248472502</v>
      </c>
      <c r="D77" s="1">
        <f>SUM(D15,D61)</f>
        <v>627201.11551177688</v>
      </c>
      <c r="E77" s="1">
        <f>SUM(E15,E61)</f>
        <v>320002.79987336131</v>
      </c>
      <c r="F77" s="1">
        <f>SUM(F15,F61)</f>
        <v>658026.53756829933</v>
      </c>
      <c r="G77" s="1">
        <f>SUM(G15,G61)</f>
        <v>864936.3589014411</v>
      </c>
      <c r="H77" s="1">
        <f>SUM(H15,H61)</f>
        <v>253772.35279537956</v>
      </c>
      <c r="I77" s="1">
        <f>SUM(I15,I61)</f>
        <v>24034.646726715215</v>
      </c>
      <c r="J77" s="1">
        <f>SUM(J15,J61)</f>
        <v>72616.501774630378</v>
      </c>
      <c r="K77" s="1">
        <f>SUM(K15,K61)</f>
        <v>137440.88836610111</v>
      </c>
      <c r="L77" s="1">
        <f>SUM(L15,L61)</f>
        <v>52501.039864766033</v>
      </c>
      <c r="M77" s="1">
        <f>SUM(M15,M61)</f>
        <v>34483.620111271404</v>
      </c>
      <c r="N77" s="1">
        <f>SUM(N15,N61)</f>
        <v>10452.724111271398</v>
      </c>
      <c r="O77" s="1">
        <f>SUM(O15,O61)</f>
        <v>10452.724111271398</v>
      </c>
      <c r="P77" s="1">
        <f>SUM(P15,P61)</f>
        <v>4128.8041112713981</v>
      </c>
      <c r="Q77" s="1">
        <f>SUM(Q15,Q61)</f>
        <v>6489.1138296180679</v>
      </c>
      <c r="R77" s="1">
        <f>SUM(B77:Q77)</f>
        <v>3447978.0000000005</v>
      </c>
    </row>
    <row r="78" spans="1:18" x14ac:dyDescent="0.3">
      <c r="A78" s="3" t="s">
        <v>213</v>
      </c>
      <c r="B78" s="1">
        <f t="shared" ref="B78:R78" si="12">SUBTOTAL(9,B68:B77)</f>
        <v>2498060.3540943526</v>
      </c>
      <c r="C78" s="1">
        <f t="shared" si="12"/>
        <v>76664.168248472502</v>
      </c>
      <c r="D78" s="1">
        <f t="shared" si="12"/>
        <v>4518095.6155117769</v>
      </c>
      <c r="E78" s="1">
        <f t="shared" si="12"/>
        <v>1439464.7998733614</v>
      </c>
      <c r="F78" s="1">
        <f t="shared" si="12"/>
        <v>7118228.3709016321</v>
      </c>
      <c r="G78" s="1">
        <f t="shared" si="12"/>
        <v>5318503.9422347741</v>
      </c>
      <c r="H78" s="1">
        <f t="shared" si="12"/>
        <v>2450202.6861287132</v>
      </c>
      <c r="I78" s="1">
        <f t="shared" si="12"/>
        <v>3170190.6467267154</v>
      </c>
      <c r="J78" s="1">
        <f t="shared" si="12"/>
        <v>1296150.5017746303</v>
      </c>
      <c r="K78" s="1">
        <f t="shared" si="12"/>
        <v>137440.88836610111</v>
      </c>
      <c r="L78" s="1">
        <f t="shared" si="12"/>
        <v>52501.039864766033</v>
      </c>
      <c r="M78" s="1">
        <f t="shared" si="12"/>
        <v>34483.620111271404</v>
      </c>
      <c r="N78" s="1">
        <f t="shared" si="12"/>
        <v>10452.724111271398</v>
      </c>
      <c r="O78" s="1">
        <f t="shared" si="12"/>
        <v>10452.724111271398</v>
      </c>
      <c r="P78" s="1">
        <f t="shared" si="12"/>
        <v>4128.8041112713981</v>
      </c>
      <c r="Q78" s="1">
        <f t="shared" si="12"/>
        <v>535141.11382961809</v>
      </c>
      <c r="R78" s="1">
        <f t="shared" si="12"/>
        <v>28670162</v>
      </c>
    </row>
    <row r="79" spans="1:18" x14ac:dyDescent="0.3">
      <c r="A79" s="2" t="s">
        <v>176</v>
      </c>
      <c r="B79" s="1">
        <f t="shared" ref="B79:Q79" si="13">SUM(B17,B63)</f>
        <v>0</v>
      </c>
      <c r="C79" s="1">
        <f t="shared" si="13"/>
        <v>0</v>
      </c>
      <c r="D79" s="1">
        <f t="shared" si="13"/>
        <v>-577597</v>
      </c>
      <c r="E79" s="1">
        <f t="shared" si="13"/>
        <v>0</v>
      </c>
      <c r="F79" s="1">
        <f t="shared" si="13"/>
        <v>-418864.88496503903</v>
      </c>
      <c r="G79" s="1">
        <f t="shared" si="13"/>
        <v>-260195.8863957173</v>
      </c>
      <c r="H79" s="1">
        <f t="shared" si="13"/>
        <v>-139621.62832167969</v>
      </c>
      <c r="I79" s="1">
        <f t="shared" si="13"/>
        <v>-206057.11540057336</v>
      </c>
      <c r="J79" s="1">
        <f t="shared" si="13"/>
        <v>-42038.527146234592</v>
      </c>
      <c r="K79" s="1">
        <f t="shared" si="13"/>
        <v>0</v>
      </c>
      <c r="L79" s="1">
        <f t="shared" si="13"/>
        <v>0</v>
      </c>
      <c r="M79" s="1">
        <f t="shared" si="13"/>
        <v>0</v>
      </c>
      <c r="N79" s="1">
        <f t="shared" si="13"/>
        <v>0</v>
      </c>
      <c r="O79" s="1">
        <f t="shared" si="13"/>
        <v>0</v>
      </c>
      <c r="P79" s="1">
        <f t="shared" si="13"/>
        <v>0</v>
      </c>
      <c r="Q79" s="1">
        <f t="shared" si="13"/>
        <v>-24432.957770756035</v>
      </c>
      <c r="R79" s="1">
        <f>SUM(B79:Q79)</f>
        <v>-1668808</v>
      </c>
    </row>
    <row r="80" spans="1:18" x14ac:dyDescent="0.3">
      <c r="A80" s="2" t="s">
        <v>214</v>
      </c>
      <c r="B80" s="1">
        <f t="shared" ref="B80:R80" si="14">SUBTOTAL(9,B68:B79)</f>
        <v>2498060.3540943526</v>
      </c>
      <c r="C80" s="1">
        <f t="shared" si="14"/>
        <v>76664.168248472502</v>
      </c>
      <c r="D80" s="1">
        <f t="shared" si="14"/>
        <v>3940498.6155117769</v>
      </c>
      <c r="E80" s="1">
        <f t="shared" si="14"/>
        <v>1439464.7998733614</v>
      </c>
      <c r="F80" s="1">
        <f t="shared" si="14"/>
        <v>6699363.4859365933</v>
      </c>
      <c r="G80" s="1">
        <f t="shared" si="14"/>
        <v>5058308.0558390571</v>
      </c>
      <c r="H80" s="1">
        <f t="shared" si="14"/>
        <v>2310581.0578070334</v>
      </c>
      <c r="I80" s="1">
        <f t="shared" si="14"/>
        <v>2964133.5313261421</v>
      </c>
      <c r="J80" s="1">
        <f t="shared" si="14"/>
        <v>1254111.9746283956</v>
      </c>
      <c r="K80" s="1">
        <f t="shared" si="14"/>
        <v>137440.88836610111</v>
      </c>
      <c r="L80" s="1">
        <f t="shared" si="14"/>
        <v>52501.039864766033</v>
      </c>
      <c r="M80" s="1">
        <f t="shared" si="14"/>
        <v>34483.620111271404</v>
      </c>
      <c r="N80" s="1">
        <f t="shared" si="14"/>
        <v>10452.724111271398</v>
      </c>
      <c r="O80" s="1">
        <f t="shared" si="14"/>
        <v>10452.724111271398</v>
      </c>
      <c r="P80" s="1">
        <f t="shared" si="14"/>
        <v>4128.8041112713981</v>
      </c>
      <c r="Q80" s="1">
        <f t="shared" si="14"/>
        <v>510708.15605886205</v>
      </c>
      <c r="R80" s="1">
        <f t="shared" si="14"/>
        <v>27001354</v>
      </c>
    </row>
    <row r="82" spans="1:3" x14ac:dyDescent="0.3">
      <c r="A82" s="1" t="s">
        <v>230</v>
      </c>
    </row>
    <row r="83" spans="1:3" x14ac:dyDescent="0.3">
      <c r="A83" s="1" t="s">
        <v>231</v>
      </c>
      <c r="B83" s="1">
        <f>R18</f>
        <v>13812834</v>
      </c>
    </row>
    <row r="84" spans="1:3" x14ac:dyDescent="0.3">
      <c r="A84" s="1" t="s">
        <v>225</v>
      </c>
      <c r="B84" s="1">
        <f>R34</f>
        <v>13188520</v>
      </c>
      <c r="C84" s="1" t="b">
        <f>ROUND(SUM(B83:B84),-2)=ROUND(B86,-2)</f>
        <v>1</v>
      </c>
    </row>
    <row r="85" spans="1:3" x14ac:dyDescent="0.3">
      <c r="A85" s="1" t="s">
        <v>232</v>
      </c>
      <c r="B85" s="1">
        <f>R64</f>
        <v>13188520</v>
      </c>
      <c r="C85" s="1" t="b">
        <f>ROUND(B84,0)=ROUND(B85,0)</f>
        <v>1</v>
      </c>
    </row>
    <row r="86" spans="1:3" x14ac:dyDescent="0.3">
      <c r="A86" s="1" t="s">
        <v>233</v>
      </c>
      <c r="B86" s="1">
        <f>'6.0'!C132</f>
        <v>27001358</v>
      </c>
    </row>
    <row r="87" spans="1:3" x14ac:dyDescent="0.3">
      <c r="A87" s="1" t="s">
        <v>234</v>
      </c>
      <c r="B87" s="1">
        <f>SUM(B80:Q80)</f>
        <v>27001353.999999996</v>
      </c>
      <c r="C87" s="1" t="b">
        <f>ROUND(B86,-2)=ROUND(B87,-2)</f>
        <v>1</v>
      </c>
    </row>
  </sheetData>
  <printOptions horizontalCentered="1" gridLines="1"/>
  <pageMargins left="0.19685039370078741" right="0.19685039370078741" top="0.98425196850393704" bottom="0.59055118110236227" header="0.19685039370078741" footer="0.19685039370078741"/>
  <pageSetup scale="59" pageOrder="overThenDown" orientation="landscape" r:id="rId1"/>
  <headerFooter scaleWithDoc="0">
    <oddHeader xml:space="preserve">&amp;C2023 "Status Quo Methods" Cost Allocation Model for MECL </oddHeader>
    <oddFooter>&amp;LPage &amp;P of &amp;N&amp;RJune 27, 2025</oddFooter>
  </headerFooter>
  <rowBreaks count="2" manualBreakCount="2">
    <brk id="35" max="17" man="1"/>
    <brk id="65"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S138"/>
  <sheetViews>
    <sheetView view="pageBreakPreview" topLeftCell="A84" zoomScale="40" zoomScaleNormal="85" zoomScaleSheetLayoutView="40" workbookViewId="0">
      <selection activeCell="E21" sqref="E21"/>
    </sheetView>
  </sheetViews>
  <sheetFormatPr defaultColWidth="8.7109375" defaultRowHeight="13.5" x14ac:dyDescent="0.3"/>
  <cols>
    <col min="1" max="1" width="25.7109375" style="1" customWidth="1"/>
    <col min="2" max="18" width="7.7109375" style="1" customWidth="1"/>
    <col min="19" max="16384" width="8.7109375" style="1"/>
  </cols>
  <sheetData>
    <row r="1" spans="1:18" x14ac:dyDescent="0.3">
      <c r="A1" s="1" t="s">
        <v>222</v>
      </c>
    </row>
    <row r="2" spans="1:18" x14ac:dyDescent="0.3">
      <c r="A2" s="1" t="s">
        <v>223</v>
      </c>
    </row>
    <row r="4" spans="1:18" s="5" customFormat="1" x14ac:dyDescent="0.3">
      <c r="A4" s="5" t="s">
        <v>224</v>
      </c>
    </row>
    <row r="5" spans="1:18" s="9" customFormat="1" ht="54" x14ac:dyDescent="0.25">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x14ac:dyDescent="0.3">
      <c r="A6" s="1" t="s">
        <v>129</v>
      </c>
    </row>
    <row r="7" spans="1:18" x14ac:dyDescent="0.3">
      <c r="A7" s="3" t="s">
        <v>172</v>
      </c>
      <c r="B7" s="1">
        <f>SUMIFS('6.1'!$E$6:$E$74,Assets_PresHeader,$A7,Assets_BasisFunc,B$5)</f>
        <v>57956788</v>
      </c>
      <c r="C7" s="1">
        <f>SUMIFS('6.1'!$E$6:$E$74,Assets_PresHeader,$A7,Assets_BasisFunc,C$5)</f>
        <v>0</v>
      </c>
      <c r="D7" s="1">
        <f>SUMIFS('6.1'!$E$6:$E$74,Assets_PresHeader,$A7,Assets_BasisFunc,D$5)</f>
        <v>0</v>
      </c>
      <c r="E7" s="1">
        <f>SUMIFS('6.1'!$E$6:$E$74,Assets_PresHeader,$A7,Assets_BasisFunc,E$5)</f>
        <v>0</v>
      </c>
      <c r="F7" s="1">
        <f>SUMIFS('6.1'!$E$6:$E$74,Assets_PresHeader,$A7,Assets_BasisFunc,F$5)</f>
        <v>0</v>
      </c>
      <c r="G7" s="1">
        <f>SUMIFS('6.1'!$E$6:$E$74,Assets_PresHeader,$A7,Assets_BasisFunc,G$5)</f>
        <v>0</v>
      </c>
      <c r="H7" s="1">
        <f>SUMIFS('6.1'!$E$6:$E$74,Assets_PresHeader,$A7,Assets_BasisFunc,H$5)</f>
        <v>0</v>
      </c>
      <c r="I7" s="1">
        <f>SUMIFS('6.1'!$E$6:$E$74,Assets_PresHeader,$A7,Assets_BasisFunc,I$5)</f>
        <v>0</v>
      </c>
      <c r="J7" s="1">
        <f>SUMIFS('6.1'!$E$6:$E$74,Assets_PresHeader,$A7,Assets_BasisFunc,J$5)</f>
        <v>0</v>
      </c>
      <c r="K7" s="1">
        <f>SUMIFS('6.1'!$E$6:$E$74,Assets_PresHeader,$A7,Assets_BasisFunc,K$5)</f>
        <v>0</v>
      </c>
      <c r="L7" s="1">
        <f>SUMIFS('6.1'!$E$6:$E$74,Assets_PresHeader,$A7,Assets_BasisFunc,L$5)</f>
        <v>0</v>
      </c>
      <c r="M7" s="1">
        <f>SUMIFS('6.1'!$E$6:$E$74,Assets_PresHeader,$A7,Assets_BasisFunc,M$5)</f>
        <v>0</v>
      </c>
      <c r="N7" s="1">
        <f>SUMIFS('6.1'!$E$6:$E$74,Assets_PresHeader,$A7,Assets_BasisFunc,N$5)</f>
        <v>0</v>
      </c>
      <c r="O7" s="1">
        <f>SUMIFS('6.1'!$E$6:$E$74,Assets_PresHeader,$A7,Assets_BasisFunc,O$5)</f>
        <v>0</v>
      </c>
      <c r="P7" s="1">
        <f>SUMIFS('6.1'!$E$6:$E$74,Assets_PresHeader,$A7,Assets_BasisFunc,P$5)</f>
        <v>0</v>
      </c>
      <c r="Q7" s="1">
        <f>SUMIFS('6.1'!$E$6:$E$74,Assets_PresHeader,$A7,Assets_BasisFunc,Q$5)</f>
        <v>0</v>
      </c>
      <c r="R7" s="1">
        <f>SUM(B7:Q7)</f>
        <v>57956788</v>
      </c>
    </row>
    <row r="8" spans="1:18" x14ac:dyDescent="0.3">
      <c r="A8" s="3" t="s">
        <v>173</v>
      </c>
    </row>
    <row r="9" spans="1:18" x14ac:dyDescent="0.3">
      <c r="A9" s="4" t="s">
        <v>13</v>
      </c>
      <c r="B9" s="1">
        <f>SUMIFS('6.1'!$E$6:$E$74,Assets_PresHeader,$A9,Assets_BasisFunc,B$5)</f>
        <v>0</v>
      </c>
      <c r="C9" s="1">
        <f>SUMIFS('6.1'!$E$6:$E$74,Assets_PresHeader,$A9,Assets_BasisFunc,C$5)</f>
        <v>0</v>
      </c>
      <c r="D9" s="1">
        <f>SUMIFS('6.1'!$E$6:$E$74,Assets_PresHeader,$A9,Assets_BasisFunc,D$5)</f>
        <v>998364</v>
      </c>
      <c r="E9" s="1">
        <f>SUMIFS('6.1'!$E$6:$E$74,Assets_PresHeader,$A9,Assets_BasisFunc,E$5)</f>
        <v>4834296</v>
      </c>
      <c r="F9" s="1">
        <f>SUMIFS('6.1'!$E$6:$E$74,Assets_PresHeader,$A9,Assets_BasisFunc,F$5)</f>
        <v>0</v>
      </c>
      <c r="G9" s="1">
        <f>SUMIFS('6.1'!$E$6:$E$74,Assets_PresHeader,$A9,Assets_BasisFunc,G$5)</f>
        <v>0</v>
      </c>
      <c r="H9" s="1">
        <f>SUMIFS('6.1'!$E$6:$E$74,Assets_PresHeader,$A9,Assets_BasisFunc,H$5)</f>
        <v>0</v>
      </c>
      <c r="I9" s="1">
        <f>SUMIFS('6.1'!$E$6:$E$74,Assets_PresHeader,$A9,Assets_BasisFunc,I$5)</f>
        <v>0</v>
      </c>
      <c r="J9" s="1">
        <f>SUMIFS('6.1'!$E$6:$E$74,Assets_PresHeader,$A9,Assets_BasisFunc,J$5)</f>
        <v>0</v>
      </c>
      <c r="K9" s="1">
        <f>SUMIFS('6.1'!$E$6:$E$74,Assets_PresHeader,$A9,Assets_BasisFunc,K$5)</f>
        <v>0</v>
      </c>
      <c r="L9" s="1">
        <f>SUMIFS('6.1'!$E$6:$E$74,Assets_PresHeader,$A9,Assets_BasisFunc,L$5)</f>
        <v>0</v>
      </c>
      <c r="M9" s="1">
        <f>SUMIFS('6.1'!$E$6:$E$74,Assets_PresHeader,$A9,Assets_BasisFunc,M$5)</f>
        <v>0</v>
      </c>
      <c r="N9" s="1">
        <f>SUMIFS('6.1'!$E$6:$E$74,Assets_PresHeader,$A9,Assets_BasisFunc,N$5)</f>
        <v>0</v>
      </c>
      <c r="O9" s="1">
        <f>SUMIFS('6.1'!$E$6:$E$74,Assets_PresHeader,$A9,Assets_BasisFunc,O$5)</f>
        <v>0</v>
      </c>
      <c r="P9" s="1">
        <f>SUMIFS('6.1'!$E$6:$E$74,Assets_PresHeader,$A9,Assets_BasisFunc,P$5)</f>
        <v>0</v>
      </c>
      <c r="Q9" s="1">
        <f>SUMIFS('6.1'!$E$6:$E$74,Assets_PresHeader,$A9,Assets_BasisFunc,Q$5)</f>
        <v>0</v>
      </c>
      <c r="R9" s="1">
        <f>SUM(B9:Q9)</f>
        <v>5832660</v>
      </c>
    </row>
    <row r="10" spans="1:18" x14ac:dyDescent="0.3">
      <c r="A10" s="4" t="s">
        <v>140</v>
      </c>
      <c r="B10" s="1">
        <f>SUMIFS('6.1'!$E$6:$E$74,Assets_PresHeader,$A10,Assets_BasisFunc,B$5)</f>
        <v>0</v>
      </c>
      <c r="C10" s="1">
        <f>SUMIFS('6.1'!$E$6:$E$74,Assets_PresHeader,$A10,Assets_BasisFunc,C$5)</f>
        <v>0</v>
      </c>
      <c r="D10" s="1">
        <f>SUMIFS('6.1'!$E$6:$E$74,Assets_PresHeader,$A10,Assets_BasisFunc,D$5)</f>
        <v>87799318.5</v>
      </c>
      <c r="E10" s="1">
        <f>SUMIFS('6.1'!$E$6:$E$74,Assets_PresHeader,$A10,Assets_BasisFunc,E$5)</f>
        <v>0</v>
      </c>
      <c r="F10" s="1">
        <f>SUMIFS('6.1'!$E$6:$E$74,Assets_PresHeader,$A10,Assets_BasisFunc,F$5)</f>
        <v>0</v>
      </c>
      <c r="G10" s="1">
        <f>SUMIFS('6.1'!$E$6:$E$74,Assets_PresHeader,$A10,Assets_BasisFunc,G$5)</f>
        <v>109702410</v>
      </c>
      <c r="H10" s="1">
        <f>SUMIFS('6.1'!$E$6:$E$74,Assets_PresHeader,$A10,Assets_BasisFunc,H$5)</f>
        <v>0</v>
      </c>
      <c r="I10" s="1">
        <f>SUMIFS('6.1'!$E$6:$E$74,Assets_PresHeader,$A10,Assets_BasisFunc,I$5)</f>
        <v>89590707</v>
      </c>
      <c r="J10" s="1">
        <f>SUMIFS('6.1'!$E$6:$E$74,Assets_PresHeader,$A10,Assets_BasisFunc,J$5)</f>
        <v>0</v>
      </c>
      <c r="K10" s="1">
        <f>SUMIFS('6.1'!$E$6:$E$74,Assets_PresHeader,$A10,Assets_BasisFunc,K$5)</f>
        <v>0</v>
      </c>
      <c r="L10" s="1">
        <f>SUMIFS('6.1'!$E$6:$E$74,Assets_PresHeader,$A10,Assets_BasisFunc,L$5)</f>
        <v>0</v>
      </c>
      <c r="M10" s="1">
        <f>SUMIFS('6.1'!$E$6:$E$74,Assets_PresHeader,$A10,Assets_BasisFunc,M$5)</f>
        <v>0</v>
      </c>
      <c r="N10" s="1">
        <f>SUMIFS('6.1'!$E$6:$E$74,Assets_PresHeader,$A10,Assets_BasisFunc,N$5)</f>
        <v>0</v>
      </c>
      <c r="O10" s="1">
        <f>SUMIFS('6.1'!$E$6:$E$74,Assets_PresHeader,$A10,Assets_BasisFunc,O$5)</f>
        <v>0</v>
      </c>
      <c r="P10" s="1">
        <f>SUMIFS('6.1'!$E$6:$E$74,Assets_PresHeader,$A10,Assets_BasisFunc,P$5)</f>
        <v>0</v>
      </c>
      <c r="Q10" s="1">
        <f>SUMIFS('6.1'!$E$6:$E$74,Assets_PresHeader,$A10,Assets_BasisFunc,Q$5)</f>
        <v>0</v>
      </c>
      <c r="R10" s="1">
        <f>SUM(B10:Q10)</f>
        <v>287092435.5</v>
      </c>
    </row>
    <row r="11" spans="1:18" x14ac:dyDescent="0.3">
      <c r="A11" s="4" t="s">
        <v>141</v>
      </c>
      <c r="B11" s="1">
        <f>SUMIFS('6.1'!$E$6:$E$74,Assets_PresHeader,$A11,Assets_BasisFunc,B$5)</f>
        <v>0</v>
      </c>
      <c r="C11" s="1">
        <f>SUMIFS('6.1'!$E$6:$E$74,Assets_PresHeader,$A11,Assets_BasisFunc,C$5)</f>
        <v>0</v>
      </c>
      <c r="D11" s="1">
        <f>SUMIFS('6.1'!$E$6:$E$74,Assets_PresHeader,$A11,Assets_BasisFunc,D$5)</f>
        <v>0</v>
      </c>
      <c r="E11" s="1">
        <f>SUMIFS('6.1'!$E$6:$E$74,Assets_PresHeader,$A11,Assets_BasisFunc,E$5)</f>
        <v>0</v>
      </c>
      <c r="F11" s="1">
        <f>SUMIFS('6.1'!$E$6:$E$74,Assets_PresHeader,$A11,Assets_BasisFunc,F$5)</f>
        <v>0</v>
      </c>
      <c r="G11" s="1">
        <f>SUMIFS('6.1'!$E$6:$E$74,Assets_PresHeader,$A11,Assets_BasisFunc,G$5)</f>
        <v>0</v>
      </c>
      <c r="H11" s="1">
        <f>SUMIFS('6.1'!$E$6:$E$74,Assets_PresHeader,$A11,Assets_BasisFunc,H$5)</f>
        <v>0</v>
      </c>
      <c r="I11" s="1">
        <f>SUMIFS('6.1'!$E$6:$E$74,Assets_PresHeader,$A11,Assets_BasisFunc,I$5)</f>
        <v>0</v>
      </c>
      <c r="J11" s="1">
        <f>SUMIFS('6.1'!$E$6:$E$74,Assets_PresHeader,$A11,Assets_BasisFunc,J$5)</f>
        <v>0</v>
      </c>
      <c r="K11" s="1">
        <f>SUMIFS('6.1'!$E$6:$E$74,Assets_PresHeader,$A11,Assets_BasisFunc,K$5)</f>
        <v>0</v>
      </c>
      <c r="L11" s="1">
        <f>SUMIFS('6.1'!$E$6:$E$74,Assets_PresHeader,$A11,Assets_BasisFunc,L$5)</f>
        <v>0</v>
      </c>
      <c r="M11" s="1">
        <f>SUMIFS('6.1'!$E$6:$E$74,Assets_PresHeader,$A11,Assets_BasisFunc,M$5)</f>
        <v>0</v>
      </c>
      <c r="N11" s="1">
        <f>SUMIFS('6.1'!$E$6:$E$74,Assets_PresHeader,$A11,Assets_BasisFunc,N$5)</f>
        <v>0</v>
      </c>
      <c r="O11" s="1">
        <f>SUMIFS('6.1'!$E$6:$E$74,Assets_PresHeader,$A11,Assets_BasisFunc,O$5)</f>
        <v>0</v>
      </c>
      <c r="P11" s="1">
        <f>SUMIFS('6.1'!$E$6:$E$74,Assets_PresHeader,$A11,Assets_BasisFunc,P$5)</f>
        <v>0</v>
      </c>
      <c r="Q11" s="1">
        <f>SUMIFS('6.1'!$E$6:$E$74,Assets_PresHeader,$A11,Assets_BasisFunc,Q$5)</f>
        <v>0</v>
      </c>
      <c r="R11" s="1">
        <f>SUM(B11:Q11)</f>
        <v>0</v>
      </c>
    </row>
    <row r="12" spans="1:18" x14ac:dyDescent="0.3">
      <c r="A12" s="4" t="s">
        <v>142</v>
      </c>
      <c r="B12" s="1">
        <f>SUMIFS('6.1'!$E$6:$E$74,Assets_PresHeader,$A12,Assets_BasisFunc,B$5)</f>
        <v>0</v>
      </c>
      <c r="C12" s="1">
        <f>SUMIFS('6.1'!$E$6:$E$74,Assets_PresHeader,$A12,Assets_BasisFunc,C$5)</f>
        <v>0</v>
      </c>
      <c r="D12" s="1">
        <f>SUMIFS('6.1'!$E$6:$E$74,Assets_PresHeader,$A12,Assets_BasisFunc,D$5)</f>
        <v>0</v>
      </c>
      <c r="E12" s="1">
        <f>SUMIFS('6.1'!$E$6:$E$74,Assets_PresHeader,$A12,Assets_BasisFunc,E$5)</f>
        <v>0</v>
      </c>
      <c r="F12" s="1">
        <f>SUMIFS('6.1'!$E$6:$E$74,Assets_PresHeader,$A12,Assets_BasisFunc,F$5)</f>
        <v>0</v>
      </c>
      <c r="G12" s="1">
        <f>SUMIFS('6.1'!$E$6:$E$74,Assets_PresHeader,$A12,Assets_BasisFunc,G$5)</f>
        <v>0</v>
      </c>
      <c r="H12" s="1">
        <f>SUMIFS('6.1'!$E$6:$E$74,Assets_PresHeader,$A12,Assets_BasisFunc,H$5)</f>
        <v>0</v>
      </c>
      <c r="I12" s="1">
        <f>SUMIFS('6.1'!$E$6:$E$74,Assets_PresHeader,$A12,Assets_BasisFunc,I$5)</f>
        <v>0</v>
      </c>
      <c r="J12" s="1">
        <f>SUMIFS('6.1'!$E$6:$E$74,Assets_PresHeader,$A12,Assets_BasisFunc,J$5)</f>
        <v>18277754.5</v>
      </c>
      <c r="K12" s="1">
        <f>SUMIFS('6.1'!$E$6:$E$74,Assets_PresHeader,$A12,Assets_BasisFunc,K$5)</f>
        <v>0</v>
      </c>
      <c r="L12" s="1">
        <f>SUMIFS('6.1'!$E$6:$E$74,Assets_PresHeader,$A12,Assets_BasisFunc,L$5)</f>
        <v>0</v>
      </c>
      <c r="M12" s="1">
        <f>SUMIFS('6.1'!$E$6:$E$74,Assets_PresHeader,$A12,Assets_BasisFunc,M$5)</f>
        <v>0</v>
      </c>
      <c r="N12" s="1">
        <f>SUMIFS('6.1'!$E$6:$E$74,Assets_PresHeader,$A12,Assets_BasisFunc,N$5)</f>
        <v>0</v>
      </c>
      <c r="O12" s="1">
        <f>SUMIFS('6.1'!$E$6:$E$74,Assets_PresHeader,$A12,Assets_BasisFunc,O$5)</f>
        <v>0</v>
      </c>
      <c r="P12" s="1">
        <f>SUMIFS('6.1'!$E$6:$E$74,Assets_PresHeader,$A12,Assets_BasisFunc,P$5)</f>
        <v>0</v>
      </c>
      <c r="Q12" s="1">
        <f>SUMIFS('6.1'!$E$6:$E$74,Assets_PresHeader,$A12,Assets_BasisFunc,Q$5)</f>
        <v>0</v>
      </c>
      <c r="R12" s="1">
        <f>SUM(B12:Q12)</f>
        <v>18277754.5</v>
      </c>
    </row>
    <row r="13" spans="1:18" x14ac:dyDescent="0.3">
      <c r="A13" s="4" t="s">
        <v>143</v>
      </c>
      <c r="B13" s="1">
        <f>SUMIFS('6.1'!$E$6:$E$74,Assets_PresHeader,$A13,Assets_BasisFunc,B$5)</f>
        <v>0</v>
      </c>
      <c r="C13" s="1">
        <f>SUMIFS('6.1'!$E$6:$E$74,Assets_PresHeader,$A13,Assets_BasisFunc,C$5)</f>
        <v>0</v>
      </c>
      <c r="D13" s="1">
        <f>SUMIFS('6.1'!$E$6:$E$74,Assets_PresHeader,$A13,Assets_BasisFunc,D$5)</f>
        <v>0</v>
      </c>
      <c r="E13" s="1">
        <f>SUMIFS('6.1'!$E$6:$E$74,Assets_PresHeader,$A13,Assets_BasisFunc,E$5)</f>
        <v>0</v>
      </c>
      <c r="F13" s="1">
        <f>SUMIFS('6.1'!$E$6:$E$74,Assets_PresHeader,$A13,Assets_BasisFunc,F$5)</f>
        <v>0</v>
      </c>
      <c r="G13" s="1">
        <f>SUMIFS('6.1'!$E$6:$E$74,Assets_PresHeader,$A13,Assets_BasisFunc,G$5)</f>
        <v>0</v>
      </c>
      <c r="H13" s="1">
        <f>SUMIFS('6.1'!$E$6:$E$74,Assets_PresHeader,$A13,Assets_BasisFunc,H$5)</f>
        <v>0</v>
      </c>
      <c r="I13" s="1">
        <f>SUMIFS('6.1'!$E$6:$E$74,Assets_PresHeader,$A13,Assets_BasisFunc,I$5)</f>
        <v>0</v>
      </c>
      <c r="J13" s="1">
        <f>SUMIFS('6.1'!$E$6:$E$74,Assets_PresHeader,$A13,Assets_BasisFunc,J$5)</f>
        <v>0</v>
      </c>
      <c r="K13" s="1">
        <f>SUMIFS('6.1'!$E$6:$E$74,Assets_PresHeader,$A13,Assets_BasisFunc,K$5)</f>
        <v>0</v>
      </c>
      <c r="L13" s="1">
        <f>SUMIFS('6.1'!$E$6:$E$74,Assets_PresHeader,$A13,Assets_BasisFunc,L$5)</f>
        <v>0</v>
      </c>
      <c r="M13" s="1">
        <f>SUMIFS('6.1'!$E$6:$E$74,Assets_PresHeader,$A13,Assets_BasisFunc,M$5)</f>
        <v>0</v>
      </c>
      <c r="N13" s="1">
        <f>SUMIFS('6.1'!$E$6:$E$74,Assets_PresHeader,$A13,Assets_BasisFunc,N$5)</f>
        <v>0</v>
      </c>
      <c r="O13" s="1">
        <f>SUMIFS('6.1'!$E$6:$E$74,Assets_PresHeader,$A13,Assets_BasisFunc,O$5)</f>
        <v>0</v>
      </c>
      <c r="P13" s="1">
        <f>SUMIFS('6.1'!$E$6:$E$74,Assets_PresHeader,$A13,Assets_BasisFunc,P$5)</f>
        <v>0</v>
      </c>
      <c r="Q13" s="1">
        <f>SUMIFS('6.1'!$E$6:$E$74,Assets_PresHeader,$A13,Assets_BasisFunc,Q$5)</f>
        <v>10623103</v>
      </c>
      <c r="R13" s="1">
        <f>SUM(B13:Q13)</f>
        <v>10623103</v>
      </c>
    </row>
    <row r="14" spans="1:18" x14ac:dyDescent="0.3">
      <c r="A14" s="4" t="s">
        <v>174</v>
      </c>
      <c r="B14" s="1">
        <f t="shared" ref="B14:Q14" si="0">SUBTOTAL(9,B8:B13)</f>
        <v>0</v>
      </c>
      <c r="C14" s="1">
        <f t="shared" si="0"/>
        <v>0</v>
      </c>
      <c r="D14" s="1">
        <f t="shared" si="0"/>
        <v>88797682.5</v>
      </c>
      <c r="E14" s="1">
        <f t="shared" si="0"/>
        <v>4834296</v>
      </c>
      <c r="F14" s="1">
        <f t="shared" si="0"/>
        <v>0</v>
      </c>
      <c r="G14" s="1">
        <f t="shared" si="0"/>
        <v>109702410</v>
      </c>
      <c r="H14" s="1">
        <f t="shared" si="0"/>
        <v>0</v>
      </c>
      <c r="I14" s="1">
        <f t="shared" si="0"/>
        <v>89590707</v>
      </c>
      <c r="J14" s="1">
        <f t="shared" si="0"/>
        <v>18277754.5</v>
      </c>
      <c r="K14" s="1">
        <f t="shared" si="0"/>
        <v>0</v>
      </c>
      <c r="L14" s="1">
        <f t="shared" si="0"/>
        <v>0</v>
      </c>
      <c r="M14" s="1">
        <f t="shared" si="0"/>
        <v>0</v>
      </c>
      <c r="N14" s="1">
        <f t="shared" si="0"/>
        <v>0</v>
      </c>
      <c r="O14" s="1">
        <f t="shared" si="0"/>
        <v>0</v>
      </c>
      <c r="P14" s="1">
        <f t="shared" si="0"/>
        <v>0</v>
      </c>
      <c r="Q14" s="1">
        <f t="shared" si="0"/>
        <v>10623103</v>
      </c>
      <c r="R14" s="1">
        <f>SUBTOTAL(9,R8:R13)</f>
        <v>321825953</v>
      </c>
    </row>
    <row r="15" spans="1:18" x14ac:dyDescent="0.3">
      <c r="A15" s="3" t="s">
        <v>175</v>
      </c>
      <c r="B15" s="1">
        <f>SUMIFS('6.1'!$E$6:$E$74,Assets_PresHeader,$A15,Assets_BasisFunc,B$5)</f>
        <v>0</v>
      </c>
      <c r="C15" s="1">
        <f>SUMIFS('6.1'!$E$6:$E$74,Assets_PresHeader,$A15,Assets_BasisFunc,C$5)</f>
        <v>0</v>
      </c>
      <c r="D15" s="1">
        <f>SUMIFS('6.1'!$E$6:$E$74,Assets_PresHeader,$A15,Assets_BasisFunc,D$5)</f>
        <v>0</v>
      </c>
      <c r="E15" s="1">
        <f>SUMIFS('6.1'!$E$6:$E$74,Assets_PresHeader,$A15,Assets_BasisFunc,E$5)</f>
        <v>0</v>
      </c>
      <c r="F15" s="1">
        <f>SUMIFS('6.1'!$E$6:$E$74,Assets_PresHeader,$A15,Assets_BasisFunc,F$5)</f>
        <v>0</v>
      </c>
      <c r="G15" s="1">
        <f>SUMIFS('6.1'!$E$6:$E$74,Assets_PresHeader,$A15,Assets_BasisFunc,G$5)</f>
        <v>0</v>
      </c>
      <c r="H15" s="1">
        <f>SUMIFS('6.1'!$E$6:$E$74,Assets_PresHeader,$A15,Assets_BasisFunc,H$5)</f>
        <v>0</v>
      </c>
      <c r="I15" s="1">
        <f>SUMIFS('6.1'!$E$6:$E$74,Assets_PresHeader,$A15,Assets_BasisFunc,I$5)</f>
        <v>0</v>
      </c>
      <c r="J15" s="1">
        <f>SUMIFS('6.1'!$E$6:$E$74,Assets_PresHeader,$A15,Assets_BasisFunc,J$5)</f>
        <v>0</v>
      </c>
      <c r="K15" s="1">
        <f>SUMIFS('6.1'!$E$6:$E$74,Assets_PresHeader,$A15,Assets_BasisFunc,K$5)</f>
        <v>0</v>
      </c>
      <c r="L15" s="1">
        <f>SUMIFS('6.1'!$E$6:$E$74,Assets_PresHeader,$A15,Assets_BasisFunc,L$5)</f>
        <v>0</v>
      </c>
      <c r="M15" s="1">
        <f>SUMIFS('6.1'!$E$6:$E$74,Assets_PresHeader,$A15,Assets_BasisFunc,M$5)</f>
        <v>0</v>
      </c>
      <c r="N15" s="1">
        <f>SUMIFS('6.1'!$E$6:$E$74,Assets_PresHeader,$A15,Assets_BasisFunc,N$5)</f>
        <v>0</v>
      </c>
      <c r="O15" s="1">
        <f>SUMIFS('6.1'!$E$6:$E$74,Assets_PresHeader,$A15,Assets_BasisFunc,O$5)</f>
        <v>0</v>
      </c>
      <c r="P15" s="1">
        <f>SUMIFS('6.1'!$E$6:$E$74,Assets_PresHeader,$A15,Assets_BasisFunc,P$5)</f>
        <v>0</v>
      </c>
      <c r="Q15" s="1">
        <f>SUMIFS('6.1'!$E$6:$E$74,Assets_PresHeader,$A15,Assets_BasisFunc,Q$5)</f>
        <v>0</v>
      </c>
      <c r="R15" s="1">
        <f>SUM(B15:Q15)</f>
        <v>0</v>
      </c>
    </row>
    <row r="16" spans="1:18" x14ac:dyDescent="0.3">
      <c r="A16" s="3" t="s">
        <v>213</v>
      </c>
      <c r="B16" s="1">
        <f t="shared" ref="B16:R16" si="1">SUBTOTAL(9,B6:B15)</f>
        <v>57956788</v>
      </c>
      <c r="C16" s="1">
        <f t="shared" si="1"/>
        <v>0</v>
      </c>
      <c r="D16" s="1">
        <f t="shared" si="1"/>
        <v>88797682.5</v>
      </c>
      <c r="E16" s="1">
        <f t="shared" si="1"/>
        <v>4834296</v>
      </c>
      <c r="F16" s="1">
        <f t="shared" si="1"/>
        <v>0</v>
      </c>
      <c r="G16" s="1">
        <f t="shared" si="1"/>
        <v>109702410</v>
      </c>
      <c r="H16" s="1">
        <f t="shared" si="1"/>
        <v>0</v>
      </c>
      <c r="I16" s="1">
        <f t="shared" si="1"/>
        <v>89590707</v>
      </c>
      <c r="J16" s="1">
        <f t="shared" si="1"/>
        <v>18277754.5</v>
      </c>
      <c r="K16" s="1">
        <f t="shared" si="1"/>
        <v>0</v>
      </c>
      <c r="L16" s="1">
        <f t="shared" si="1"/>
        <v>0</v>
      </c>
      <c r="M16" s="1">
        <f t="shared" si="1"/>
        <v>0</v>
      </c>
      <c r="N16" s="1">
        <f t="shared" si="1"/>
        <v>0</v>
      </c>
      <c r="O16" s="1">
        <f t="shared" si="1"/>
        <v>0</v>
      </c>
      <c r="P16" s="1">
        <f t="shared" si="1"/>
        <v>0</v>
      </c>
      <c r="Q16" s="1">
        <f t="shared" si="1"/>
        <v>10623103</v>
      </c>
      <c r="R16" s="1">
        <f t="shared" si="1"/>
        <v>379782741</v>
      </c>
    </row>
    <row r="17" spans="1:19" x14ac:dyDescent="0.3">
      <c r="A17" s="2" t="s">
        <v>186</v>
      </c>
    </row>
    <row r="18" spans="1:19" x14ac:dyDescent="0.3">
      <c r="A18" s="3" t="s">
        <v>238</v>
      </c>
      <c r="B18" s="1">
        <f>SUMIFS('6.2'!$F$30:$F$32,'6.2'!$G$30:$G$32,$A18,'6.2'!$H$30:$H$32,B$5)</f>
        <v>0</v>
      </c>
      <c r="C18" s="1">
        <f>SUMIFS('6.2'!$F$30:$F$32,'6.2'!$G$30:$G$32,$A18,'6.2'!$H$30:$H$32,C$5)</f>
        <v>0</v>
      </c>
      <c r="D18" s="1">
        <f>SUMIFS('6.2'!$F$30:$F$32,'6.2'!$G$30:$G$32,$A18,'6.2'!$H$30:$H$32,D$5)</f>
        <v>4543167.5</v>
      </c>
      <c r="E18" s="1">
        <f>SUMIFS('6.2'!$F$30:$F$32,'6.2'!$G$30:$G$32,$A18,'6.2'!$H$30:$H$32,E$5)</f>
        <v>0</v>
      </c>
      <c r="F18" s="1">
        <f>SUMIFS('6.2'!$F$30:$F$32,'6.2'!$G$30:$G$32,$A18,'6.2'!$H$30:$H$32,F$5)</f>
        <v>0</v>
      </c>
      <c r="G18" s="1">
        <f>SUMIFS('6.2'!$F$30:$F$32,'6.2'!$G$30:$G$32,$A18,'6.2'!$H$30:$H$32,G$5)</f>
        <v>0</v>
      </c>
      <c r="H18" s="1">
        <f>SUMIFS('6.2'!$F$30:$F$32,'6.2'!$G$30:$G$32,$A18,'6.2'!$H$30:$H$32,H$5)</f>
        <v>0</v>
      </c>
      <c r="I18" s="1">
        <f>SUMIFS('6.2'!$F$30:$F$32,'6.2'!$G$30:$G$32,$A18,'6.2'!$H$30:$H$32,I$5)</f>
        <v>0</v>
      </c>
      <c r="J18" s="1">
        <f>SUMIFS('6.2'!$F$30:$F$32,'6.2'!$G$30:$G$32,$A18,'6.2'!$H$30:$H$32,J$5)</f>
        <v>0</v>
      </c>
      <c r="K18" s="1">
        <f>SUMIFS('6.2'!$F$30:$F$32,'6.2'!$G$30:$G$32,$A18,'6.2'!$H$30:$H$32,K$5)</f>
        <v>0</v>
      </c>
      <c r="L18" s="1">
        <f>SUMIFS('6.2'!$F$30:$F$32,'6.2'!$G$30:$G$32,$A18,'6.2'!$H$30:$H$32,L$5)</f>
        <v>0</v>
      </c>
      <c r="M18" s="1">
        <f>SUMIFS('6.2'!$F$30:$F$32,'6.2'!$G$30:$G$32,$A18,'6.2'!$H$30:$H$32,M$5)</f>
        <v>0</v>
      </c>
      <c r="N18" s="1">
        <f>SUMIFS('6.2'!$F$30:$F$32,'6.2'!$G$30:$G$32,$A18,'6.2'!$H$30:$H$32,N$5)</f>
        <v>0</v>
      </c>
      <c r="O18" s="1">
        <f>SUMIFS('6.2'!$F$30:$F$32,'6.2'!$G$30:$G$32,$A18,'6.2'!$H$30:$H$32,O$5)</f>
        <v>0</v>
      </c>
      <c r="P18" s="1">
        <f>SUMIFS('6.2'!$F$30:$F$32,'6.2'!$G$30:$G$32,$A18,'6.2'!$H$30:$H$32,P$5)</f>
        <v>0</v>
      </c>
      <c r="Q18" s="1">
        <f>SUMIFS('6.2'!$F$30:$F$32,'6.2'!$G$30:$G$32,$A18,'6.2'!$H$30:$H$32,Q$5)</f>
        <v>0</v>
      </c>
      <c r="R18" s="1">
        <f>SUM(B18:Q18)</f>
        <v>4543167.5</v>
      </c>
    </row>
    <row r="19" spans="1:19" x14ac:dyDescent="0.3">
      <c r="A19" s="3" t="s">
        <v>239</v>
      </c>
      <c r="B19" s="1">
        <f>SUMIFS('6.2'!$F$30:$F$32,'6.2'!$G$30:$G$32,$A19,'6.2'!$H$30:$H$32,B$5)</f>
        <v>0</v>
      </c>
      <c r="C19" s="1">
        <f>SUMIFS('6.2'!$F$30:$F$32,'6.2'!$G$30:$G$32,$A19,'6.2'!$H$30:$H$32,C$5)</f>
        <v>0</v>
      </c>
      <c r="D19" s="1">
        <f>SUMIFS('6.2'!$F$30:$F$32,'6.2'!$G$30:$G$32,$A19,'6.2'!$H$30:$H$32,D$5)</f>
        <v>0</v>
      </c>
      <c r="E19" s="1">
        <f>SUMIFS('6.2'!$F$30:$F$32,'6.2'!$G$30:$G$32,$A19,'6.2'!$H$30:$H$32,E$5)</f>
        <v>0</v>
      </c>
      <c r="F19" s="1">
        <f>SUMIFS('6.2'!$F$30:$F$32,'6.2'!$G$30:$G$32,$A19,'6.2'!$H$30:$H$32,F$5)</f>
        <v>0</v>
      </c>
      <c r="G19" s="1">
        <f>SUMIFS('6.2'!$F$30:$F$32,'6.2'!$G$30:$G$32,$A19,'6.2'!$H$30:$H$32,G$5)</f>
        <v>0</v>
      </c>
      <c r="H19" s="1">
        <f>SUMIFS('6.2'!$F$30:$F$32,'6.2'!$G$30:$G$32,$A19,'6.2'!$H$30:$H$32,H$5)</f>
        <v>0</v>
      </c>
      <c r="I19" s="1">
        <f>SUMIFS('6.2'!$F$30:$F$32,'6.2'!$G$30:$G$32,$A19,'6.2'!$H$30:$H$32,I$5)</f>
        <v>0</v>
      </c>
      <c r="J19" s="1">
        <f>SUMIFS('6.2'!$F$30:$F$32,'6.2'!$G$30:$G$32,$A19,'6.2'!$H$30:$H$32,J$5)</f>
        <v>0</v>
      </c>
      <c r="K19" s="1">
        <f>SUMIFS('6.2'!$F$30:$F$32,'6.2'!$G$30:$G$32,$A19,'6.2'!$H$30:$H$32,K$5)</f>
        <v>0</v>
      </c>
      <c r="L19" s="1">
        <f>SUMIFS('6.2'!$F$30:$F$32,'6.2'!$G$30:$G$32,$A19,'6.2'!$H$30:$H$32,L$5)</f>
        <v>0</v>
      </c>
      <c r="M19" s="1">
        <f>SUMIFS('6.2'!$F$30:$F$32,'6.2'!$G$30:$G$32,$A19,'6.2'!$H$30:$H$32,M$5)</f>
        <v>0</v>
      </c>
      <c r="N19" s="1">
        <f>SUMIFS('6.2'!$F$30:$F$32,'6.2'!$G$30:$G$32,$A19,'6.2'!$H$30:$H$32,N$5)</f>
        <v>0</v>
      </c>
      <c r="O19" s="1">
        <f>SUMIFS('6.2'!$F$30:$F$32,'6.2'!$G$30:$G$32,$A19,'6.2'!$H$30:$H$32,O$5)</f>
        <v>0</v>
      </c>
      <c r="P19" s="1">
        <f>SUMIFS('6.2'!$F$30:$F$32,'6.2'!$G$30:$G$32,$A19,'6.2'!$H$30:$H$32,P$5)</f>
        <v>0</v>
      </c>
      <c r="Q19" s="1">
        <f>SUMIFS('6.2'!$F$30:$F$32,'6.2'!$G$30:$G$32,$A19,'6.2'!$H$30:$H$32,Q$5)</f>
        <v>0</v>
      </c>
      <c r="R19" s="1">
        <f>SUM(B19:Q19)</f>
        <v>0</v>
      </c>
    </row>
    <row r="20" spans="1:19" x14ac:dyDescent="0.3">
      <c r="A20" s="3" t="s">
        <v>187</v>
      </c>
      <c r="B20" s="1">
        <f t="shared" ref="B20:R20" si="2">SUBTOTAL(9,B18:B19)</f>
        <v>0</v>
      </c>
      <c r="C20" s="1">
        <f t="shared" si="2"/>
        <v>0</v>
      </c>
      <c r="D20" s="1">
        <f t="shared" si="2"/>
        <v>4543167.5</v>
      </c>
      <c r="E20" s="1">
        <f t="shared" si="2"/>
        <v>0</v>
      </c>
      <c r="F20" s="1">
        <f t="shared" si="2"/>
        <v>0</v>
      </c>
      <c r="G20" s="1">
        <f t="shared" si="2"/>
        <v>0</v>
      </c>
      <c r="H20" s="1">
        <f t="shared" si="2"/>
        <v>0</v>
      </c>
      <c r="I20" s="1">
        <f t="shared" si="2"/>
        <v>0</v>
      </c>
      <c r="J20" s="1">
        <f t="shared" si="2"/>
        <v>0</v>
      </c>
      <c r="K20" s="1">
        <f t="shared" si="2"/>
        <v>0</v>
      </c>
      <c r="L20" s="1">
        <f t="shared" si="2"/>
        <v>0</v>
      </c>
      <c r="M20" s="1">
        <f t="shared" si="2"/>
        <v>0</v>
      </c>
      <c r="N20" s="1">
        <f t="shared" si="2"/>
        <v>0</v>
      </c>
      <c r="O20" s="1">
        <f t="shared" si="2"/>
        <v>0</v>
      </c>
      <c r="P20" s="1">
        <f t="shared" si="2"/>
        <v>0</v>
      </c>
      <c r="Q20" s="1">
        <f t="shared" si="2"/>
        <v>0</v>
      </c>
      <c r="R20" s="1">
        <f t="shared" si="2"/>
        <v>4543167.5</v>
      </c>
    </row>
    <row r="21" spans="1:19" x14ac:dyDescent="0.3">
      <c r="A21" s="2" t="s">
        <v>214</v>
      </c>
      <c r="B21" s="1">
        <f>SUBTOTAL(9,B6:B20)</f>
        <v>57956788</v>
      </c>
      <c r="C21" s="1">
        <f>SUBTOTAL(9,C6:C20)</f>
        <v>0</v>
      </c>
      <c r="D21" s="1">
        <f>SUBTOTAL(9,D6:D20)</f>
        <v>93340850</v>
      </c>
      <c r="E21" s="1">
        <f>SUBTOTAL(9,E6:E20)</f>
        <v>4834296</v>
      </c>
      <c r="F21" s="1">
        <f>SUBTOTAL(9,F6:F20)</f>
        <v>0</v>
      </c>
      <c r="G21" s="1">
        <f>SUBTOTAL(9,G6:G20)</f>
        <v>109702410</v>
      </c>
      <c r="H21" s="1">
        <f>SUBTOTAL(9,H6:H20)</f>
        <v>0</v>
      </c>
      <c r="I21" s="1">
        <f>SUBTOTAL(9,I6:I20)</f>
        <v>89590707</v>
      </c>
      <c r="J21" s="1">
        <f>SUBTOTAL(9,J6:J20)</f>
        <v>18277754.5</v>
      </c>
      <c r="K21" s="1">
        <f>SUBTOTAL(9,K6:K20)</f>
        <v>0</v>
      </c>
      <c r="L21" s="1">
        <f>SUBTOTAL(9,L6:L20)</f>
        <v>0</v>
      </c>
      <c r="M21" s="1">
        <f>SUBTOTAL(9,M6:M20)</f>
        <v>0</v>
      </c>
      <c r="N21" s="1">
        <f>SUBTOTAL(9,N6:N20)</f>
        <v>0</v>
      </c>
      <c r="O21" s="1">
        <f>SUBTOTAL(9,O6:O20)</f>
        <v>0</v>
      </c>
      <c r="P21" s="1">
        <f>SUBTOTAL(9,P6:P20)</f>
        <v>0</v>
      </c>
      <c r="Q21" s="1">
        <f>SUBTOTAL(9,Q6:Q20)</f>
        <v>10623103</v>
      </c>
      <c r="R21" s="1">
        <f>SUBTOTAL(9,R6:R20)</f>
        <v>384325908.5</v>
      </c>
      <c r="S21" s="49">
        <f>R21/R128</f>
        <v>0.49319770185856704</v>
      </c>
    </row>
    <row r="23" spans="1:19" s="5" customFormat="1" x14ac:dyDescent="0.3">
      <c r="A23" s="5" t="s">
        <v>225</v>
      </c>
      <c r="B23" s="5" t="s">
        <v>226</v>
      </c>
      <c r="F23" s="5" t="s">
        <v>227</v>
      </c>
      <c r="G23" s="5" t="s">
        <v>228</v>
      </c>
    </row>
    <row r="24" spans="1:19" s="9" customFormat="1" ht="54" x14ac:dyDescent="0.25">
      <c r="B24" s="17" t="str">
        <f t="array" ref="B24:J24">TRANSPOSE(A44:A52)</f>
        <v>Substations 1841 Account</v>
      </c>
      <c r="C24" s="17" t="str">
        <v>ECC</v>
      </c>
      <c r="D24" s="17" t="str">
        <v>SCADA</v>
      </c>
      <c r="E24" s="17" t="str">
        <v>Primary &amp; Secondary</v>
      </c>
      <c r="F24" s="17" t="str">
        <v>Distribution Facilities</v>
      </c>
      <c r="G24" s="17" t="str">
        <v>Distribution Network</v>
      </c>
      <c r="H24" s="17" t="str">
        <v>Transportation</v>
      </c>
      <c r="I24" s="17" t="str">
        <v>Labour</v>
      </c>
      <c r="J24" s="17" t="str">
        <v>Head Office</v>
      </c>
      <c r="K24" s="17"/>
      <c r="L24" s="17"/>
      <c r="M24" s="17"/>
      <c r="N24" s="17"/>
      <c r="O24" s="17"/>
      <c r="P24" s="17"/>
      <c r="Q24" s="17"/>
      <c r="R24" s="17" t="s">
        <v>214</v>
      </c>
    </row>
    <row r="25" spans="1:19" x14ac:dyDescent="0.3">
      <c r="A25" s="1" t="s">
        <v>129</v>
      </c>
    </row>
    <row r="26" spans="1:19" x14ac:dyDescent="0.3">
      <c r="A26" s="3" t="s">
        <v>172</v>
      </c>
      <c r="B26" s="1">
        <f>SUMIFS('6.1'!$E$6:$E$74,Assets_PresHeader,$A26,Assets_BasisFunc,B$24)</f>
        <v>0</v>
      </c>
      <c r="C26" s="1">
        <f>SUMIFS('6.1'!$E$6:$E$74,Assets_PresHeader,$A26,Assets_BasisFunc,C$24)</f>
        <v>0</v>
      </c>
      <c r="D26" s="1">
        <f>SUMIFS('6.1'!$E$6:$E$74,Assets_PresHeader,$A26,Assets_BasisFunc,D$24)</f>
        <v>0</v>
      </c>
      <c r="E26" s="1">
        <f>SUMIFS('6.1'!$E$6:$E$74,Assets_PresHeader,$A26,Assets_BasisFunc,E$24)</f>
        <v>0</v>
      </c>
      <c r="F26" s="1">
        <f>SUMIFS('6.1'!$E$6:$E$74,Assets_PresHeader,$A26,Assets_BasisFunc,F$24)</f>
        <v>0</v>
      </c>
      <c r="G26" s="1">
        <f>SUMIFS('6.1'!$E$6:$E$74,Assets_PresHeader,$A26,Assets_BasisFunc,G$24)</f>
        <v>0</v>
      </c>
      <c r="H26" s="1">
        <f>SUMIFS('6.1'!$E$6:$E$74,Assets_PresHeader,$A26,Assets_BasisFunc,H$24)</f>
        <v>0</v>
      </c>
      <c r="I26" s="1">
        <f>SUMIFS('6.1'!$E$6:$E$74,Assets_PresHeader,$A26,Assets_BasisFunc,I$24)</f>
        <v>0</v>
      </c>
      <c r="J26" s="1">
        <f>SUMIFS('6.1'!$E$6:$E$74,Assets_PresHeader,$A26,Assets_BasisFunc,J$24)</f>
        <v>0</v>
      </c>
      <c r="K26" s="1">
        <f>SUMIFS('6.1'!$E$6:$E$74,Assets_PresHeader,$A26,Assets_BasisFunc,K$24)</f>
        <v>0</v>
      </c>
      <c r="L26" s="1">
        <f>SUMIFS('6.1'!$E$6:$E$74,Assets_PresHeader,$A26,Assets_BasisFunc,L$24)</f>
        <v>0</v>
      </c>
      <c r="M26" s="1">
        <f>SUMIFS('6.1'!$E$6:$E$74,Assets_PresHeader,$A26,Assets_BasisFunc,M$24)</f>
        <v>0</v>
      </c>
      <c r="N26" s="1">
        <f>SUMIFS('6.1'!$E$6:$E$74,Assets_PresHeader,$A26,Assets_BasisFunc,N$24)</f>
        <v>0</v>
      </c>
      <c r="O26" s="1">
        <f>SUMIFS('6.1'!$E$6:$E$74,Assets_PresHeader,$A26,Assets_BasisFunc,O$24)</f>
        <v>0</v>
      </c>
      <c r="P26" s="1">
        <f>SUMIFS('6.1'!$E$6:$E$74,Assets_PresHeader,$A26,Assets_BasisFunc,P$24)</f>
        <v>0</v>
      </c>
      <c r="Q26" s="1">
        <f>SUMIFS('6.1'!$E$6:$E$74,Assets_PresHeader,$A26,Assets_BasisFunc,Q$24)</f>
        <v>0</v>
      </c>
      <c r="R26" s="1">
        <f>SUM(B26:Q26)</f>
        <v>0</v>
      </c>
    </row>
    <row r="27" spans="1:19" x14ac:dyDescent="0.3">
      <c r="A27" s="3" t="s">
        <v>173</v>
      </c>
    </row>
    <row r="28" spans="1:19" x14ac:dyDescent="0.3">
      <c r="A28" s="4" t="s">
        <v>13</v>
      </c>
      <c r="B28" s="1">
        <f>SUMIFS('6.1'!$E$6:$E$74,Assets_PresHeader,$A28,Assets_BasisFunc,B$24)</f>
        <v>85394275.5</v>
      </c>
      <c r="C28" s="1">
        <f>SUMIFS('6.1'!$E$6:$E$74,Assets_PresHeader,$A28,Assets_BasisFunc,C$24)</f>
        <v>0</v>
      </c>
      <c r="D28" s="1">
        <f>SUMIFS('6.1'!$E$6:$E$74,Assets_PresHeader,$A28,Assets_BasisFunc,D$24)</f>
        <v>0</v>
      </c>
      <c r="E28" s="1">
        <f>SUMIFS('6.1'!$E$6:$E$74,Assets_PresHeader,$A28,Assets_BasisFunc,E$24)</f>
        <v>0</v>
      </c>
      <c r="F28" s="1">
        <f>SUMIFS('6.1'!$E$6:$E$74,Assets_PresHeader,$A28,Assets_BasisFunc,F$24)</f>
        <v>0</v>
      </c>
      <c r="G28" s="1">
        <f>SUMIFS('6.1'!$E$6:$E$74,Assets_PresHeader,$A28,Assets_BasisFunc,G$24)</f>
        <v>0</v>
      </c>
      <c r="H28" s="1">
        <f>SUMIFS('6.1'!$E$6:$E$74,Assets_PresHeader,$A28,Assets_BasisFunc,H$24)</f>
        <v>0</v>
      </c>
      <c r="I28" s="1">
        <f>SUMIFS('6.1'!$E$6:$E$74,Assets_PresHeader,$A28,Assets_BasisFunc,I$24)</f>
        <v>0</v>
      </c>
      <c r="J28" s="1">
        <f>SUMIFS('6.1'!$E$6:$E$74,Assets_PresHeader,$A28,Assets_BasisFunc,J$24)</f>
        <v>0</v>
      </c>
      <c r="K28" s="1">
        <f>SUMIFS('6.1'!$E$6:$E$74,Assets_PresHeader,$A28,Assets_BasisFunc,K$24)</f>
        <v>0</v>
      </c>
      <c r="L28" s="1">
        <f>SUMIFS('6.1'!$E$6:$E$74,Assets_PresHeader,$A28,Assets_BasisFunc,L$24)</f>
        <v>0</v>
      </c>
      <c r="M28" s="1">
        <f>SUMIFS('6.1'!$E$6:$E$74,Assets_PresHeader,$A28,Assets_BasisFunc,M$24)</f>
        <v>0</v>
      </c>
      <c r="N28" s="1">
        <f>SUMIFS('6.1'!$E$6:$E$74,Assets_PresHeader,$A28,Assets_BasisFunc,N$24)</f>
        <v>0</v>
      </c>
      <c r="O28" s="1">
        <f>SUMIFS('6.1'!$E$6:$E$74,Assets_PresHeader,$A28,Assets_BasisFunc,O$24)</f>
        <v>0</v>
      </c>
      <c r="P28" s="1">
        <f>SUMIFS('6.1'!$E$6:$E$74,Assets_PresHeader,$A28,Assets_BasisFunc,P$24)</f>
        <v>0</v>
      </c>
      <c r="Q28" s="1">
        <f>SUMIFS('6.1'!$E$6:$E$74,Assets_PresHeader,$A28,Assets_BasisFunc,Q$24)</f>
        <v>0</v>
      </c>
      <c r="R28" s="1">
        <f>SUM(B28:Q28)</f>
        <v>85394275.5</v>
      </c>
    </row>
    <row r="29" spans="1:19" x14ac:dyDescent="0.3">
      <c r="A29" s="4" t="s">
        <v>140</v>
      </c>
      <c r="B29" s="1">
        <f>SUMIFS('6.1'!$E$6:$E$74,Assets_PresHeader,$A29,Assets_BasisFunc,B$24)</f>
        <v>0</v>
      </c>
      <c r="C29" s="1">
        <f>SUMIFS('6.1'!$E$6:$E$74,Assets_PresHeader,$A29,Assets_BasisFunc,C$24)</f>
        <v>0</v>
      </c>
      <c r="D29" s="1">
        <f>SUMIFS('6.1'!$E$6:$E$74,Assets_PresHeader,$A29,Assets_BasisFunc,D$24)</f>
        <v>0</v>
      </c>
      <c r="E29" s="1">
        <f>SUMIFS('6.1'!$E$6:$E$74,Assets_PresHeader,$A29,Assets_BasisFunc,E$24)</f>
        <v>235466122.5</v>
      </c>
      <c r="F29" s="1">
        <f>SUMIFS('6.1'!$E$6:$E$74,Assets_PresHeader,$A29,Assets_BasisFunc,F$24)</f>
        <v>0</v>
      </c>
      <c r="G29" s="1">
        <f>SUMIFS('6.1'!$E$6:$E$74,Assets_PresHeader,$A29,Assets_BasisFunc,G$24)</f>
        <v>7176064.7699999996</v>
      </c>
      <c r="H29" s="1">
        <f>SUMIFS('6.1'!$E$6:$E$74,Assets_PresHeader,$A29,Assets_BasisFunc,H$24)</f>
        <v>0</v>
      </c>
      <c r="I29" s="1">
        <f>SUMIFS('6.1'!$E$6:$E$74,Assets_PresHeader,$A29,Assets_BasisFunc,I$24)</f>
        <v>0</v>
      </c>
      <c r="J29" s="1">
        <f>SUMIFS('6.1'!$E$6:$E$74,Assets_PresHeader,$A29,Assets_BasisFunc,J$24)</f>
        <v>0</v>
      </c>
      <c r="K29" s="1">
        <f>SUMIFS('6.1'!$E$6:$E$74,Assets_PresHeader,$A29,Assets_BasisFunc,K$24)</f>
        <v>0</v>
      </c>
      <c r="L29" s="1">
        <f>SUMIFS('6.1'!$E$6:$E$74,Assets_PresHeader,$A29,Assets_BasisFunc,L$24)</f>
        <v>0</v>
      </c>
      <c r="M29" s="1">
        <f>SUMIFS('6.1'!$E$6:$E$74,Assets_PresHeader,$A29,Assets_BasisFunc,M$24)</f>
        <v>0</v>
      </c>
      <c r="N29" s="1">
        <f>SUMIFS('6.1'!$E$6:$E$74,Assets_PresHeader,$A29,Assets_BasisFunc,N$24)</f>
        <v>0</v>
      </c>
      <c r="O29" s="1">
        <f>SUMIFS('6.1'!$E$6:$E$74,Assets_PresHeader,$A29,Assets_BasisFunc,O$24)</f>
        <v>0</v>
      </c>
      <c r="P29" s="1">
        <f>SUMIFS('6.1'!$E$6:$E$74,Assets_PresHeader,$A29,Assets_BasisFunc,P$24)</f>
        <v>0</v>
      </c>
      <c r="Q29" s="1">
        <f>SUMIFS('6.1'!$E$6:$E$74,Assets_PresHeader,$A29,Assets_BasisFunc,Q$24)</f>
        <v>0</v>
      </c>
      <c r="R29" s="1">
        <f>SUM(B29:Q29)</f>
        <v>242642187.27000001</v>
      </c>
    </row>
    <row r="30" spans="1:19" x14ac:dyDescent="0.3">
      <c r="A30" s="4" t="s">
        <v>141</v>
      </c>
      <c r="B30" s="1">
        <f>SUMIFS('6.1'!$E$6:$E$74,Assets_PresHeader,$A30,Assets_BasisFunc,B$24)</f>
        <v>0</v>
      </c>
      <c r="C30" s="1">
        <f>SUMIFS('6.1'!$E$6:$E$74,Assets_PresHeader,$A30,Assets_BasisFunc,C$24)</f>
        <v>0</v>
      </c>
      <c r="D30" s="1">
        <f>SUMIFS('6.1'!$E$6:$E$74,Assets_PresHeader,$A30,Assets_BasisFunc,D$24)</f>
        <v>17352768</v>
      </c>
      <c r="E30" s="1">
        <f>SUMIFS('6.1'!$E$6:$E$74,Assets_PresHeader,$A30,Assets_BasisFunc,E$24)</f>
        <v>0</v>
      </c>
      <c r="F30" s="1">
        <f>SUMIFS('6.1'!$E$6:$E$74,Assets_PresHeader,$A30,Assets_BasisFunc,F$24)</f>
        <v>0</v>
      </c>
      <c r="G30" s="1">
        <f>SUMIFS('6.1'!$E$6:$E$74,Assets_PresHeader,$A30,Assets_BasisFunc,G$24)</f>
        <v>0</v>
      </c>
      <c r="H30" s="1">
        <f>SUMIFS('6.1'!$E$6:$E$74,Assets_PresHeader,$A30,Assets_BasisFunc,H$24)</f>
        <v>0</v>
      </c>
      <c r="I30" s="1">
        <f>SUMIFS('6.1'!$E$6:$E$74,Assets_PresHeader,$A30,Assets_BasisFunc,I$24)</f>
        <v>0</v>
      </c>
      <c r="J30" s="1">
        <f>SUMIFS('6.1'!$E$6:$E$74,Assets_PresHeader,$A30,Assets_BasisFunc,J$24)</f>
        <v>0</v>
      </c>
      <c r="K30" s="1">
        <f>SUMIFS('6.1'!$E$6:$E$74,Assets_PresHeader,$A30,Assets_BasisFunc,K$24)</f>
        <v>0</v>
      </c>
      <c r="L30" s="1">
        <f>SUMIFS('6.1'!$E$6:$E$74,Assets_PresHeader,$A30,Assets_BasisFunc,L$24)</f>
        <v>0</v>
      </c>
      <c r="M30" s="1">
        <f>SUMIFS('6.1'!$E$6:$E$74,Assets_PresHeader,$A30,Assets_BasisFunc,M$24)</f>
        <v>0</v>
      </c>
      <c r="N30" s="1">
        <f>SUMIFS('6.1'!$E$6:$E$74,Assets_PresHeader,$A30,Assets_BasisFunc,N$24)</f>
        <v>0</v>
      </c>
      <c r="O30" s="1">
        <f>SUMIFS('6.1'!$E$6:$E$74,Assets_PresHeader,$A30,Assets_BasisFunc,O$24)</f>
        <v>0</v>
      </c>
      <c r="P30" s="1">
        <f>SUMIFS('6.1'!$E$6:$E$74,Assets_PresHeader,$A30,Assets_BasisFunc,P$24)</f>
        <v>0</v>
      </c>
      <c r="Q30" s="1">
        <f>SUMIFS('6.1'!$E$6:$E$74,Assets_PresHeader,$A30,Assets_BasisFunc,Q$24)</f>
        <v>0</v>
      </c>
      <c r="R30" s="1">
        <f>SUM(B30:Q30)</f>
        <v>17352768</v>
      </c>
    </row>
    <row r="31" spans="1:19" x14ac:dyDescent="0.3">
      <c r="A31" s="4" t="s">
        <v>142</v>
      </c>
      <c r="B31" s="1">
        <f>SUMIFS('6.1'!$E$6:$E$74,Assets_PresHeader,$A31,Assets_BasisFunc,B$24)</f>
        <v>0</v>
      </c>
      <c r="C31" s="1">
        <f>SUMIFS('6.1'!$E$6:$E$74,Assets_PresHeader,$A31,Assets_BasisFunc,C$24)</f>
        <v>0</v>
      </c>
      <c r="D31" s="1">
        <f>SUMIFS('6.1'!$E$6:$E$74,Assets_PresHeader,$A31,Assets_BasisFunc,D$24)</f>
        <v>0</v>
      </c>
      <c r="E31" s="1">
        <f>SUMIFS('6.1'!$E$6:$E$74,Assets_PresHeader,$A31,Assets_BasisFunc,E$24)</f>
        <v>0</v>
      </c>
      <c r="F31" s="1">
        <f>SUMIFS('6.1'!$E$6:$E$74,Assets_PresHeader,$A31,Assets_BasisFunc,F$24)</f>
        <v>0</v>
      </c>
      <c r="G31" s="1">
        <f>SUMIFS('6.1'!$E$6:$E$74,Assets_PresHeader,$A31,Assets_BasisFunc,G$24)</f>
        <v>0</v>
      </c>
      <c r="H31" s="1">
        <f>SUMIFS('6.1'!$E$6:$E$74,Assets_PresHeader,$A31,Assets_BasisFunc,H$24)</f>
        <v>0</v>
      </c>
      <c r="I31" s="1">
        <f>SUMIFS('6.1'!$E$6:$E$74,Assets_PresHeader,$A31,Assets_BasisFunc,I$24)</f>
        <v>0</v>
      </c>
      <c r="J31" s="1">
        <f>SUMIFS('6.1'!$E$6:$E$74,Assets_PresHeader,$A31,Assets_BasisFunc,J$24)</f>
        <v>0</v>
      </c>
      <c r="K31" s="1">
        <f>SUMIFS('6.1'!$E$6:$E$74,Assets_PresHeader,$A31,Assets_BasisFunc,K$24)</f>
        <v>0</v>
      </c>
      <c r="L31" s="1">
        <f>SUMIFS('6.1'!$E$6:$E$74,Assets_PresHeader,$A31,Assets_BasisFunc,L$24)</f>
        <v>0</v>
      </c>
      <c r="M31" s="1">
        <f>SUMIFS('6.1'!$E$6:$E$74,Assets_PresHeader,$A31,Assets_BasisFunc,M$24)</f>
        <v>0</v>
      </c>
      <c r="N31" s="1">
        <f>SUMIFS('6.1'!$E$6:$E$74,Assets_PresHeader,$A31,Assets_BasisFunc,N$24)</f>
        <v>0</v>
      </c>
      <c r="O31" s="1">
        <f>SUMIFS('6.1'!$E$6:$E$74,Assets_PresHeader,$A31,Assets_BasisFunc,O$24)</f>
        <v>0</v>
      </c>
      <c r="P31" s="1">
        <f>SUMIFS('6.1'!$E$6:$E$74,Assets_PresHeader,$A31,Assets_BasisFunc,P$24)</f>
        <v>0</v>
      </c>
      <c r="Q31" s="1">
        <f>SUMIFS('6.1'!$E$6:$E$74,Assets_PresHeader,$A31,Assets_BasisFunc,Q$24)</f>
        <v>0</v>
      </c>
      <c r="R31" s="1">
        <f>SUM(B31:Q31)</f>
        <v>0</v>
      </c>
    </row>
    <row r="32" spans="1:19" x14ac:dyDescent="0.3">
      <c r="A32" s="4" t="s">
        <v>143</v>
      </c>
      <c r="B32" s="1">
        <f>SUMIFS('6.1'!$E$6:$E$74,Assets_PresHeader,$A32,Assets_BasisFunc,B$24)</f>
        <v>0</v>
      </c>
      <c r="C32" s="1">
        <f>SUMIFS('6.1'!$E$6:$E$74,Assets_PresHeader,$A32,Assets_BasisFunc,C$24)</f>
        <v>0</v>
      </c>
      <c r="D32" s="1">
        <f>SUMIFS('6.1'!$E$6:$E$74,Assets_PresHeader,$A32,Assets_BasisFunc,D$24)</f>
        <v>0</v>
      </c>
      <c r="E32" s="1">
        <f>SUMIFS('6.1'!$E$6:$E$74,Assets_PresHeader,$A32,Assets_BasisFunc,E$24)</f>
        <v>0</v>
      </c>
      <c r="F32" s="1">
        <f>SUMIFS('6.1'!$E$6:$E$74,Assets_PresHeader,$A32,Assets_BasisFunc,F$24)</f>
        <v>0</v>
      </c>
      <c r="G32" s="1">
        <f>SUMIFS('6.1'!$E$6:$E$74,Assets_PresHeader,$A32,Assets_BasisFunc,G$24)</f>
        <v>0</v>
      </c>
      <c r="H32" s="1">
        <f>SUMIFS('6.1'!$E$6:$E$74,Assets_PresHeader,$A32,Assets_BasisFunc,H$24)</f>
        <v>0</v>
      </c>
      <c r="I32" s="1">
        <f>SUMIFS('6.1'!$E$6:$E$74,Assets_PresHeader,$A32,Assets_BasisFunc,I$24)</f>
        <v>0</v>
      </c>
      <c r="J32" s="1">
        <f>SUMIFS('6.1'!$E$6:$E$74,Assets_PresHeader,$A32,Assets_BasisFunc,J$24)</f>
        <v>0</v>
      </c>
      <c r="K32" s="1">
        <f>SUMIFS('6.1'!$E$6:$E$74,Assets_PresHeader,$A32,Assets_BasisFunc,K$24)</f>
        <v>0</v>
      </c>
      <c r="L32" s="1">
        <f>SUMIFS('6.1'!$E$6:$E$74,Assets_PresHeader,$A32,Assets_BasisFunc,L$24)</f>
        <v>0</v>
      </c>
      <c r="M32" s="1">
        <f>SUMIFS('6.1'!$E$6:$E$74,Assets_PresHeader,$A32,Assets_BasisFunc,M$24)</f>
        <v>0</v>
      </c>
      <c r="N32" s="1">
        <f>SUMIFS('6.1'!$E$6:$E$74,Assets_PresHeader,$A32,Assets_BasisFunc,N$24)</f>
        <v>0</v>
      </c>
      <c r="O32" s="1">
        <f>SUMIFS('6.1'!$E$6:$E$74,Assets_PresHeader,$A32,Assets_BasisFunc,O$24)</f>
        <v>0</v>
      </c>
      <c r="P32" s="1">
        <f>SUMIFS('6.1'!$E$6:$E$74,Assets_PresHeader,$A32,Assets_BasisFunc,P$24)</f>
        <v>0</v>
      </c>
      <c r="Q32" s="1">
        <f>SUMIFS('6.1'!$E$6:$E$74,Assets_PresHeader,$A32,Assets_BasisFunc,Q$24)</f>
        <v>0</v>
      </c>
      <c r="R32" s="1">
        <f>SUM(B32:Q32)</f>
        <v>0</v>
      </c>
    </row>
    <row r="33" spans="1:18" x14ac:dyDescent="0.3">
      <c r="A33" s="4" t="s">
        <v>174</v>
      </c>
      <c r="B33" s="1">
        <f t="shared" ref="B33:R33" si="3">SUBTOTAL(9,B27:B32)</f>
        <v>85394275.5</v>
      </c>
      <c r="C33" s="1">
        <f t="shared" si="3"/>
        <v>0</v>
      </c>
      <c r="D33" s="1">
        <f t="shared" si="3"/>
        <v>17352768</v>
      </c>
      <c r="E33" s="1">
        <f t="shared" si="3"/>
        <v>235466122.5</v>
      </c>
      <c r="F33" s="1">
        <f t="shared" si="3"/>
        <v>0</v>
      </c>
      <c r="G33" s="1">
        <f t="shared" si="3"/>
        <v>7176064.7699999996</v>
      </c>
      <c r="H33" s="1">
        <f t="shared" si="3"/>
        <v>0</v>
      </c>
      <c r="I33" s="1">
        <f t="shared" si="3"/>
        <v>0</v>
      </c>
      <c r="J33" s="1">
        <f t="shared" si="3"/>
        <v>0</v>
      </c>
      <c r="K33" s="1">
        <f t="shared" si="3"/>
        <v>0</v>
      </c>
      <c r="L33" s="1">
        <f t="shared" si="3"/>
        <v>0</v>
      </c>
      <c r="M33" s="1">
        <f t="shared" si="3"/>
        <v>0</v>
      </c>
      <c r="N33" s="1">
        <f t="shared" si="3"/>
        <v>0</v>
      </c>
      <c r="O33" s="1">
        <f t="shared" si="3"/>
        <v>0</v>
      </c>
      <c r="P33" s="1">
        <f t="shared" si="3"/>
        <v>0</v>
      </c>
      <c r="Q33" s="1">
        <f t="shared" si="3"/>
        <v>0</v>
      </c>
      <c r="R33" s="1">
        <f t="shared" si="3"/>
        <v>345389230.76999998</v>
      </c>
    </row>
    <row r="34" spans="1:18" x14ac:dyDescent="0.3">
      <c r="A34" s="3" t="s">
        <v>175</v>
      </c>
      <c r="B34" s="1">
        <f>SUMIFS('6.1'!$E$6:$E$74,Assets_PresHeader,$A34,Assets_BasisFunc,B$24)</f>
        <v>0</v>
      </c>
      <c r="C34" s="1">
        <f>SUMIFS('6.1'!$E$6:$E$74,Assets_PresHeader,$A34,Assets_BasisFunc,C$24)</f>
        <v>1377161.5</v>
      </c>
      <c r="D34" s="1">
        <f>SUMIFS('6.1'!$E$6:$E$74,Assets_PresHeader,$A34,Assets_BasisFunc,D$24)</f>
        <v>0</v>
      </c>
      <c r="E34" s="1">
        <f>SUMIFS('6.1'!$E$6:$E$74,Assets_PresHeader,$A34,Assets_BasisFunc,E$24)</f>
        <v>0</v>
      </c>
      <c r="F34" s="1">
        <f>SUMIFS('6.1'!$E$6:$E$74,Assets_PresHeader,$A34,Assets_BasisFunc,F$24)</f>
        <v>0</v>
      </c>
      <c r="G34" s="1">
        <f>SUMIFS('6.1'!$E$6:$E$74,Assets_PresHeader,$A34,Assets_BasisFunc,G$24)</f>
        <v>9699425</v>
      </c>
      <c r="H34" s="1">
        <f>SUMIFS('6.1'!$E$6:$E$74,Assets_PresHeader,$A34,Assets_BasisFunc,H$24)</f>
        <v>17053831</v>
      </c>
      <c r="I34" s="1">
        <f>SUMIFS('6.1'!$E$6:$E$74,Assets_PresHeader,$A34,Assets_BasisFunc,I$24)</f>
        <v>12088024</v>
      </c>
      <c r="J34" s="1">
        <f>SUMIFS('6.1'!$E$6:$E$74,Assets_PresHeader,$A34,Assets_BasisFunc,J$24)</f>
        <v>6349241</v>
      </c>
      <c r="K34" s="1">
        <f>SUMIFS('6.1'!$E$6:$E$74,Assets_PresHeader,$A34,Assets_BasisFunc,K$24)</f>
        <v>0</v>
      </c>
      <c r="L34" s="1">
        <f>SUMIFS('6.1'!$E$6:$E$74,Assets_PresHeader,$A34,Assets_BasisFunc,L$24)</f>
        <v>0</v>
      </c>
      <c r="M34" s="1">
        <f>SUMIFS('6.1'!$E$6:$E$74,Assets_PresHeader,$A34,Assets_BasisFunc,M$24)</f>
        <v>0</v>
      </c>
      <c r="N34" s="1">
        <f>SUMIFS('6.1'!$E$6:$E$74,Assets_PresHeader,$A34,Assets_BasisFunc,N$24)</f>
        <v>0</v>
      </c>
      <c r="O34" s="1">
        <f>SUMIFS('6.1'!$E$6:$E$74,Assets_PresHeader,$A34,Assets_BasisFunc,O$24)</f>
        <v>0</v>
      </c>
      <c r="P34" s="1">
        <f>SUMIFS('6.1'!$E$6:$E$74,Assets_PresHeader,$A34,Assets_BasisFunc,P$24)</f>
        <v>0</v>
      </c>
      <c r="Q34" s="1">
        <f>SUMIFS('6.1'!$E$6:$E$74,Assets_PresHeader,$A34,Assets_BasisFunc,Q$24)</f>
        <v>0</v>
      </c>
      <c r="R34" s="1">
        <f>SUM(B34:Q34)</f>
        <v>46567682.5</v>
      </c>
    </row>
    <row r="35" spans="1:18" x14ac:dyDescent="0.3">
      <c r="A35" s="3" t="s">
        <v>213</v>
      </c>
      <c r="B35" s="1">
        <f t="shared" ref="B35:Q35" si="4">SUBTOTAL(9,B25:B34)</f>
        <v>85394275.5</v>
      </c>
      <c r="C35" s="1">
        <f t="shared" si="4"/>
        <v>1377161.5</v>
      </c>
      <c r="D35" s="1">
        <f t="shared" si="4"/>
        <v>17352768</v>
      </c>
      <c r="E35" s="1">
        <f t="shared" si="4"/>
        <v>235466122.5</v>
      </c>
      <c r="F35" s="1">
        <f t="shared" si="4"/>
        <v>0</v>
      </c>
      <c r="G35" s="1">
        <f t="shared" si="4"/>
        <v>16875489.77</v>
      </c>
      <c r="H35" s="1">
        <f t="shared" si="4"/>
        <v>17053831</v>
      </c>
      <c r="I35" s="1">
        <f t="shared" si="4"/>
        <v>12088024</v>
      </c>
      <c r="J35" s="1">
        <f t="shared" si="4"/>
        <v>6349241</v>
      </c>
      <c r="K35" s="1">
        <f t="shared" si="4"/>
        <v>0</v>
      </c>
      <c r="L35" s="1">
        <f t="shared" si="4"/>
        <v>0</v>
      </c>
      <c r="M35" s="1">
        <f t="shared" si="4"/>
        <v>0</v>
      </c>
      <c r="N35" s="1">
        <f t="shared" si="4"/>
        <v>0</v>
      </c>
      <c r="O35" s="1">
        <f t="shared" si="4"/>
        <v>0</v>
      </c>
      <c r="P35" s="1">
        <f t="shared" si="4"/>
        <v>0</v>
      </c>
      <c r="Q35" s="1">
        <f t="shared" si="4"/>
        <v>0</v>
      </c>
      <c r="R35" s="1">
        <f>SUBTOTAL(9,R25:R34)</f>
        <v>391956913.26999998</v>
      </c>
    </row>
    <row r="36" spans="1:18" x14ac:dyDescent="0.3">
      <c r="A36" s="2" t="s">
        <v>186</v>
      </c>
    </row>
    <row r="37" spans="1:18" x14ac:dyDescent="0.3">
      <c r="A37" s="3" t="s">
        <v>238</v>
      </c>
      <c r="B37" s="1">
        <f>SUMIFS('6.2'!$F$30:$F$32,'6.2'!$G$30:$G$32,$A37,'6.2'!$H$30:$H$32,B$24)</f>
        <v>0</v>
      </c>
      <c r="C37" s="1">
        <f>SUMIFS('6.2'!$F$30:$F$32,'6.2'!$G$30:$G$32,$A37,'6.2'!$H$30:$H$32,C$24)</f>
        <v>0</v>
      </c>
      <c r="D37" s="1">
        <f>SUMIFS('6.2'!$F$30:$F$32,'6.2'!$G$30:$G$32,$A37,'6.2'!$H$30:$H$32,D$24)</f>
        <v>0</v>
      </c>
      <c r="E37" s="1">
        <f>SUMIFS('6.2'!$F$30:$F$32,'6.2'!$G$30:$G$32,$A37,'6.2'!$H$30:$H$32,E$24)</f>
        <v>0</v>
      </c>
      <c r="F37" s="1">
        <f>SUMIFS('6.2'!$F$30:$F$32,'6.2'!$G$30:$G$32,$A37,'6.2'!$H$30:$H$32,F$24)</f>
        <v>282000</v>
      </c>
      <c r="G37" s="1">
        <f>SUMIFS('6.2'!$F$30:$F$32,'6.2'!$G$30:$G$32,$A37,'6.2'!$H$30:$H$32,G$24)</f>
        <v>0</v>
      </c>
      <c r="H37" s="1">
        <f>SUMIFS('6.2'!$F$30:$F$32,'6.2'!$G$30:$G$32,$A37,'6.2'!$H$30:$H$32,H$24)</f>
        <v>0</v>
      </c>
      <c r="I37" s="1">
        <f>SUMIFS('6.2'!$F$30:$F$32,'6.2'!$G$30:$G$32,$A37,'6.2'!$H$30:$H$32,I$24)</f>
        <v>0</v>
      </c>
      <c r="J37" s="1">
        <f>SUMIFS('6.2'!$F$30:$F$32,'6.2'!$G$30:$G$32,$A37,'6.2'!$H$30:$H$32,J$24)</f>
        <v>0</v>
      </c>
      <c r="K37" s="1">
        <f>SUMIFS('6.2'!$F$30:$F$32,'6.2'!$G$30:$G$32,$A37,'6.2'!$H$30:$H$32,K$24)</f>
        <v>0</v>
      </c>
      <c r="L37" s="1">
        <f>SUMIFS('6.2'!$F$30:$F$32,'6.2'!$G$30:$G$32,$A37,'6.2'!$H$30:$H$32,L$24)</f>
        <v>0</v>
      </c>
      <c r="M37" s="1">
        <f>SUMIFS('6.2'!$F$30:$F$32,'6.2'!$G$30:$G$32,$A37,'6.2'!$H$30:$H$32,M$24)</f>
        <v>0</v>
      </c>
      <c r="N37" s="1">
        <f>SUMIFS('6.2'!$F$30:$F$32,'6.2'!$G$30:$G$32,$A37,'6.2'!$H$30:$H$32,N$24)</f>
        <v>0</v>
      </c>
      <c r="O37" s="1">
        <f>SUMIFS('6.2'!$F$30:$F$32,'6.2'!$G$30:$G$32,$A37,'6.2'!$H$30:$H$32,O$24)</f>
        <v>0</v>
      </c>
      <c r="P37" s="1">
        <f>SUMIFS('6.2'!$F$30:$F$32,'6.2'!$G$30:$G$32,$A37,'6.2'!$H$30:$H$32,P$24)</f>
        <v>0</v>
      </c>
      <c r="Q37" s="1">
        <f>SUMIFS('6.2'!$F$30:$F$32,'6.2'!$G$30:$G$32,$A37,'6.2'!$H$30:$H$32,Q$24)</f>
        <v>0</v>
      </c>
      <c r="R37" s="1">
        <f>SUM(B37:Q37)</f>
        <v>282000</v>
      </c>
    </row>
    <row r="38" spans="1:18" x14ac:dyDescent="0.3">
      <c r="A38" s="3" t="s">
        <v>239</v>
      </c>
      <c r="B38" s="1">
        <f>SUMIFS('6.2'!$F$30:$F$32,'6.2'!$G$30:$G$32,$A38,'6.2'!$H$30:$H$32,B$24)</f>
        <v>0</v>
      </c>
      <c r="C38" s="1">
        <f>SUMIFS('6.2'!$F$30:$F$32,'6.2'!$G$30:$G$32,$A38,'6.2'!$H$30:$H$32,C$24)</f>
        <v>0</v>
      </c>
      <c r="D38" s="1">
        <f>SUMIFS('6.2'!$F$30:$F$32,'6.2'!$G$30:$G$32,$A38,'6.2'!$H$30:$H$32,D$24)</f>
        <v>0</v>
      </c>
      <c r="E38" s="1">
        <f>SUMIFS('6.2'!$F$30:$F$32,'6.2'!$G$30:$G$32,$A38,'6.2'!$H$30:$H$32,E$24)</f>
        <v>0</v>
      </c>
      <c r="F38" s="1">
        <f>SUMIFS('6.2'!$F$30:$F$32,'6.2'!$G$30:$G$32,$A38,'6.2'!$H$30:$H$32,F$24)</f>
        <v>0</v>
      </c>
      <c r="G38" s="1">
        <f>SUMIFS('6.2'!$F$30:$F$32,'6.2'!$G$30:$G$32,$A38,'6.2'!$H$30:$H$32,G$24)</f>
        <v>0</v>
      </c>
      <c r="H38" s="1">
        <f>SUMIFS('6.2'!$F$30:$F$32,'6.2'!$G$30:$G$32,$A38,'6.2'!$H$30:$H$32,H$24)</f>
        <v>0</v>
      </c>
      <c r="I38" s="1">
        <f>SUMIFS('6.2'!$F$30:$F$32,'6.2'!$G$30:$G$32,$A38,'6.2'!$H$30:$H$32,I$24)</f>
        <v>2688421</v>
      </c>
      <c r="J38" s="1">
        <f>SUMIFS('6.2'!$F$30:$F$32,'6.2'!$G$30:$G$32,$A38,'6.2'!$H$30:$H$32,J$24)</f>
        <v>0</v>
      </c>
      <c r="K38" s="1">
        <f>SUMIFS('6.2'!$F$30:$F$32,'6.2'!$G$30:$G$32,$A38,'6.2'!$H$30:$H$32,K$24)</f>
        <v>0</v>
      </c>
      <c r="L38" s="1">
        <f>SUMIFS('6.2'!$F$30:$F$32,'6.2'!$G$30:$G$32,$A38,'6.2'!$H$30:$H$32,L$24)</f>
        <v>0</v>
      </c>
      <c r="M38" s="1">
        <f>SUMIFS('6.2'!$F$30:$F$32,'6.2'!$G$30:$G$32,$A38,'6.2'!$H$30:$H$32,M$24)</f>
        <v>0</v>
      </c>
      <c r="N38" s="1">
        <f>SUMIFS('6.2'!$F$30:$F$32,'6.2'!$G$30:$G$32,$A38,'6.2'!$H$30:$H$32,N$24)</f>
        <v>0</v>
      </c>
      <c r="O38" s="1">
        <f>SUMIFS('6.2'!$F$30:$F$32,'6.2'!$G$30:$G$32,$A38,'6.2'!$H$30:$H$32,O$24)</f>
        <v>0</v>
      </c>
      <c r="P38" s="1">
        <f>SUMIFS('6.2'!$F$30:$F$32,'6.2'!$G$30:$G$32,$A38,'6.2'!$H$30:$H$32,P$24)</f>
        <v>0</v>
      </c>
      <c r="Q38" s="1">
        <f>SUMIFS('6.2'!$F$30:$F$32,'6.2'!$G$30:$G$32,$A38,'6.2'!$H$30:$H$32,Q$24)</f>
        <v>0</v>
      </c>
      <c r="R38" s="1">
        <f>SUM(B38:Q38)</f>
        <v>2688421</v>
      </c>
    </row>
    <row r="39" spans="1:18" x14ac:dyDescent="0.3">
      <c r="A39" s="3" t="s">
        <v>187</v>
      </c>
      <c r="B39" s="1">
        <f t="shared" ref="B39:K39" si="5">SUBTOTAL(9,B37:B38)</f>
        <v>0</v>
      </c>
      <c r="C39" s="1">
        <f t="shared" si="5"/>
        <v>0</v>
      </c>
      <c r="D39" s="1">
        <f t="shared" si="5"/>
        <v>0</v>
      </c>
      <c r="E39" s="1">
        <f t="shared" si="5"/>
        <v>0</v>
      </c>
      <c r="F39" s="1">
        <f t="shared" si="5"/>
        <v>282000</v>
      </c>
      <c r="G39" s="1">
        <f t="shared" si="5"/>
        <v>0</v>
      </c>
      <c r="H39" s="1">
        <f t="shared" si="5"/>
        <v>0</v>
      </c>
      <c r="I39" s="1">
        <f t="shared" si="5"/>
        <v>2688421</v>
      </c>
      <c r="J39" s="1">
        <f t="shared" si="5"/>
        <v>0</v>
      </c>
      <c r="K39" s="1">
        <f t="shared" si="5"/>
        <v>0</v>
      </c>
      <c r="L39" s="1">
        <f t="shared" ref="L39:R39" si="6">SUBTOTAL(9,L37:L38)</f>
        <v>0</v>
      </c>
      <c r="M39" s="1">
        <f t="shared" si="6"/>
        <v>0</v>
      </c>
      <c r="N39" s="1">
        <f t="shared" si="6"/>
        <v>0</v>
      </c>
      <c r="O39" s="1">
        <f t="shared" si="6"/>
        <v>0</v>
      </c>
      <c r="P39" s="1">
        <f t="shared" si="6"/>
        <v>0</v>
      </c>
      <c r="Q39" s="1">
        <f t="shared" si="6"/>
        <v>0</v>
      </c>
      <c r="R39" s="1">
        <f t="shared" si="6"/>
        <v>2970421</v>
      </c>
    </row>
    <row r="40" spans="1:18" x14ac:dyDescent="0.3">
      <c r="A40" s="2" t="s">
        <v>214</v>
      </c>
      <c r="B40" s="1">
        <f t="shared" ref="B40:K40" si="7">SUBTOTAL(9,B25:B39)</f>
        <v>85394275.5</v>
      </c>
      <c r="C40" s="1">
        <f t="shared" si="7"/>
        <v>1377161.5</v>
      </c>
      <c r="D40" s="1">
        <f t="shared" si="7"/>
        <v>17352768</v>
      </c>
      <c r="E40" s="1">
        <f t="shared" si="7"/>
        <v>235466122.5</v>
      </c>
      <c r="F40" s="1">
        <f t="shared" si="7"/>
        <v>282000</v>
      </c>
      <c r="G40" s="1">
        <f t="shared" si="7"/>
        <v>16875489.77</v>
      </c>
      <c r="H40" s="1">
        <f t="shared" si="7"/>
        <v>17053831</v>
      </c>
      <c r="I40" s="1">
        <f t="shared" si="7"/>
        <v>14776445</v>
      </c>
      <c r="J40" s="1">
        <f t="shared" si="7"/>
        <v>6349241</v>
      </c>
      <c r="K40" s="1">
        <f t="shared" si="7"/>
        <v>0</v>
      </c>
      <c r="L40" s="1">
        <f t="shared" ref="L40:R40" si="8">SUBTOTAL(9,L25:L39)</f>
        <v>0</v>
      </c>
      <c r="M40" s="1">
        <f t="shared" si="8"/>
        <v>0</v>
      </c>
      <c r="N40" s="1">
        <f t="shared" si="8"/>
        <v>0</v>
      </c>
      <c r="O40" s="1">
        <f t="shared" si="8"/>
        <v>0</v>
      </c>
      <c r="P40" s="1">
        <f t="shared" si="8"/>
        <v>0</v>
      </c>
      <c r="Q40" s="1">
        <f t="shared" si="8"/>
        <v>0</v>
      </c>
      <c r="R40" s="1">
        <f t="shared" si="8"/>
        <v>394927334.26999998</v>
      </c>
    </row>
    <row r="42" spans="1:18" x14ac:dyDescent="0.3">
      <c r="A42" s="1" t="s">
        <v>229</v>
      </c>
    </row>
    <row r="43" spans="1:18" s="9" customFormat="1" ht="54" x14ac:dyDescent="0.25">
      <c r="B43" s="17" t="str">
        <f t="array" ref="B43:Q43">TRANSPOSE(List_Functions)</f>
        <v>Generation</v>
      </c>
      <c r="C43" s="17" t="str">
        <v>Purchased Power</v>
      </c>
      <c r="D43" s="17" t="str">
        <v>Transmission</v>
      </c>
      <c r="E43" s="17" t="str">
        <v>Substations</v>
      </c>
      <c r="F43" s="17" t="str">
        <v>Primary Lines</v>
      </c>
      <c r="G43" s="17" t="str">
        <v>Transformers</v>
      </c>
      <c r="H43" s="17" t="str">
        <v>Secondary Lines</v>
      </c>
      <c r="I43" s="17" t="str">
        <v>Service Lines</v>
      </c>
      <c r="J43" s="17" t="str">
        <v>Meter Assets</v>
      </c>
      <c r="K43" s="17" t="str">
        <v>Meter Reading</v>
      </c>
      <c r="L43" s="17" t="str">
        <v>Billing</v>
      </c>
      <c r="M43" s="17" t="str">
        <v>Remittance &amp; Collection</v>
      </c>
      <c r="N43" s="17" t="str">
        <v>Uncollectibles &amp; Damage Claims</v>
      </c>
      <c r="O43" s="17" t="str">
        <v>Service Connections</v>
      </c>
      <c r="P43" s="17" t="str">
        <v>Late Payments</v>
      </c>
      <c r="Q43" s="17" t="str">
        <v>Lighting</v>
      </c>
      <c r="R43" s="17" t="s">
        <v>214</v>
      </c>
    </row>
    <row r="44" spans="1:18" x14ac:dyDescent="0.3">
      <c r="A44" s="1" t="s">
        <v>628</v>
      </c>
      <c r="B44" s="30">
        <f t="shared" ref="B44:K52" si="9">VLOOKUP($A44,Table_FunctionAllocators,COLUMN(),FALSE)</f>
        <v>0</v>
      </c>
      <c r="C44" s="30">
        <f t="shared" si="9"/>
        <v>0</v>
      </c>
      <c r="D44" s="30">
        <f t="shared" si="9"/>
        <v>0.49</v>
      </c>
      <c r="E44" s="30">
        <f t="shared" si="9"/>
        <v>0.51</v>
      </c>
      <c r="F44" s="30">
        <f t="shared" si="9"/>
        <v>0</v>
      </c>
      <c r="G44" s="30">
        <f t="shared" si="9"/>
        <v>0</v>
      </c>
      <c r="H44" s="30">
        <f t="shared" si="9"/>
        <v>0</v>
      </c>
      <c r="I44" s="30">
        <f t="shared" si="9"/>
        <v>0</v>
      </c>
      <c r="J44" s="30">
        <f t="shared" si="9"/>
        <v>0</v>
      </c>
      <c r="K44" s="30">
        <f t="shared" si="9"/>
        <v>0</v>
      </c>
      <c r="L44" s="30">
        <f t="shared" ref="L44:Q52" si="10">VLOOKUP($A44,Table_FunctionAllocators,COLUMN(),FALSE)</f>
        <v>0</v>
      </c>
      <c r="M44" s="30">
        <f t="shared" si="10"/>
        <v>0</v>
      </c>
      <c r="N44" s="30">
        <f t="shared" si="10"/>
        <v>0</v>
      </c>
      <c r="O44" s="30">
        <f t="shared" si="10"/>
        <v>0</v>
      </c>
      <c r="P44" s="30">
        <f t="shared" si="10"/>
        <v>0</v>
      </c>
      <c r="Q44" s="30">
        <f t="shared" si="10"/>
        <v>0</v>
      </c>
      <c r="R44" s="30">
        <f t="shared" ref="R44:R52" si="11">SUM(B44:Q44)</f>
        <v>1</v>
      </c>
    </row>
    <row r="45" spans="1:18" x14ac:dyDescent="0.3">
      <c r="A45" s="1" t="s">
        <v>200</v>
      </c>
      <c r="B45" s="30">
        <f t="shared" si="9"/>
        <v>8.3333333333333356E-2</v>
      </c>
      <c r="C45" s="30">
        <f t="shared" si="9"/>
        <v>0.16666666666666671</v>
      </c>
      <c r="D45" s="30">
        <f t="shared" si="9"/>
        <v>0.25000000000000006</v>
      </c>
      <c r="E45" s="30">
        <f t="shared" si="9"/>
        <v>0.25000000000000006</v>
      </c>
      <c r="F45" s="30">
        <f t="shared" si="9"/>
        <v>8.3333333333333356E-2</v>
      </c>
      <c r="G45" s="30">
        <f t="shared" si="9"/>
        <v>8.3333333333333356E-2</v>
      </c>
      <c r="H45" s="30">
        <f t="shared" si="9"/>
        <v>8.3333333333333356E-2</v>
      </c>
      <c r="I45" s="30">
        <f t="shared" si="9"/>
        <v>0</v>
      </c>
      <c r="J45" s="30">
        <f t="shared" si="9"/>
        <v>0</v>
      </c>
      <c r="K45" s="30">
        <f t="shared" si="9"/>
        <v>0</v>
      </c>
      <c r="L45" s="30">
        <f t="shared" si="10"/>
        <v>0</v>
      </c>
      <c r="M45" s="30">
        <f t="shared" si="10"/>
        <v>0</v>
      </c>
      <c r="N45" s="30">
        <f t="shared" si="10"/>
        <v>0</v>
      </c>
      <c r="O45" s="30">
        <f t="shared" si="10"/>
        <v>0</v>
      </c>
      <c r="P45" s="30">
        <f t="shared" si="10"/>
        <v>0</v>
      </c>
      <c r="Q45" s="30">
        <f t="shared" si="10"/>
        <v>0</v>
      </c>
      <c r="R45" s="30">
        <f t="shared" si="11"/>
        <v>1.0000000000000002</v>
      </c>
    </row>
    <row r="46" spans="1:18" x14ac:dyDescent="0.3">
      <c r="A46" s="1" t="s">
        <v>201</v>
      </c>
      <c r="B46" s="30">
        <f t="shared" si="9"/>
        <v>0.25000000000000006</v>
      </c>
      <c r="C46" s="30">
        <f t="shared" si="9"/>
        <v>0</v>
      </c>
      <c r="D46" s="30">
        <f t="shared" si="9"/>
        <v>0.25000000000000006</v>
      </c>
      <c r="E46" s="30">
        <f t="shared" si="9"/>
        <v>0.25000000000000006</v>
      </c>
      <c r="F46" s="30">
        <f t="shared" si="9"/>
        <v>8.3333333333333356E-2</v>
      </c>
      <c r="G46" s="30">
        <f t="shared" si="9"/>
        <v>8.3333333333333356E-2</v>
      </c>
      <c r="H46" s="30">
        <f t="shared" si="9"/>
        <v>8.3333333333333356E-2</v>
      </c>
      <c r="I46" s="30">
        <f t="shared" si="9"/>
        <v>0</v>
      </c>
      <c r="J46" s="30">
        <f t="shared" si="9"/>
        <v>0</v>
      </c>
      <c r="K46" s="30">
        <f t="shared" si="9"/>
        <v>0</v>
      </c>
      <c r="L46" s="30">
        <f t="shared" si="10"/>
        <v>0</v>
      </c>
      <c r="M46" s="30">
        <f t="shared" si="10"/>
        <v>0</v>
      </c>
      <c r="N46" s="30">
        <f t="shared" si="10"/>
        <v>0</v>
      </c>
      <c r="O46" s="30">
        <f t="shared" si="10"/>
        <v>0</v>
      </c>
      <c r="P46" s="30">
        <f t="shared" si="10"/>
        <v>0</v>
      </c>
      <c r="Q46" s="30">
        <f t="shared" si="10"/>
        <v>0</v>
      </c>
      <c r="R46" s="30">
        <f t="shared" si="11"/>
        <v>1.0000000000000002</v>
      </c>
    </row>
    <row r="47" spans="1:18" x14ac:dyDescent="0.3">
      <c r="A47" s="1" t="s">
        <v>198</v>
      </c>
      <c r="B47" s="30">
        <f t="shared" si="9"/>
        <v>0</v>
      </c>
      <c r="C47" s="30">
        <f t="shared" si="9"/>
        <v>0</v>
      </c>
      <c r="D47" s="30">
        <f t="shared" si="9"/>
        <v>0</v>
      </c>
      <c r="E47" s="30">
        <f t="shared" si="9"/>
        <v>0</v>
      </c>
      <c r="F47" s="30">
        <f t="shared" si="9"/>
        <v>0.75</v>
      </c>
      <c r="G47" s="30">
        <f t="shared" si="9"/>
        <v>0</v>
      </c>
      <c r="H47" s="30">
        <f t="shared" si="9"/>
        <v>0.25</v>
      </c>
      <c r="I47" s="30">
        <f t="shared" si="9"/>
        <v>0</v>
      </c>
      <c r="J47" s="30">
        <f t="shared" si="9"/>
        <v>0</v>
      </c>
      <c r="K47" s="30">
        <f t="shared" si="9"/>
        <v>0</v>
      </c>
      <c r="L47" s="30">
        <f t="shared" si="10"/>
        <v>0</v>
      </c>
      <c r="M47" s="30">
        <f t="shared" si="10"/>
        <v>0</v>
      </c>
      <c r="N47" s="30">
        <f t="shared" si="10"/>
        <v>0</v>
      </c>
      <c r="O47" s="30">
        <f t="shared" si="10"/>
        <v>0</v>
      </c>
      <c r="P47" s="30">
        <f t="shared" si="10"/>
        <v>0</v>
      </c>
      <c r="Q47" s="30">
        <f t="shared" si="10"/>
        <v>0</v>
      </c>
      <c r="R47" s="30">
        <f t="shared" si="11"/>
        <v>1</v>
      </c>
    </row>
    <row r="48" spans="1:18" x14ac:dyDescent="0.3">
      <c r="A48" s="1" t="s">
        <v>204</v>
      </c>
      <c r="B48" s="30">
        <f t="shared" si="9"/>
        <v>0</v>
      </c>
      <c r="C48" s="30">
        <f t="shared" si="9"/>
        <v>0</v>
      </c>
      <c r="D48" s="30">
        <f t="shared" si="9"/>
        <v>0</v>
      </c>
      <c r="E48" s="30">
        <f t="shared" si="9"/>
        <v>0</v>
      </c>
      <c r="F48" s="30">
        <f t="shared" si="9"/>
        <v>0.51163294230768275</v>
      </c>
      <c r="G48" s="30">
        <f t="shared" si="9"/>
        <v>0.31782274358975643</v>
      </c>
      <c r="H48" s="30">
        <f t="shared" si="9"/>
        <v>0.17054431410256091</v>
      </c>
      <c r="I48" s="30">
        <f t="shared" si="9"/>
        <v>0</v>
      </c>
      <c r="J48" s="30">
        <f t="shared" si="9"/>
        <v>0</v>
      </c>
      <c r="K48" s="30">
        <f t="shared" si="9"/>
        <v>0</v>
      </c>
      <c r="L48" s="30">
        <f t="shared" si="10"/>
        <v>0</v>
      </c>
      <c r="M48" s="30">
        <f t="shared" si="10"/>
        <v>0</v>
      </c>
      <c r="N48" s="30">
        <f t="shared" si="10"/>
        <v>0</v>
      </c>
      <c r="O48" s="30">
        <f t="shared" si="10"/>
        <v>0</v>
      </c>
      <c r="P48" s="30">
        <f t="shared" si="10"/>
        <v>0</v>
      </c>
      <c r="Q48" s="30">
        <f t="shared" si="10"/>
        <v>0</v>
      </c>
      <c r="R48" s="30">
        <f t="shared" si="11"/>
        <v>1</v>
      </c>
    </row>
    <row r="49" spans="1:18" x14ac:dyDescent="0.3">
      <c r="A49" s="1" t="s">
        <v>207</v>
      </c>
      <c r="B49" s="30">
        <f t="shared" si="9"/>
        <v>0</v>
      </c>
      <c r="C49" s="30">
        <f t="shared" si="9"/>
        <v>0</v>
      </c>
      <c r="D49" s="30">
        <f t="shared" si="9"/>
        <v>0</v>
      </c>
      <c r="E49" s="30">
        <f t="shared" si="9"/>
        <v>0.12285669081634128</v>
      </c>
      <c r="F49" s="30">
        <f t="shared" si="9"/>
        <v>0.44877541210313276</v>
      </c>
      <c r="G49" s="30">
        <f t="shared" si="9"/>
        <v>0.27877609304614837</v>
      </c>
      <c r="H49" s="30">
        <f t="shared" si="9"/>
        <v>0.14959180403437758</v>
      </c>
      <c r="I49" s="30">
        <f t="shared" si="9"/>
        <v>0</v>
      </c>
      <c r="J49" s="30">
        <f t="shared" si="9"/>
        <v>0</v>
      </c>
      <c r="K49" s="30">
        <f t="shared" si="9"/>
        <v>0</v>
      </c>
      <c r="L49" s="30">
        <f t="shared" si="10"/>
        <v>0</v>
      </c>
      <c r="M49" s="30">
        <f t="shared" si="10"/>
        <v>0</v>
      </c>
      <c r="N49" s="30">
        <f t="shared" si="10"/>
        <v>0</v>
      </c>
      <c r="O49" s="30">
        <f t="shared" si="10"/>
        <v>0</v>
      </c>
      <c r="P49" s="30">
        <f t="shared" si="10"/>
        <v>0</v>
      </c>
      <c r="Q49" s="30">
        <f t="shared" si="10"/>
        <v>0</v>
      </c>
      <c r="R49" s="30">
        <f t="shared" si="11"/>
        <v>1</v>
      </c>
    </row>
    <row r="50" spans="1:18" x14ac:dyDescent="0.3">
      <c r="A50" s="1" t="s">
        <v>144</v>
      </c>
      <c r="B50" s="30">
        <f t="shared" si="9"/>
        <v>6.6702602392113758E-2</v>
      </c>
      <c r="C50" s="30">
        <f t="shared" si="9"/>
        <v>7.6976893097969153E-3</v>
      </c>
      <c r="D50" s="30">
        <f t="shared" si="9"/>
        <v>0.17857700456130085</v>
      </c>
      <c r="E50" s="30">
        <f t="shared" si="9"/>
        <v>7.7290269872384063E-2</v>
      </c>
      <c r="F50" s="30">
        <f t="shared" si="9"/>
        <v>0.20178136807558739</v>
      </c>
      <c r="G50" s="30">
        <f t="shared" si="9"/>
        <v>0.3546170985742334</v>
      </c>
      <c r="H50" s="30">
        <f t="shared" si="9"/>
        <v>7.1965917025765838E-2</v>
      </c>
      <c r="I50" s="30">
        <f t="shared" si="9"/>
        <v>8.0249425291610346E-3</v>
      </c>
      <c r="J50" s="30">
        <f t="shared" si="9"/>
        <v>3.2391560407592147E-2</v>
      </c>
      <c r="K50" s="30">
        <f t="shared" si="9"/>
        <v>0</v>
      </c>
      <c r="L50" s="30">
        <f t="shared" si="10"/>
        <v>0</v>
      </c>
      <c r="M50" s="30">
        <f t="shared" si="10"/>
        <v>0</v>
      </c>
      <c r="N50" s="30">
        <f t="shared" si="10"/>
        <v>0</v>
      </c>
      <c r="O50" s="30">
        <f t="shared" si="10"/>
        <v>0</v>
      </c>
      <c r="P50" s="30">
        <f t="shared" si="10"/>
        <v>0</v>
      </c>
      <c r="Q50" s="30">
        <f t="shared" si="10"/>
        <v>9.5154725206441531E-4</v>
      </c>
      <c r="R50" s="30">
        <f t="shared" si="11"/>
        <v>0.99999999999999978</v>
      </c>
    </row>
    <row r="51" spans="1:18" x14ac:dyDescent="0.3">
      <c r="A51" s="1" t="s">
        <v>156</v>
      </c>
      <c r="B51" s="30">
        <f t="shared" si="9"/>
        <v>0.12113254655344105</v>
      </c>
      <c r="C51" s="30">
        <f t="shared" si="9"/>
        <v>3.4372820389175815E-2</v>
      </c>
      <c r="D51" s="30">
        <f t="shared" si="9"/>
        <v>0.22645835694866853</v>
      </c>
      <c r="E51" s="30">
        <f t="shared" si="9"/>
        <v>9.6658953553241098E-2</v>
      </c>
      <c r="F51" s="30">
        <f t="shared" si="9"/>
        <v>0.13558744221439376</v>
      </c>
      <c r="G51" s="30">
        <f t="shared" si="9"/>
        <v>0.18934991436201665</v>
      </c>
      <c r="H51" s="30">
        <f t="shared" si="9"/>
        <v>5.9471804714520057E-2</v>
      </c>
      <c r="I51" s="30">
        <f t="shared" si="9"/>
        <v>6.228740772611604E-3</v>
      </c>
      <c r="J51" s="30">
        <f t="shared" si="9"/>
        <v>1.9263744309704213E-2</v>
      </c>
      <c r="K51" s="30">
        <f t="shared" si="9"/>
        <v>7.6481470746461208E-2</v>
      </c>
      <c r="L51" s="30">
        <f t="shared" si="10"/>
        <v>2.2709214023798351E-2</v>
      </c>
      <c r="M51" s="30">
        <f t="shared" si="10"/>
        <v>2.3653796662825442E-3</v>
      </c>
      <c r="N51" s="30">
        <f t="shared" si="10"/>
        <v>2.3653796662825442E-3</v>
      </c>
      <c r="O51" s="30">
        <f t="shared" si="10"/>
        <v>2.3653796662825442E-3</v>
      </c>
      <c r="P51" s="30">
        <f t="shared" si="10"/>
        <v>2.3653796662825442E-3</v>
      </c>
      <c r="Q51" s="30">
        <f t="shared" si="10"/>
        <v>2.8234727468375125E-3</v>
      </c>
      <c r="R51" s="30">
        <f t="shared" si="11"/>
        <v>1.0000000000000002</v>
      </c>
    </row>
    <row r="52" spans="1:18" x14ac:dyDescent="0.3">
      <c r="A52" s="1" t="s">
        <v>212</v>
      </c>
      <c r="B52" s="30">
        <f t="shared" si="9"/>
        <v>4.8723181189309892E-2</v>
      </c>
      <c r="C52" s="30">
        <f t="shared" si="9"/>
        <v>1.3609626622862716E-2</v>
      </c>
      <c r="D52" s="30">
        <f t="shared" si="9"/>
        <v>0.14610035826605675</v>
      </c>
      <c r="E52" s="30">
        <f t="shared" si="9"/>
        <v>5.1573402198519233E-2</v>
      </c>
      <c r="F52" s="30">
        <f t="shared" si="9"/>
        <v>0.11362028574347134</v>
      </c>
      <c r="G52" s="30">
        <f t="shared" si="9"/>
        <v>0.11766433144923831</v>
      </c>
      <c r="H52" s="30">
        <f t="shared" si="9"/>
        <v>5.2469812066459016E-2</v>
      </c>
      <c r="I52" s="30">
        <f t="shared" si="9"/>
        <v>2.5687619194927975E-2</v>
      </c>
      <c r="J52" s="30">
        <f t="shared" si="9"/>
        <v>1.2309905552467488E-2</v>
      </c>
      <c r="K52" s="30">
        <f t="shared" si="9"/>
        <v>5.0423834991147158E-2</v>
      </c>
      <c r="L52" s="30">
        <f t="shared" si="10"/>
        <v>8.8922957450883799E-2</v>
      </c>
      <c r="M52" s="30">
        <f t="shared" si="10"/>
        <v>0.19278845988876089</v>
      </c>
      <c r="N52" s="30">
        <f t="shared" si="10"/>
        <v>4.0788459888760856E-2</v>
      </c>
      <c r="O52" s="30">
        <f t="shared" si="10"/>
        <v>4.0788459888760856E-2</v>
      </c>
      <c r="P52" s="30">
        <f t="shared" si="10"/>
        <v>7.8845988876084805E-4</v>
      </c>
      <c r="Q52" s="30">
        <f t="shared" si="10"/>
        <v>3.7408457196129474E-3</v>
      </c>
      <c r="R52" s="30">
        <f t="shared" si="11"/>
        <v>1.0000000000000002</v>
      </c>
    </row>
    <row r="54" spans="1:18" x14ac:dyDescent="0.3">
      <c r="A54" s="1" t="s">
        <v>226</v>
      </c>
    </row>
    <row r="55" spans="1:18" s="9" customFormat="1" ht="54" x14ac:dyDescent="0.25">
      <c r="B55" s="17" t="str">
        <f t="array" ref="B55:Q55">TRANSPOSE(List_Functions)</f>
        <v>Generation</v>
      </c>
      <c r="C55" s="17" t="str">
        <v>Purchased Power</v>
      </c>
      <c r="D55" s="17" t="str">
        <v>Transmission</v>
      </c>
      <c r="E55" s="17" t="str">
        <v>Substations</v>
      </c>
      <c r="F55" s="17" t="str">
        <v>Primary Lines</v>
      </c>
      <c r="G55" s="17" t="str">
        <v>Transformers</v>
      </c>
      <c r="H55" s="17" t="str">
        <v>Secondary Lines</v>
      </c>
      <c r="I55" s="17" t="str">
        <v>Service Lines</v>
      </c>
      <c r="J55" s="17" t="str">
        <v>Meter Assets</v>
      </c>
      <c r="K55" s="17" t="str">
        <v>Meter Reading</v>
      </c>
      <c r="L55" s="17" t="str">
        <v>Billing</v>
      </c>
      <c r="M55" s="17" t="str">
        <v>Remittance &amp; Collection</v>
      </c>
      <c r="N55" s="17" t="str">
        <v>Uncollectibles &amp; Damage Claims</v>
      </c>
      <c r="O55" s="17" t="str">
        <v>Service Connections</v>
      </c>
      <c r="P55" s="17" t="str">
        <v>Late Payments</v>
      </c>
      <c r="Q55" s="17" t="str">
        <v>Lighting</v>
      </c>
      <c r="R55" s="17" t="s">
        <v>214</v>
      </c>
    </row>
    <row r="56" spans="1:18" x14ac:dyDescent="0.3">
      <c r="A56" s="1" t="s">
        <v>129</v>
      </c>
    </row>
    <row r="57" spans="1:18" x14ac:dyDescent="0.3">
      <c r="A57" s="3" t="s">
        <v>172</v>
      </c>
      <c r="B57" s="1">
        <f t="array" ref="B57:Q57">MMULT(B26:E26,$B$44:$Q$47)</f>
        <v>0</v>
      </c>
      <c r="C57" s="1">
        <v>0</v>
      </c>
      <c r="D57" s="1">
        <v>0</v>
      </c>
      <c r="E57" s="1">
        <v>0</v>
      </c>
      <c r="F57" s="1">
        <v>0</v>
      </c>
      <c r="G57" s="1">
        <v>0</v>
      </c>
      <c r="H57" s="1">
        <v>0</v>
      </c>
      <c r="I57" s="1">
        <v>0</v>
      </c>
      <c r="J57" s="1">
        <v>0</v>
      </c>
      <c r="K57" s="1">
        <v>0</v>
      </c>
      <c r="L57" s="1">
        <v>0</v>
      </c>
      <c r="M57" s="1">
        <v>0</v>
      </c>
      <c r="N57" s="1">
        <v>0</v>
      </c>
      <c r="O57" s="1">
        <v>0</v>
      </c>
      <c r="P57" s="1">
        <v>0</v>
      </c>
      <c r="Q57" s="1">
        <v>0</v>
      </c>
      <c r="R57" s="1">
        <f>SUM(B57:Q57)</f>
        <v>0</v>
      </c>
    </row>
    <row r="58" spans="1:18" x14ac:dyDescent="0.3">
      <c r="A58" s="3" t="s">
        <v>173</v>
      </c>
    </row>
    <row r="59" spans="1:18" x14ac:dyDescent="0.3">
      <c r="A59" s="4" t="s">
        <v>13</v>
      </c>
      <c r="B59" s="1">
        <f t="array" ref="B59:Q59">MMULT(B28:E28,$B$44:$Q$47)</f>
        <v>0</v>
      </c>
      <c r="C59" s="1">
        <v>0</v>
      </c>
      <c r="D59" s="1">
        <v>41843194.994999997</v>
      </c>
      <c r="E59" s="1">
        <v>43551080.505000003</v>
      </c>
      <c r="F59" s="1">
        <v>0</v>
      </c>
      <c r="G59" s="1">
        <v>0</v>
      </c>
      <c r="H59" s="1">
        <v>0</v>
      </c>
      <c r="I59" s="1">
        <v>0</v>
      </c>
      <c r="J59" s="1">
        <v>0</v>
      </c>
      <c r="K59" s="1">
        <v>0</v>
      </c>
      <c r="L59" s="1">
        <v>0</v>
      </c>
      <c r="M59" s="1">
        <v>0</v>
      </c>
      <c r="N59" s="1">
        <v>0</v>
      </c>
      <c r="O59" s="1">
        <v>0</v>
      </c>
      <c r="P59" s="1">
        <v>0</v>
      </c>
      <c r="Q59" s="1">
        <v>0</v>
      </c>
      <c r="R59" s="1">
        <f>SUM(B59:Q59)</f>
        <v>85394275.5</v>
      </c>
    </row>
    <row r="60" spans="1:18" x14ac:dyDescent="0.3">
      <c r="A60" s="4" t="s">
        <v>140</v>
      </c>
      <c r="B60" s="1">
        <f t="array" ref="B60:Q60">MMULT(B29:E29,$B$44:$Q$47)</f>
        <v>0</v>
      </c>
      <c r="C60" s="1">
        <v>0</v>
      </c>
      <c r="D60" s="1">
        <v>0</v>
      </c>
      <c r="E60" s="1">
        <v>0</v>
      </c>
      <c r="F60" s="1">
        <v>176599591.875</v>
      </c>
      <c r="G60" s="1">
        <v>0</v>
      </c>
      <c r="H60" s="1">
        <v>58866530.625</v>
      </c>
      <c r="I60" s="1">
        <v>0</v>
      </c>
      <c r="J60" s="1">
        <v>0</v>
      </c>
      <c r="K60" s="1">
        <v>0</v>
      </c>
      <c r="L60" s="1">
        <v>0</v>
      </c>
      <c r="M60" s="1">
        <v>0</v>
      </c>
      <c r="N60" s="1">
        <v>0</v>
      </c>
      <c r="O60" s="1">
        <v>0</v>
      </c>
      <c r="P60" s="1">
        <v>0</v>
      </c>
      <c r="Q60" s="1">
        <v>0</v>
      </c>
      <c r="R60" s="1">
        <f>SUM(B60:Q60)</f>
        <v>235466122.5</v>
      </c>
    </row>
    <row r="61" spans="1:18" x14ac:dyDescent="0.3">
      <c r="A61" s="4" t="s">
        <v>141</v>
      </c>
      <c r="B61" s="1">
        <f t="array" ref="B61:Q61">MMULT(B30:E30,$B$44:$Q$47)</f>
        <v>4338192.0000000009</v>
      </c>
      <c r="C61" s="1">
        <v>0</v>
      </c>
      <c r="D61" s="1">
        <v>4338192.0000000009</v>
      </c>
      <c r="E61" s="1">
        <v>4338192.0000000009</v>
      </c>
      <c r="F61" s="1">
        <v>1446064.0000000005</v>
      </c>
      <c r="G61" s="1">
        <v>1446064.0000000005</v>
      </c>
      <c r="H61" s="1">
        <v>1446064.0000000005</v>
      </c>
      <c r="I61" s="1">
        <v>0</v>
      </c>
      <c r="J61" s="1">
        <v>0</v>
      </c>
      <c r="K61" s="1">
        <v>0</v>
      </c>
      <c r="L61" s="1">
        <v>0</v>
      </c>
      <c r="M61" s="1">
        <v>0</v>
      </c>
      <c r="N61" s="1">
        <v>0</v>
      </c>
      <c r="O61" s="1">
        <v>0</v>
      </c>
      <c r="P61" s="1">
        <v>0</v>
      </c>
      <c r="Q61" s="1">
        <v>0</v>
      </c>
      <c r="R61" s="1">
        <f>SUM(B61:Q61)</f>
        <v>17352768.000000004</v>
      </c>
    </row>
    <row r="62" spans="1:18" x14ac:dyDescent="0.3">
      <c r="A62" s="4" t="s">
        <v>142</v>
      </c>
      <c r="B62" s="1">
        <f t="array" ref="B62:Q62">MMULT(B31:E31,$B$44:$Q$47)</f>
        <v>0</v>
      </c>
      <c r="C62" s="1">
        <v>0</v>
      </c>
      <c r="D62" s="1">
        <v>0</v>
      </c>
      <c r="E62" s="1">
        <v>0</v>
      </c>
      <c r="F62" s="1">
        <v>0</v>
      </c>
      <c r="G62" s="1">
        <v>0</v>
      </c>
      <c r="H62" s="1">
        <v>0</v>
      </c>
      <c r="I62" s="1">
        <v>0</v>
      </c>
      <c r="J62" s="1">
        <v>0</v>
      </c>
      <c r="K62" s="1">
        <v>0</v>
      </c>
      <c r="L62" s="1">
        <v>0</v>
      </c>
      <c r="M62" s="1">
        <v>0</v>
      </c>
      <c r="N62" s="1">
        <v>0</v>
      </c>
      <c r="O62" s="1">
        <v>0</v>
      </c>
      <c r="P62" s="1">
        <v>0</v>
      </c>
      <c r="Q62" s="1">
        <v>0</v>
      </c>
      <c r="R62" s="1">
        <f>SUM(B62:Q62)</f>
        <v>0</v>
      </c>
    </row>
    <row r="63" spans="1:18" x14ac:dyDescent="0.3">
      <c r="A63" s="4" t="s">
        <v>143</v>
      </c>
      <c r="B63" s="1">
        <f t="array" ref="B63:Q63">MMULT(B32:E32,$B$44:$Q$47)</f>
        <v>0</v>
      </c>
      <c r="C63" s="1">
        <v>0</v>
      </c>
      <c r="D63" s="1">
        <v>0</v>
      </c>
      <c r="E63" s="1">
        <v>0</v>
      </c>
      <c r="F63" s="1">
        <v>0</v>
      </c>
      <c r="G63" s="1">
        <v>0</v>
      </c>
      <c r="H63" s="1">
        <v>0</v>
      </c>
      <c r="I63" s="1">
        <v>0</v>
      </c>
      <c r="J63" s="1">
        <v>0</v>
      </c>
      <c r="K63" s="1">
        <v>0</v>
      </c>
      <c r="L63" s="1">
        <v>0</v>
      </c>
      <c r="M63" s="1">
        <v>0</v>
      </c>
      <c r="N63" s="1">
        <v>0</v>
      </c>
      <c r="O63" s="1">
        <v>0</v>
      </c>
      <c r="P63" s="1">
        <v>0</v>
      </c>
      <c r="Q63" s="1">
        <v>0</v>
      </c>
      <c r="R63" s="1">
        <f>SUM(B63:Q63)</f>
        <v>0</v>
      </c>
    </row>
    <row r="64" spans="1:18" x14ac:dyDescent="0.3">
      <c r="A64" s="4" t="s">
        <v>174</v>
      </c>
      <c r="B64" s="1">
        <f>SUBTOTAL(9,B58:B63)</f>
        <v>4338192.0000000009</v>
      </c>
      <c r="C64" s="1">
        <f t="shared" ref="C64:R64" si="12">SUBTOTAL(9,C58:C63)</f>
        <v>0</v>
      </c>
      <c r="D64" s="1">
        <f t="shared" si="12"/>
        <v>46181386.994999997</v>
      </c>
      <c r="E64" s="1">
        <f t="shared" si="12"/>
        <v>47889272.505000003</v>
      </c>
      <c r="F64" s="1">
        <f t="shared" si="12"/>
        <v>178045655.875</v>
      </c>
      <c r="G64" s="1">
        <f t="shared" si="12"/>
        <v>1446064.0000000005</v>
      </c>
      <c r="H64" s="1">
        <f t="shared" si="12"/>
        <v>60312594.625</v>
      </c>
      <c r="I64" s="1">
        <f t="shared" si="12"/>
        <v>0</v>
      </c>
      <c r="J64" s="1">
        <f t="shared" si="12"/>
        <v>0</v>
      </c>
      <c r="K64" s="1">
        <f t="shared" si="12"/>
        <v>0</v>
      </c>
      <c r="L64" s="1">
        <f t="shared" si="12"/>
        <v>0</v>
      </c>
      <c r="M64" s="1">
        <f t="shared" si="12"/>
        <v>0</v>
      </c>
      <c r="N64" s="1">
        <f t="shared" si="12"/>
        <v>0</v>
      </c>
      <c r="O64" s="1">
        <f t="shared" si="12"/>
        <v>0</v>
      </c>
      <c r="P64" s="1">
        <f t="shared" si="12"/>
        <v>0</v>
      </c>
      <c r="Q64" s="1">
        <f t="shared" si="12"/>
        <v>0</v>
      </c>
      <c r="R64" s="1">
        <f t="shared" si="12"/>
        <v>338213166</v>
      </c>
    </row>
    <row r="65" spans="1:19" x14ac:dyDescent="0.3">
      <c r="A65" s="3" t="s">
        <v>175</v>
      </c>
      <c r="B65" s="1">
        <f t="array" ref="B65:Q65">MMULT(B34:E34,$B$44:$Q$47)</f>
        <v>114763.45833333337</v>
      </c>
      <c r="C65" s="1">
        <v>229526.91666666674</v>
      </c>
      <c r="D65" s="1">
        <v>344290.37500000006</v>
      </c>
      <c r="E65" s="1">
        <v>344290.37500000006</v>
      </c>
      <c r="F65" s="1">
        <v>114763.45833333337</v>
      </c>
      <c r="G65" s="1">
        <v>114763.45833333337</v>
      </c>
      <c r="H65" s="1">
        <v>114763.45833333337</v>
      </c>
      <c r="I65" s="1">
        <v>0</v>
      </c>
      <c r="J65" s="1">
        <v>0</v>
      </c>
      <c r="K65" s="1">
        <v>0</v>
      </c>
      <c r="L65" s="1">
        <v>0</v>
      </c>
      <c r="M65" s="1">
        <v>0</v>
      </c>
      <c r="N65" s="1">
        <v>0</v>
      </c>
      <c r="O65" s="1">
        <v>0</v>
      </c>
      <c r="P65" s="1">
        <v>0</v>
      </c>
      <c r="Q65" s="1">
        <v>0</v>
      </c>
      <c r="R65" s="1">
        <f>SUM(B65:Q65)</f>
        <v>1377161.5000000005</v>
      </c>
    </row>
    <row r="66" spans="1:19" x14ac:dyDescent="0.3">
      <c r="A66" s="3" t="s">
        <v>213</v>
      </c>
      <c r="B66" s="1">
        <f t="shared" ref="B66:Q66" si="13">SUBTOTAL(9,B56:B65)</f>
        <v>4452955.458333334</v>
      </c>
      <c r="C66" s="1">
        <f t="shared" si="13"/>
        <v>229526.91666666674</v>
      </c>
      <c r="D66" s="1">
        <f t="shared" si="13"/>
        <v>46525677.369999997</v>
      </c>
      <c r="E66" s="1">
        <f t="shared" si="13"/>
        <v>48233562.880000003</v>
      </c>
      <c r="F66" s="1">
        <f t="shared" si="13"/>
        <v>178160419.33333334</v>
      </c>
      <c r="G66" s="1">
        <f t="shared" si="13"/>
        <v>1560827.458333334</v>
      </c>
      <c r="H66" s="1">
        <f t="shared" si="13"/>
        <v>60427358.083333336</v>
      </c>
      <c r="I66" s="1">
        <f t="shared" si="13"/>
        <v>0</v>
      </c>
      <c r="J66" s="1">
        <f t="shared" si="13"/>
        <v>0</v>
      </c>
      <c r="K66" s="1">
        <f t="shared" si="13"/>
        <v>0</v>
      </c>
      <c r="L66" s="1">
        <f t="shared" si="13"/>
        <v>0</v>
      </c>
      <c r="M66" s="1">
        <f t="shared" si="13"/>
        <v>0</v>
      </c>
      <c r="N66" s="1">
        <f t="shared" si="13"/>
        <v>0</v>
      </c>
      <c r="O66" s="1">
        <f t="shared" si="13"/>
        <v>0</v>
      </c>
      <c r="P66" s="1">
        <f t="shared" si="13"/>
        <v>0</v>
      </c>
      <c r="Q66" s="1">
        <f t="shared" si="13"/>
        <v>0</v>
      </c>
      <c r="R66" s="1">
        <f>SUBTOTAL(9,R56:R65)</f>
        <v>339590327.5</v>
      </c>
    </row>
    <row r="67" spans="1:19" x14ac:dyDescent="0.3">
      <c r="A67" s="2" t="s">
        <v>186</v>
      </c>
    </row>
    <row r="68" spans="1:19" x14ac:dyDescent="0.3">
      <c r="A68" s="3" t="s">
        <v>238</v>
      </c>
      <c r="B68" s="1">
        <f t="array" ref="B68:Q68">MMULT(B37:E37,$B$44:$Q$47)</f>
        <v>0</v>
      </c>
      <c r="C68" s="1">
        <v>0</v>
      </c>
      <c r="D68" s="1">
        <v>0</v>
      </c>
      <c r="E68" s="1">
        <v>0</v>
      </c>
      <c r="F68" s="1">
        <v>0</v>
      </c>
      <c r="G68" s="1">
        <v>0</v>
      </c>
      <c r="H68" s="1">
        <v>0</v>
      </c>
      <c r="I68" s="1">
        <v>0</v>
      </c>
      <c r="J68" s="1">
        <v>0</v>
      </c>
      <c r="K68" s="1">
        <v>0</v>
      </c>
      <c r="L68" s="1">
        <v>0</v>
      </c>
      <c r="M68" s="1">
        <v>0</v>
      </c>
      <c r="N68" s="1">
        <v>0</v>
      </c>
      <c r="O68" s="1">
        <v>0</v>
      </c>
      <c r="P68" s="1">
        <v>0</v>
      </c>
      <c r="Q68" s="1">
        <v>0</v>
      </c>
      <c r="R68" s="1">
        <f>SUM(B68:Q68)</f>
        <v>0</v>
      </c>
    </row>
    <row r="69" spans="1:19" x14ac:dyDescent="0.3">
      <c r="A69" s="3" t="s">
        <v>239</v>
      </c>
      <c r="B69" s="1">
        <f t="array" ref="B69:Q69">MMULT(B38:E38,$B$44:$Q$47)</f>
        <v>0</v>
      </c>
      <c r="C69" s="1">
        <v>0</v>
      </c>
      <c r="D69" s="1">
        <v>0</v>
      </c>
      <c r="E69" s="1">
        <v>0</v>
      </c>
      <c r="F69" s="1">
        <v>0</v>
      </c>
      <c r="G69" s="1">
        <v>0</v>
      </c>
      <c r="H69" s="1">
        <v>0</v>
      </c>
      <c r="I69" s="1">
        <v>0</v>
      </c>
      <c r="J69" s="1">
        <v>0</v>
      </c>
      <c r="K69" s="1">
        <v>0</v>
      </c>
      <c r="L69" s="1">
        <v>0</v>
      </c>
      <c r="M69" s="1">
        <v>0</v>
      </c>
      <c r="N69" s="1">
        <v>0</v>
      </c>
      <c r="O69" s="1">
        <v>0</v>
      </c>
      <c r="P69" s="1">
        <v>0</v>
      </c>
      <c r="Q69" s="1">
        <v>0</v>
      </c>
      <c r="R69" s="1">
        <f>SUM(B69:Q69)</f>
        <v>0</v>
      </c>
    </row>
    <row r="70" spans="1:19" x14ac:dyDescent="0.3">
      <c r="A70" s="3" t="s">
        <v>187</v>
      </c>
      <c r="B70" s="1">
        <f t="shared" ref="B70:R70" si="14">SUBTOTAL(9,B68:B69)</f>
        <v>0</v>
      </c>
      <c r="C70" s="1">
        <f t="shared" si="14"/>
        <v>0</v>
      </c>
      <c r="D70" s="1">
        <f t="shared" si="14"/>
        <v>0</v>
      </c>
      <c r="E70" s="1">
        <f t="shared" si="14"/>
        <v>0</v>
      </c>
      <c r="F70" s="1">
        <f>SUBTOTAL(9,E68:F69)</f>
        <v>0</v>
      </c>
      <c r="G70" s="1">
        <f t="shared" si="14"/>
        <v>0</v>
      </c>
      <c r="H70" s="1">
        <f t="shared" si="14"/>
        <v>0</v>
      </c>
      <c r="I70" s="1">
        <f t="shared" si="14"/>
        <v>0</v>
      </c>
      <c r="J70" s="1">
        <f t="shared" si="14"/>
        <v>0</v>
      </c>
      <c r="K70" s="1">
        <f t="shared" si="14"/>
        <v>0</v>
      </c>
      <c r="L70" s="1">
        <f t="shared" si="14"/>
        <v>0</v>
      </c>
      <c r="M70" s="1">
        <f t="shared" si="14"/>
        <v>0</v>
      </c>
      <c r="N70" s="1">
        <f t="shared" si="14"/>
        <v>0</v>
      </c>
      <c r="O70" s="1">
        <f t="shared" si="14"/>
        <v>0</v>
      </c>
      <c r="P70" s="1">
        <f t="shared" si="14"/>
        <v>0</v>
      </c>
      <c r="Q70" s="1">
        <f t="shared" si="14"/>
        <v>0</v>
      </c>
      <c r="R70" s="1">
        <f t="shared" si="14"/>
        <v>0</v>
      </c>
    </row>
    <row r="71" spans="1:19" x14ac:dyDescent="0.3">
      <c r="A71" s="2" t="s">
        <v>214</v>
      </c>
      <c r="B71" s="1">
        <f t="shared" ref="B71:R71" si="15">SUBTOTAL(9,B56:B70)</f>
        <v>4452955.458333334</v>
      </c>
      <c r="C71" s="1">
        <f t="shared" si="15"/>
        <v>229526.91666666674</v>
      </c>
      <c r="D71" s="1">
        <f t="shared" si="15"/>
        <v>46525677.369999997</v>
      </c>
      <c r="E71" s="1">
        <f t="shared" si="15"/>
        <v>48233562.880000003</v>
      </c>
      <c r="F71" s="1">
        <f t="shared" si="15"/>
        <v>178160419.33333334</v>
      </c>
      <c r="G71" s="1">
        <f t="shared" si="15"/>
        <v>1560827.458333334</v>
      </c>
      <c r="H71" s="1">
        <f t="shared" si="15"/>
        <v>60427358.083333336</v>
      </c>
      <c r="I71" s="1">
        <f t="shared" si="15"/>
        <v>0</v>
      </c>
      <c r="J71" s="1">
        <f t="shared" si="15"/>
        <v>0</v>
      </c>
      <c r="K71" s="1">
        <f t="shared" si="15"/>
        <v>0</v>
      </c>
      <c r="L71" s="1">
        <f t="shared" si="15"/>
        <v>0</v>
      </c>
      <c r="M71" s="1">
        <f t="shared" si="15"/>
        <v>0</v>
      </c>
      <c r="N71" s="1">
        <f t="shared" si="15"/>
        <v>0</v>
      </c>
      <c r="O71" s="1">
        <f t="shared" si="15"/>
        <v>0</v>
      </c>
      <c r="P71" s="1">
        <f t="shared" si="15"/>
        <v>0</v>
      </c>
      <c r="Q71" s="1">
        <f t="shared" si="15"/>
        <v>0</v>
      </c>
      <c r="R71" s="1">
        <f t="shared" si="15"/>
        <v>339590327.5</v>
      </c>
      <c r="S71" s="49">
        <f>R71/R128</f>
        <v>0.43578943129304576</v>
      </c>
    </row>
    <row r="73" spans="1:19" x14ac:dyDescent="0.3">
      <c r="A73" s="1" t="s">
        <v>227</v>
      </c>
    </row>
    <row r="74" spans="1:19" s="9" customFormat="1" ht="54" x14ac:dyDescent="0.25">
      <c r="B74" s="17" t="str">
        <f t="array" ref="B74:Q74">TRANSPOSE(List_Functions)</f>
        <v>Generation</v>
      </c>
      <c r="C74" s="17" t="str">
        <v>Purchased Power</v>
      </c>
      <c r="D74" s="17" t="str">
        <v>Transmission</v>
      </c>
      <c r="E74" s="17" t="str">
        <v>Substations</v>
      </c>
      <c r="F74" s="17" t="str">
        <v>Primary Lines</v>
      </c>
      <c r="G74" s="17" t="str">
        <v>Transformers</v>
      </c>
      <c r="H74" s="17" t="str">
        <v>Secondary Lines</v>
      </c>
      <c r="I74" s="17" t="str">
        <v>Service Lines</v>
      </c>
      <c r="J74" s="17" t="str">
        <v>Meter Assets</v>
      </c>
      <c r="K74" s="17" t="str">
        <v>Meter Reading</v>
      </c>
      <c r="L74" s="17" t="str">
        <v>Billing</v>
      </c>
      <c r="M74" s="17" t="str">
        <v>Remittance &amp; Collection</v>
      </c>
      <c r="N74" s="17" t="str">
        <v>Uncollectibles &amp; Damage Claims</v>
      </c>
      <c r="O74" s="17" t="str">
        <v>Service Connections</v>
      </c>
      <c r="P74" s="17" t="str">
        <v>Late Payments</v>
      </c>
      <c r="Q74" s="17" t="str">
        <v>Lighting</v>
      </c>
      <c r="R74" s="17" t="s">
        <v>214</v>
      </c>
    </row>
    <row r="75" spans="1:19" x14ac:dyDescent="0.3">
      <c r="A75" s="1" t="s">
        <v>129</v>
      </c>
    </row>
    <row r="76" spans="1:19" x14ac:dyDescent="0.3">
      <c r="A76" s="3" t="s">
        <v>172</v>
      </c>
      <c r="B76" s="1">
        <f t="array" ref="B76:Q76">MMULT($F26,$B$48:$Q$48)</f>
        <v>0</v>
      </c>
      <c r="C76" s="1">
        <v>0</v>
      </c>
      <c r="D76" s="1">
        <v>0</v>
      </c>
      <c r="E76" s="1">
        <v>0</v>
      </c>
      <c r="F76" s="1">
        <v>0</v>
      </c>
      <c r="G76" s="1">
        <v>0</v>
      </c>
      <c r="H76" s="1">
        <v>0</v>
      </c>
      <c r="I76" s="1">
        <v>0</v>
      </c>
      <c r="J76" s="1">
        <v>0</v>
      </c>
      <c r="K76" s="1">
        <v>0</v>
      </c>
      <c r="L76" s="1">
        <v>0</v>
      </c>
      <c r="M76" s="1">
        <v>0</v>
      </c>
      <c r="N76" s="1">
        <v>0</v>
      </c>
      <c r="O76" s="1">
        <v>0</v>
      </c>
      <c r="P76" s="1">
        <v>0</v>
      </c>
      <c r="Q76" s="1">
        <v>0</v>
      </c>
      <c r="R76" s="1">
        <f>SUM(B76:Q76)</f>
        <v>0</v>
      </c>
    </row>
    <row r="77" spans="1:19" x14ac:dyDescent="0.3">
      <c r="A77" s="3" t="s">
        <v>173</v>
      </c>
    </row>
    <row r="78" spans="1:19" x14ac:dyDescent="0.3">
      <c r="A78" s="4" t="s">
        <v>13</v>
      </c>
      <c r="B78" s="1">
        <f t="array" ref="B78:Q78">MMULT($F28,$B$48:$Q$48)</f>
        <v>0</v>
      </c>
      <c r="C78" s="1">
        <v>0</v>
      </c>
      <c r="D78" s="1">
        <v>0</v>
      </c>
      <c r="E78" s="1">
        <v>0</v>
      </c>
      <c r="F78" s="1">
        <v>0</v>
      </c>
      <c r="G78" s="1">
        <v>0</v>
      </c>
      <c r="H78" s="1">
        <v>0</v>
      </c>
      <c r="I78" s="1">
        <v>0</v>
      </c>
      <c r="J78" s="1">
        <v>0</v>
      </c>
      <c r="K78" s="1">
        <v>0</v>
      </c>
      <c r="L78" s="1">
        <v>0</v>
      </c>
      <c r="M78" s="1">
        <v>0</v>
      </c>
      <c r="N78" s="1">
        <v>0</v>
      </c>
      <c r="O78" s="1">
        <v>0</v>
      </c>
      <c r="P78" s="1">
        <v>0</v>
      </c>
      <c r="Q78" s="1">
        <v>0</v>
      </c>
      <c r="R78" s="1">
        <f>SUM(B78:Q78)</f>
        <v>0</v>
      </c>
    </row>
    <row r="79" spans="1:19" x14ac:dyDescent="0.3">
      <c r="A79" s="4" t="s">
        <v>140</v>
      </c>
      <c r="B79" s="1">
        <f t="array" ref="B79:Q79">MMULT($F29,$B$48:$Q$48)</f>
        <v>0</v>
      </c>
      <c r="C79" s="1">
        <v>0</v>
      </c>
      <c r="D79" s="1">
        <v>0</v>
      </c>
      <c r="E79" s="1">
        <v>0</v>
      </c>
      <c r="F79" s="1">
        <v>0</v>
      </c>
      <c r="G79" s="1">
        <v>0</v>
      </c>
      <c r="H79" s="1">
        <v>0</v>
      </c>
      <c r="I79" s="1">
        <v>0</v>
      </c>
      <c r="J79" s="1">
        <v>0</v>
      </c>
      <c r="K79" s="1">
        <v>0</v>
      </c>
      <c r="L79" s="1">
        <v>0</v>
      </c>
      <c r="M79" s="1">
        <v>0</v>
      </c>
      <c r="N79" s="1">
        <v>0</v>
      </c>
      <c r="O79" s="1">
        <v>0</v>
      </c>
      <c r="P79" s="1">
        <v>0</v>
      </c>
      <c r="Q79" s="1">
        <v>0</v>
      </c>
      <c r="R79" s="1">
        <f>SUM(B79:Q79)</f>
        <v>0</v>
      </c>
    </row>
    <row r="80" spans="1:19" x14ac:dyDescent="0.3">
      <c r="A80" s="4" t="s">
        <v>141</v>
      </c>
      <c r="B80" s="1">
        <f t="array" ref="B80:Q80">MMULT($F30,$B$48:$Q$48)</f>
        <v>0</v>
      </c>
      <c r="C80" s="1">
        <v>0</v>
      </c>
      <c r="D80" s="1">
        <v>0</v>
      </c>
      <c r="E80" s="1">
        <v>0</v>
      </c>
      <c r="F80" s="1">
        <v>0</v>
      </c>
      <c r="G80" s="1">
        <v>0</v>
      </c>
      <c r="H80" s="1">
        <v>0</v>
      </c>
      <c r="I80" s="1">
        <v>0</v>
      </c>
      <c r="J80" s="1">
        <v>0</v>
      </c>
      <c r="K80" s="1">
        <v>0</v>
      </c>
      <c r="L80" s="1">
        <v>0</v>
      </c>
      <c r="M80" s="1">
        <v>0</v>
      </c>
      <c r="N80" s="1">
        <v>0</v>
      </c>
      <c r="O80" s="1">
        <v>0</v>
      </c>
      <c r="P80" s="1">
        <v>0</v>
      </c>
      <c r="Q80" s="1">
        <v>0</v>
      </c>
      <c r="R80" s="1">
        <f>SUM(B80:Q80)</f>
        <v>0</v>
      </c>
    </row>
    <row r="81" spans="1:18" x14ac:dyDescent="0.3">
      <c r="A81" s="4" t="s">
        <v>142</v>
      </c>
      <c r="B81" s="1">
        <f t="array" ref="B81:Q81">MMULT($F31,$B$48:$Q$48)</f>
        <v>0</v>
      </c>
      <c r="C81" s="1">
        <v>0</v>
      </c>
      <c r="D81" s="1">
        <v>0</v>
      </c>
      <c r="E81" s="1">
        <v>0</v>
      </c>
      <c r="F81" s="1">
        <v>0</v>
      </c>
      <c r="G81" s="1">
        <v>0</v>
      </c>
      <c r="H81" s="1">
        <v>0</v>
      </c>
      <c r="I81" s="1">
        <v>0</v>
      </c>
      <c r="J81" s="1">
        <v>0</v>
      </c>
      <c r="K81" s="1">
        <v>0</v>
      </c>
      <c r="L81" s="1">
        <v>0</v>
      </c>
      <c r="M81" s="1">
        <v>0</v>
      </c>
      <c r="N81" s="1">
        <v>0</v>
      </c>
      <c r="O81" s="1">
        <v>0</v>
      </c>
      <c r="P81" s="1">
        <v>0</v>
      </c>
      <c r="Q81" s="1">
        <v>0</v>
      </c>
      <c r="R81" s="1">
        <f>SUM(B81:Q81)</f>
        <v>0</v>
      </c>
    </row>
    <row r="82" spans="1:18" x14ac:dyDescent="0.3">
      <c r="A82" s="4" t="s">
        <v>143</v>
      </c>
      <c r="B82" s="1">
        <f t="array" ref="B82:Q82">MMULT($F32,$B$48:$Q$48)</f>
        <v>0</v>
      </c>
      <c r="C82" s="1">
        <v>0</v>
      </c>
      <c r="D82" s="1">
        <v>0</v>
      </c>
      <c r="E82" s="1">
        <v>0</v>
      </c>
      <c r="F82" s="1">
        <v>0</v>
      </c>
      <c r="G82" s="1">
        <v>0</v>
      </c>
      <c r="H82" s="1">
        <v>0</v>
      </c>
      <c r="I82" s="1">
        <v>0</v>
      </c>
      <c r="J82" s="1">
        <v>0</v>
      </c>
      <c r="K82" s="1">
        <v>0</v>
      </c>
      <c r="L82" s="1">
        <v>0</v>
      </c>
      <c r="M82" s="1">
        <v>0</v>
      </c>
      <c r="N82" s="1">
        <v>0</v>
      </c>
      <c r="O82" s="1">
        <v>0</v>
      </c>
      <c r="P82" s="1">
        <v>0</v>
      </c>
      <c r="Q82" s="1">
        <v>0</v>
      </c>
      <c r="R82" s="1">
        <f>SUM(B82:Q82)</f>
        <v>0</v>
      </c>
    </row>
    <row r="83" spans="1:18" x14ac:dyDescent="0.3">
      <c r="A83" s="4" t="s">
        <v>174</v>
      </c>
      <c r="B83" s="1">
        <f t="shared" ref="B83:R83" si="16">SUBTOTAL(9,B77:B82)</f>
        <v>0</v>
      </c>
      <c r="C83" s="1">
        <f t="shared" si="16"/>
        <v>0</v>
      </c>
      <c r="D83" s="1">
        <f t="shared" si="16"/>
        <v>0</v>
      </c>
      <c r="E83" s="1">
        <f t="shared" si="16"/>
        <v>0</v>
      </c>
      <c r="F83" s="1">
        <f t="shared" si="16"/>
        <v>0</v>
      </c>
      <c r="G83" s="1">
        <f t="shared" si="16"/>
        <v>0</v>
      </c>
      <c r="H83" s="1">
        <f t="shared" si="16"/>
        <v>0</v>
      </c>
      <c r="I83" s="1">
        <f t="shared" si="16"/>
        <v>0</v>
      </c>
      <c r="J83" s="1">
        <f t="shared" si="16"/>
        <v>0</v>
      </c>
      <c r="K83" s="1">
        <f t="shared" si="16"/>
        <v>0</v>
      </c>
      <c r="L83" s="1">
        <f t="shared" si="16"/>
        <v>0</v>
      </c>
      <c r="M83" s="1">
        <f t="shared" si="16"/>
        <v>0</v>
      </c>
      <c r="N83" s="1">
        <f t="shared" si="16"/>
        <v>0</v>
      </c>
      <c r="O83" s="1">
        <f t="shared" si="16"/>
        <v>0</v>
      </c>
      <c r="P83" s="1">
        <f t="shared" si="16"/>
        <v>0</v>
      </c>
      <c r="Q83" s="1">
        <f t="shared" si="16"/>
        <v>0</v>
      </c>
      <c r="R83" s="1">
        <f t="shared" si="16"/>
        <v>0</v>
      </c>
    </row>
    <row r="84" spans="1:18" x14ac:dyDescent="0.3">
      <c r="A84" s="3" t="s">
        <v>175</v>
      </c>
      <c r="B84" s="1">
        <f t="array" ref="B84:Q84">MMULT($F34,$B$48:$Q$48)</f>
        <v>0</v>
      </c>
      <c r="C84" s="1">
        <v>0</v>
      </c>
      <c r="D84" s="1">
        <v>0</v>
      </c>
      <c r="E84" s="1">
        <v>0</v>
      </c>
      <c r="F84" s="1">
        <v>0</v>
      </c>
      <c r="G84" s="1">
        <v>0</v>
      </c>
      <c r="H84" s="1">
        <v>0</v>
      </c>
      <c r="I84" s="1">
        <v>0</v>
      </c>
      <c r="J84" s="1">
        <v>0</v>
      </c>
      <c r="K84" s="1">
        <v>0</v>
      </c>
      <c r="L84" s="1">
        <v>0</v>
      </c>
      <c r="M84" s="1">
        <v>0</v>
      </c>
      <c r="N84" s="1">
        <v>0</v>
      </c>
      <c r="O84" s="1">
        <v>0</v>
      </c>
      <c r="P84" s="1">
        <v>0</v>
      </c>
      <c r="Q84" s="1">
        <v>0</v>
      </c>
      <c r="R84" s="1">
        <f>SUM(B84:Q84)</f>
        <v>0</v>
      </c>
    </row>
    <row r="85" spans="1:18" x14ac:dyDescent="0.3">
      <c r="A85" s="3" t="s">
        <v>213</v>
      </c>
      <c r="B85" s="1">
        <f t="shared" ref="B85:Q85" si="17">SUBTOTAL(9,B75:B84)</f>
        <v>0</v>
      </c>
      <c r="C85" s="1">
        <f t="shared" si="17"/>
        <v>0</v>
      </c>
      <c r="D85" s="1">
        <f t="shared" si="17"/>
        <v>0</v>
      </c>
      <c r="E85" s="1">
        <f t="shared" si="17"/>
        <v>0</v>
      </c>
      <c r="F85" s="1">
        <f t="shared" si="17"/>
        <v>0</v>
      </c>
      <c r="G85" s="1">
        <f t="shared" si="17"/>
        <v>0</v>
      </c>
      <c r="H85" s="1">
        <f t="shared" si="17"/>
        <v>0</v>
      </c>
      <c r="I85" s="1">
        <f t="shared" si="17"/>
        <v>0</v>
      </c>
      <c r="J85" s="1">
        <f t="shared" si="17"/>
        <v>0</v>
      </c>
      <c r="K85" s="1">
        <f t="shared" si="17"/>
        <v>0</v>
      </c>
      <c r="L85" s="1">
        <f t="shared" si="17"/>
        <v>0</v>
      </c>
      <c r="M85" s="1">
        <f t="shared" si="17"/>
        <v>0</v>
      </c>
      <c r="N85" s="1">
        <f t="shared" si="17"/>
        <v>0</v>
      </c>
      <c r="O85" s="1">
        <f t="shared" si="17"/>
        <v>0</v>
      </c>
      <c r="P85" s="1">
        <f t="shared" si="17"/>
        <v>0</v>
      </c>
      <c r="Q85" s="1">
        <f t="shared" si="17"/>
        <v>0</v>
      </c>
      <c r="R85" s="1">
        <f>SUBTOTAL(9,R75:R84)</f>
        <v>0</v>
      </c>
    </row>
    <row r="86" spans="1:18" x14ac:dyDescent="0.3">
      <c r="A86" s="2" t="s">
        <v>186</v>
      </c>
    </row>
    <row r="87" spans="1:18" x14ac:dyDescent="0.3">
      <c r="A87" s="3" t="s">
        <v>238</v>
      </c>
      <c r="B87" s="1">
        <f t="array" ref="B87:Q87">MMULT($F37,$B$48:$Q$48)</f>
        <v>0</v>
      </c>
      <c r="C87" s="1">
        <v>0</v>
      </c>
      <c r="D87" s="1">
        <v>0</v>
      </c>
      <c r="E87" s="1">
        <v>0</v>
      </c>
      <c r="F87" s="1">
        <v>144280.48973076654</v>
      </c>
      <c r="G87" s="1">
        <v>89626.013692311317</v>
      </c>
      <c r="H87" s="1">
        <v>48093.496576922174</v>
      </c>
      <c r="I87" s="1">
        <v>0</v>
      </c>
      <c r="J87" s="1">
        <v>0</v>
      </c>
      <c r="K87" s="1">
        <v>0</v>
      </c>
      <c r="L87" s="1">
        <v>0</v>
      </c>
      <c r="M87" s="1">
        <v>0</v>
      </c>
      <c r="N87" s="1">
        <v>0</v>
      </c>
      <c r="O87" s="1">
        <v>0</v>
      </c>
      <c r="P87" s="1">
        <v>0</v>
      </c>
      <c r="Q87" s="1">
        <v>0</v>
      </c>
      <c r="R87" s="1">
        <f>SUM(B87:Q87)</f>
        <v>282000.00000000006</v>
      </c>
    </row>
    <row r="88" spans="1:18" x14ac:dyDescent="0.3">
      <c r="A88" s="3" t="s">
        <v>239</v>
      </c>
      <c r="B88" s="1">
        <f t="array" ref="B88:Q88">MMULT($F38,$B$48:$Q$48)</f>
        <v>0</v>
      </c>
      <c r="C88" s="1">
        <v>0</v>
      </c>
      <c r="D88" s="1">
        <v>0</v>
      </c>
      <c r="E88" s="1">
        <v>0</v>
      </c>
      <c r="F88" s="1">
        <v>0</v>
      </c>
      <c r="G88" s="1">
        <v>0</v>
      </c>
      <c r="H88" s="1">
        <v>0</v>
      </c>
      <c r="I88" s="1">
        <v>0</v>
      </c>
      <c r="J88" s="1">
        <v>0</v>
      </c>
      <c r="K88" s="1">
        <v>0</v>
      </c>
      <c r="L88" s="1">
        <v>0</v>
      </c>
      <c r="M88" s="1">
        <v>0</v>
      </c>
      <c r="N88" s="1">
        <v>0</v>
      </c>
      <c r="O88" s="1">
        <v>0</v>
      </c>
      <c r="P88" s="1">
        <v>0</v>
      </c>
      <c r="Q88" s="1">
        <v>0</v>
      </c>
      <c r="R88" s="1">
        <f>SUM(B88:Q88)</f>
        <v>0</v>
      </c>
    </row>
    <row r="89" spans="1:18" x14ac:dyDescent="0.3">
      <c r="A89" s="3" t="s">
        <v>187</v>
      </c>
      <c r="B89" s="1">
        <f t="shared" ref="B89:R89" si="18">SUBTOTAL(9,B87:B88)</f>
        <v>0</v>
      </c>
      <c r="C89" s="1">
        <f t="shared" si="18"/>
        <v>0</v>
      </c>
      <c r="D89" s="1">
        <f t="shared" si="18"/>
        <v>0</v>
      </c>
      <c r="E89" s="1">
        <f t="shared" si="18"/>
        <v>0</v>
      </c>
      <c r="F89" s="1">
        <f t="shared" si="18"/>
        <v>144280.48973076654</v>
      </c>
      <c r="G89" s="1">
        <f t="shared" si="18"/>
        <v>89626.013692311317</v>
      </c>
      <c r="H89" s="1">
        <f t="shared" si="18"/>
        <v>48093.496576922174</v>
      </c>
      <c r="I89" s="1">
        <f t="shared" si="18"/>
        <v>0</v>
      </c>
      <c r="J89" s="1">
        <f t="shared" si="18"/>
        <v>0</v>
      </c>
      <c r="K89" s="1">
        <f t="shared" si="18"/>
        <v>0</v>
      </c>
      <c r="L89" s="1">
        <f t="shared" si="18"/>
        <v>0</v>
      </c>
      <c r="M89" s="1">
        <f t="shared" si="18"/>
        <v>0</v>
      </c>
      <c r="N89" s="1">
        <f t="shared" si="18"/>
        <v>0</v>
      </c>
      <c r="O89" s="1">
        <f t="shared" si="18"/>
        <v>0</v>
      </c>
      <c r="P89" s="1">
        <f t="shared" si="18"/>
        <v>0</v>
      </c>
      <c r="Q89" s="1">
        <f t="shared" si="18"/>
        <v>0</v>
      </c>
      <c r="R89" s="1">
        <f t="shared" si="18"/>
        <v>282000.00000000006</v>
      </c>
    </row>
    <row r="90" spans="1:18" x14ac:dyDescent="0.3">
      <c r="A90" s="2" t="s">
        <v>214</v>
      </c>
      <c r="B90" s="1">
        <f t="shared" ref="B90:R90" si="19">SUBTOTAL(9,B75:B89)</f>
        <v>0</v>
      </c>
      <c r="C90" s="1">
        <f t="shared" si="19"/>
        <v>0</v>
      </c>
      <c r="D90" s="1">
        <f t="shared" si="19"/>
        <v>0</v>
      </c>
      <c r="E90" s="1">
        <f t="shared" si="19"/>
        <v>0</v>
      </c>
      <c r="F90" s="1">
        <f t="shared" si="19"/>
        <v>144280.48973076654</v>
      </c>
      <c r="G90" s="1">
        <f t="shared" si="19"/>
        <v>89626.013692311317</v>
      </c>
      <c r="H90" s="1">
        <f t="shared" si="19"/>
        <v>48093.496576922174</v>
      </c>
      <c r="I90" s="1">
        <f t="shared" si="19"/>
        <v>0</v>
      </c>
      <c r="J90" s="1">
        <f t="shared" si="19"/>
        <v>0</v>
      </c>
      <c r="K90" s="1">
        <f t="shared" si="19"/>
        <v>0</v>
      </c>
      <c r="L90" s="1">
        <f t="shared" si="19"/>
        <v>0</v>
      </c>
      <c r="M90" s="1">
        <f t="shared" si="19"/>
        <v>0</v>
      </c>
      <c r="N90" s="1">
        <f t="shared" si="19"/>
        <v>0</v>
      </c>
      <c r="O90" s="1">
        <f t="shared" si="19"/>
        <v>0</v>
      </c>
      <c r="P90" s="1">
        <f t="shared" si="19"/>
        <v>0</v>
      </c>
      <c r="Q90" s="1">
        <f t="shared" si="19"/>
        <v>0</v>
      </c>
      <c r="R90" s="1">
        <f t="shared" si="19"/>
        <v>282000.00000000006</v>
      </c>
    </row>
    <row r="92" spans="1:18" x14ac:dyDescent="0.3">
      <c r="A92" s="1" t="s">
        <v>228</v>
      </c>
    </row>
    <row r="93" spans="1:18" s="9" customFormat="1" ht="54" x14ac:dyDescent="0.25">
      <c r="B93" s="17" t="str">
        <f t="array" ref="B93:Q93">TRANSPOSE(List_Functions)</f>
        <v>Generation</v>
      </c>
      <c r="C93" s="17" t="str">
        <v>Purchased Power</v>
      </c>
      <c r="D93" s="17" t="str">
        <v>Transmission</v>
      </c>
      <c r="E93" s="17" t="str">
        <v>Substations</v>
      </c>
      <c r="F93" s="17" t="str">
        <v>Primary Lines</v>
      </c>
      <c r="G93" s="17" t="str">
        <v>Transformers</v>
      </c>
      <c r="H93" s="17" t="str">
        <v>Secondary Lines</v>
      </c>
      <c r="I93" s="17" t="str">
        <v>Service Lines</v>
      </c>
      <c r="J93" s="17" t="str">
        <v>Meter Assets</v>
      </c>
      <c r="K93" s="17" t="str">
        <v>Meter Reading</v>
      </c>
      <c r="L93" s="17" t="str">
        <v>Billing</v>
      </c>
      <c r="M93" s="17" t="str">
        <v>Remittance &amp; Collection</v>
      </c>
      <c r="N93" s="17" t="str">
        <v>Uncollectibles &amp; Damage Claims</v>
      </c>
      <c r="O93" s="17" t="str">
        <v>Service Connections</v>
      </c>
      <c r="P93" s="17" t="str">
        <v>Late Payments</v>
      </c>
      <c r="Q93" s="17" t="str">
        <v>Lighting</v>
      </c>
      <c r="R93" s="17" t="s">
        <v>214</v>
      </c>
    </row>
    <row r="94" spans="1:18" x14ac:dyDescent="0.3">
      <c r="A94" s="1" t="s">
        <v>129</v>
      </c>
    </row>
    <row r="95" spans="1:18" x14ac:dyDescent="0.3">
      <c r="A95" s="3" t="s">
        <v>172</v>
      </c>
      <c r="B95" s="1">
        <f t="array" ref="B95:Q95">MMULT(G26:J26,$B$49:$Q$52)</f>
        <v>0</v>
      </c>
      <c r="C95" s="1">
        <v>0</v>
      </c>
      <c r="D95" s="1">
        <v>0</v>
      </c>
      <c r="E95" s="1">
        <v>0</v>
      </c>
      <c r="F95" s="1">
        <v>0</v>
      </c>
      <c r="G95" s="1">
        <v>0</v>
      </c>
      <c r="H95" s="1">
        <v>0</v>
      </c>
      <c r="I95" s="1">
        <v>0</v>
      </c>
      <c r="J95" s="1">
        <v>0</v>
      </c>
      <c r="K95" s="1">
        <v>0</v>
      </c>
      <c r="L95" s="1">
        <v>0</v>
      </c>
      <c r="M95" s="1">
        <v>0</v>
      </c>
      <c r="N95" s="1">
        <v>0</v>
      </c>
      <c r="O95" s="1">
        <v>0</v>
      </c>
      <c r="P95" s="1">
        <v>0</v>
      </c>
      <c r="Q95" s="1">
        <v>0</v>
      </c>
      <c r="R95" s="1">
        <f>SUM(B95:Q95)</f>
        <v>0</v>
      </c>
    </row>
    <row r="96" spans="1:18" x14ac:dyDescent="0.3">
      <c r="A96" s="3" t="s">
        <v>173</v>
      </c>
    </row>
    <row r="97" spans="1:18" x14ac:dyDescent="0.3">
      <c r="A97" s="4" t="s">
        <v>13</v>
      </c>
      <c r="B97" s="1">
        <f t="array" ref="B97:Q97">MMULT(G28:J28,$B$49:$Q$52)</f>
        <v>0</v>
      </c>
      <c r="C97" s="1">
        <v>0</v>
      </c>
      <c r="D97" s="1">
        <v>0</v>
      </c>
      <c r="E97" s="1">
        <v>0</v>
      </c>
      <c r="F97" s="1">
        <v>0</v>
      </c>
      <c r="G97" s="1">
        <v>0</v>
      </c>
      <c r="H97" s="1">
        <v>0</v>
      </c>
      <c r="I97" s="1">
        <v>0</v>
      </c>
      <c r="J97" s="1">
        <v>0</v>
      </c>
      <c r="K97" s="1">
        <v>0</v>
      </c>
      <c r="L97" s="1">
        <v>0</v>
      </c>
      <c r="M97" s="1">
        <v>0</v>
      </c>
      <c r="N97" s="1">
        <v>0</v>
      </c>
      <c r="O97" s="1">
        <v>0</v>
      </c>
      <c r="P97" s="1">
        <v>0</v>
      </c>
      <c r="Q97" s="1">
        <v>0</v>
      </c>
      <c r="R97" s="1">
        <f>SUM(B97:Q97)</f>
        <v>0</v>
      </c>
    </row>
    <row r="98" spans="1:18" x14ac:dyDescent="0.3">
      <c r="A98" s="4" t="s">
        <v>140</v>
      </c>
      <c r="B98" s="1">
        <f t="array" ref="B98:Q98">MMULT(G29:J29,$B$49:$Q$52)</f>
        <v>0</v>
      </c>
      <c r="C98" s="1">
        <v>0</v>
      </c>
      <c r="D98" s="1">
        <v>0</v>
      </c>
      <c r="E98" s="1">
        <v>881627.57072592911</v>
      </c>
      <c r="F98" s="1">
        <v>3220441.4244355224</v>
      </c>
      <c r="G98" s="1">
        <v>2000515.3000267071</v>
      </c>
      <c r="H98" s="1">
        <v>1073480.4748118408</v>
      </c>
      <c r="I98" s="1">
        <v>0</v>
      </c>
      <c r="J98" s="1">
        <v>0</v>
      </c>
      <c r="K98" s="1">
        <v>0</v>
      </c>
      <c r="L98" s="1">
        <v>0</v>
      </c>
      <c r="M98" s="1">
        <v>0</v>
      </c>
      <c r="N98" s="1">
        <v>0</v>
      </c>
      <c r="O98" s="1">
        <v>0</v>
      </c>
      <c r="P98" s="1">
        <v>0</v>
      </c>
      <c r="Q98" s="1">
        <v>0</v>
      </c>
      <c r="R98" s="1">
        <f>SUM(B98:Q98)</f>
        <v>7176064.7699999996</v>
      </c>
    </row>
    <row r="99" spans="1:18" x14ac:dyDescent="0.3">
      <c r="A99" s="4" t="s">
        <v>141</v>
      </c>
      <c r="B99" s="1">
        <f t="array" ref="B99:Q99">MMULT(G30:J30,$B$49:$Q$52)</f>
        <v>0</v>
      </c>
      <c r="C99" s="1">
        <v>0</v>
      </c>
      <c r="D99" s="1">
        <v>0</v>
      </c>
      <c r="E99" s="1">
        <v>0</v>
      </c>
      <c r="F99" s="1">
        <v>0</v>
      </c>
      <c r="G99" s="1">
        <v>0</v>
      </c>
      <c r="H99" s="1">
        <v>0</v>
      </c>
      <c r="I99" s="1">
        <v>0</v>
      </c>
      <c r="J99" s="1">
        <v>0</v>
      </c>
      <c r="K99" s="1">
        <v>0</v>
      </c>
      <c r="L99" s="1">
        <v>0</v>
      </c>
      <c r="M99" s="1">
        <v>0</v>
      </c>
      <c r="N99" s="1">
        <v>0</v>
      </c>
      <c r="O99" s="1">
        <v>0</v>
      </c>
      <c r="P99" s="1">
        <v>0</v>
      </c>
      <c r="Q99" s="1">
        <v>0</v>
      </c>
      <c r="R99" s="1">
        <f>SUM(B99:Q99)</f>
        <v>0</v>
      </c>
    </row>
    <row r="100" spans="1:18" x14ac:dyDescent="0.3">
      <c r="A100" s="4" t="s">
        <v>142</v>
      </c>
      <c r="B100" s="1">
        <f t="array" ref="B100:Q100">MMULT(G31:J31,$B$49:$Q$52)</f>
        <v>0</v>
      </c>
      <c r="C100" s="1">
        <v>0</v>
      </c>
      <c r="D100" s="1">
        <v>0</v>
      </c>
      <c r="E100" s="1">
        <v>0</v>
      </c>
      <c r="F100" s="1">
        <v>0</v>
      </c>
      <c r="G100" s="1">
        <v>0</v>
      </c>
      <c r="H100" s="1">
        <v>0</v>
      </c>
      <c r="I100" s="1">
        <v>0</v>
      </c>
      <c r="J100" s="1">
        <v>0</v>
      </c>
      <c r="K100" s="1">
        <v>0</v>
      </c>
      <c r="L100" s="1">
        <v>0</v>
      </c>
      <c r="M100" s="1">
        <v>0</v>
      </c>
      <c r="N100" s="1">
        <v>0</v>
      </c>
      <c r="O100" s="1">
        <v>0</v>
      </c>
      <c r="P100" s="1">
        <v>0</v>
      </c>
      <c r="Q100" s="1">
        <v>0</v>
      </c>
      <c r="R100" s="1">
        <f>SUM(B100:Q100)</f>
        <v>0</v>
      </c>
    </row>
    <row r="101" spans="1:18" x14ac:dyDescent="0.3">
      <c r="A101" s="4" t="s">
        <v>143</v>
      </c>
      <c r="B101" s="1">
        <f t="array" ref="B101:Q101">MMULT(G32:J32,$B$49:$Q$52)</f>
        <v>0</v>
      </c>
      <c r="C101" s="1">
        <v>0</v>
      </c>
      <c r="D101" s="1">
        <v>0</v>
      </c>
      <c r="E101" s="1">
        <v>0</v>
      </c>
      <c r="F101" s="1">
        <v>0</v>
      </c>
      <c r="G101" s="1">
        <v>0</v>
      </c>
      <c r="H101" s="1">
        <v>0</v>
      </c>
      <c r="I101" s="1">
        <v>0</v>
      </c>
      <c r="J101" s="1">
        <v>0</v>
      </c>
      <c r="K101" s="1">
        <v>0</v>
      </c>
      <c r="L101" s="1">
        <v>0</v>
      </c>
      <c r="M101" s="1">
        <v>0</v>
      </c>
      <c r="N101" s="1">
        <v>0</v>
      </c>
      <c r="O101" s="1">
        <v>0</v>
      </c>
      <c r="P101" s="1">
        <v>0</v>
      </c>
      <c r="Q101" s="1">
        <v>0</v>
      </c>
      <c r="R101" s="1">
        <f>SUM(B101:Q101)</f>
        <v>0</v>
      </c>
    </row>
    <row r="102" spans="1:18" x14ac:dyDescent="0.3">
      <c r="A102" s="4" t="s">
        <v>174</v>
      </c>
      <c r="B102" s="1">
        <f t="shared" ref="B102:R102" si="20">SUBTOTAL(9,B96:B101)</f>
        <v>0</v>
      </c>
      <c r="C102" s="1">
        <f t="shared" si="20"/>
        <v>0</v>
      </c>
      <c r="D102" s="1">
        <f t="shared" si="20"/>
        <v>0</v>
      </c>
      <c r="E102" s="1">
        <f t="shared" si="20"/>
        <v>881627.57072592911</v>
      </c>
      <c r="F102" s="1">
        <f t="shared" si="20"/>
        <v>3220441.4244355224</v>
      </c>
      <c r="G102" s="1">
        <f t="shared" si="20"/>
        <v>2000515.3000267071</v>
      </c>
      <c r="H102" s="1">
        <f t="shared" si="20"/>
        <v>1073480.4748118408</v>
      </c>
      <c r="I102" s="1">
        <f t="shared" si="20"/>
        <v>0</v>
      </c>
      <c r="J102" s="1">
        <f t="shared" si="20"/>
        <v>0</v>
      </c>
      <c r="K102" s="1">
        <f t="shared" si="20"/>
        <v>0</v>
      </c>
      <c r="L102" s="1">
        <f t="shared" si="20"/>
        <v>0</v>
      </c>
      <c r="M102" s="1">
        <f t="shared" si="20"/>
        <v>0</v>
      </c>
      <c r="N102" s="1">
        <f t="shared" si="20"/>
        <v>0</v>
      </c>
      <c r="O102" s="1">
        <f t="shared" si="20"/>
        <v>0</v>
      </c>
      <c r="P102" s="1">
        <f t="shared" si="20"/>
        <v>0</v>
      </c>
      <c r="Q102" s="1">
        <f t="shared" si="20"/>
        <v>0</v>
      </c>
      <c r="R102" s="1">
        <f t="shared" si="20"/>
        <v>7176064.7699999996</v>
      </c>
    </row>
    <row r="103" spans="1:18" x14ac:dyDescent="0.3">
      <c r="A103" s="3" t="s">
        <v>175</v>
      </c>
      <c r="B103" s="1">
        <f t="array" ref="B103:Q103">MMULT(G34:J34,$B$49:$Q$52)</f>
        <v>2911143.2580320118</v>
      </c>
      <c r="C103" s="1">
        <v>633185.36974040128</v>
      </c>
      <c r="D103" s="1">
        <v>6710482.4948882628</v>
      </c>
      <c r="E103" s="1">
        <v>4005602.1687841127</v>
      </c>
      <c r="F103" s="1">
        <v>10154395.633908659</v>
      </c>
      <c r="G103" s="1">
        <v>11787493.381770549</v>
      </c>
      <c r="H103" s="1">
        <v>3730289.1553106639</v>
      </c>
      <c r="I103" s="1">
        <v>375246.06661095616</v>
      </c>
      <c r="J103" s="1">
        <v>863419.35760278977</v>
      </c>
      <c r="K103" s="1">
        <v>1244662.9344415471</v>
      </c>
      <c r="L103" s="1">
        <v>839102.81142921792</v>
      </c>
      <c r="M103" s="1">
        <v>1252653.1600277114</v>
      </c>
      <c r="N103" s="1">
        <v>287568.52802771126</v>
      </c>
      <c r="O103" s="1">
        <v>287568.52802771126</v>
      </c>
      <c r="P103" s="1">
        <v>33598.888027711204</v>
      </c>
      <c r="Q103" s="1">
        <v>74109.263369979744</v>
      </c>
      <c r="R103" s="1">
        <f>SUM(B103:Q103)</f>
        <v>45190520.999999993</v>
      </c>
    </row>
    <row r="104" spans="1:18" x14ac:dyDescent="0.3">
      <c r="A104" s="3" t="s">
        <v>213</v>
      </c>
      <c r="B104" s="1">
        <f t="shared" ref="B104:Q104" si="21">SUBTOTAL(9,B94:B103)</f>
        <v>2911143.2580320118</v>
      </c>
      <c r="C104" s="1">
        <f t="shared" si="21"/>
        <v>633185.36974040128</v>
      </c>
      <c r="D104" s="1">
        <f t="shared" si="21"/>
        <v>6710482.4948882628</v>
      </c>
      <c r="E104" s="1">
        <f t="shared" si="21"/>
        <v>4887229.7395100417</v>
      </c>
      <c r="F104" s="1">
        <f t="shared" si="21"/>
        <v>13374837.058344182</v>
      </c>
      <c r="G104" s="1">
        <f t="shared" si="21"/>
        <v>13788008.681797257</v>
      </c>
      <c r="H104" s="1">
        <f t="shared" si="21"/>
        <v>4803769.6301225051</v>
      </c>
      <c r="I104" s="1">
        <f t="shared" si="21"/>
        <v>375246.06661095616</v>
      </c>
      <c r="J104" s="1">
        <f t="shared" si="21"/>
        <v>863419.35760278977</v>
      </c>
      <c r="K104" s="1">
        <f t="shared" si="21"/>
        <v>1244662.9344415471</v>
      </c>
      <c r="L104" s="1">
        <f t="shared" si="21"/>
        <v>839102.81142921792</v>
      </c>
      <c r="M104" s="1">
        <f t="shared" si="21"/>
        <v>1252653.1600277114</v>
      </c>
      <c r="N104" s="1">
        <f t="shared" si="21"/>
        <v>287568.52802771126</v>
      </c>
      <c r="O104" s="1">
        <f t="shared" si="21"/>
        <v>287568.52802771126</v>
      </c>
      <c r="P104" s="1">
        <f t="shared" si="21"/>
        <v>33598.888027711204</v>
      </c>
      <c r="Q104" s="1">
        <f t="shared" si="21"/>
        <v>74109.263369979744</v>
      </c>
      <c r="R104" s="1">
        <f>SUBTOTAL(9,R94:R103)</f>
        <v>52366585.769999996</v>
      </c>
    </row>
    <row r="105" spans="1:18" x14ac:dyDescent="0.3">
      <c r="A105" s="2" t="s">
        <v>186</v>
      </c>
    </row>
    <row r="106" spans="1:18" x14ac:dyDescent="0.3">
      <c r="A106" s="3" t="s">
        <v>238</v>
      </c>
      <c r="B106" s="1">
        <f t="array" ref="B106:Q106">MMULT(G37:J37,$B$49:$Q$52)</f>
        <v>0</v>
      </c>
      <c r="C106" s="1">
        <v>0</v>
      </c>
      <c r="D106" s="1">
        <v>0</v>
      </c>
      <c r="E106" s="1">
        <v>0</v>
      </c>
      <c r="F106" s="1">
        <v>0</v>
      </c>
      <c r="G106" s="1">
        <v>0</v>
      </c>
      <c r="H106" s="1">
        <v>0</v>
      </c>
      <c r="I106" s="1">
        <v>0</v>
      </c>
      <c r="J106" s="1">
        <v>0</v>
      </c>
      <c r="K106" s="1">
        <v>0</v>
      </c>
      <c r="L106" s="1">
        <v>0</v>
      </c>
      <c r="M106" s="1">
        <v>0</v>
      </c>
      <c r="N106" s="1">
        <v>0</v>
      </c>
      <c r="O106" s="1">
        <v>0</v>
      </c>
      <c r="P106" s="1">
        <v>0</v>
      </c>
      <c r="Q106" s="1">
        <v>0</v>
      </c>
      <c r="R106" s="1">
        <f>SUM(B106:Q106)</f>
        <v>0</v>
      </c>
    </row>
    <row r="107" spans="1:18" x14ac:dyDescent="0.3">
      <c r="A107" s="3" t="s">
        <v>239</v>
      </c>
      <c r="B107" s="1">
        <f t="array" ref="B107:Q107">MMULT(G38:J38,$B$49:$Q$52)</f>
        <v>325655.28193774854</v>
      </c>
      <c r="C107" s="1">
        <v>92408.612163488433</v>
      </c>
      <c r="D107" s="1">
        <v>608815.40244629642</v>
      </c>
      <c r="E107" s="1">
        <v>259859.96057055797</v>
      </c>
      <c r="F107" s="1">
        <v>364516.12698546267</v>
      </c>
      <c r="G107" s="1">
        <v>509052.28611904714</v>
      </c>
      <c r="H107" s="1">
        <v>159885.24870241474</v>
      </c>
      <c r="I107" s="1">
        <v>16745.477496645261</v>
      </c>
      <c r="J107" s="1">
        <v>51789.05474083931</v>
      </c>
      <c r="K107" s="1">
        <v>205614.392065672</v>
      </c>
      <c r="L107" s="1">
        <v>61051.927875073983</v>
      </c>
      <c r="M107" s="1">
        <v>6359.1363678069838</v>
      </c>
      <c r="N107" s="1">
        <v>6359.1363678069838</v>
      </c>
      <c r="O107" s="1">
        <v>6359.1363678069838</v>
      </c>
      <c r="P107" s="1">
        <v>6359.1363678069838</v>
      </c>
      <c r="Q107" s="1">
        <v>7590.6834255256517</v>
      </c>
      <c r="R107" s="1">
        <f>SUM(B107:Q107)</f>
        <v>2688421.0000000014</v>
      </c>
    </row>
    <row r="108" spans="1:18" x14ac:dyDescent="0.3">
      <c r="A108" s="3" t="s">
        <v>187</v>
      </c>
      <c r="B108" s="1">
        <f t="shared" ref="B108:R108" si="22">SUBTOTAL(9,B106:B107)</f>
        <v>325655.28193774854</v>
      </c>
      <c r="C108" s="1">
        <f t="shared" si="22"/>
        <v>92408.612163488433</v>
      </c>
      <c r="D108" s="1">
        <f t="shared" si="22"/>
        <v>608815.40244629642</v>
      </c>
      <c r="E108" s="1">
        <f t="shared" si="22"/>
        <v>259859.96057055797</v>
      </c>
      <c r="F108" s="1">
        <f t="shared" si="22"/>
        <v>364516.12698546267</v>
      </c>
      <c r="G108" s="1">
        <f t="shared" si="22"/>
        <v>509052.28611904714</v>
      </c>
      <c r="H108" s="1">
        <f t="shared" si="22"/>
        <v>159885.24870241474</v>
      </c>
      <c r="I108" s="1">
        <f t="shared" si="22"/>
        <v>16745.477496645261</v>
      </c>
      <c r="J108" s="1">
        <f t="shared" si="22"/>
        <v>51789.05474083931</v>
      </c>
      <c r="K108" s="1">
        <f t="shared" si="22"/>
        <v>205614.392065672</v>
      </c>
      <c r="L108" s="1">
        <f t="shared" si="22"/>
        <v>61051.927875073983</v>
      </c>
      <c r="M108" s="1">
        <f t="shared" si="22"/>
        <v>6359.1363678069838</v>
      </c>
      <c r="N108" s="1">
        <f t="shared" si="22"/>
        <v>6359.1363678069838</v>
      </c>
      <c r="O108" s="1">
        <f t="shared" si="22"/>
        <v>6359.1363678069838</v>
      </c>
      <c r="P108" s="1">
        <f t="shared" si="22"/>
        <v>6359.1363678069838</v>
      </c>
      <c r="Q108" s="1">
        <f t="shared" si="22"/>
        <v>7590.6834255256517</v>
      </c>
      <c r="R108" s="1">
        <f t="shared" si="22"/>
        <v>2688421.0000000014</v>
      </c>
    </row>
    <row r="109" spans="1:18" x14ac:dyDescent="0.3">
      <c r="A109" s="2" t="s">
        <v>214</v>
      </c>
      <c r="B109" s="1">
        <f t="shared" ref="B109:R109" si="23">SUBTOTAL(9,B94:B108)</f>
        <v>3236798.5399697605</v>
      </c>
      <c r="C109" s="1">
        <f t="shared" si="23"/>
        <v>725593.98190388968</v>
      </c>
      <c r="D109" s="1">
        <f t="shared" si="23"/>
        <v>7319297.8973345589</v>
      </c>
      <c r="E109" s="1">
        <f t="shared" si="23"/>
        <v>5147089.7000805996</v>
      </c>
      <c r="F109" s="1">
        <f t="shared" si="23"/>
        <v>13739353.185329644</v>
      </c>
      <c r="G109" s="1">
        <f t="shared" si="23"/>
        <v>14297060.967916304</v>
      </c>
      <c r="H109" s="1">
        <f t="shared" si="23"/>
        <v>4963654.8788249195</v>
      </c>
      <c r="I109" s="1">
        <f t="shared" si="23"/>
        <v>391991.5441076014</v>
      </c>
      <c r="J109" s="1">
        <f t="shared" si="23"/>
        <v>915208.41234362905</v>
      </c>
      <c r="K109" s="1">
        <f t="shared" si="23"/>
        <v>1450277.3265072191</v>
      </c>
      <c r="L109" s="1">
        <f t="shared" si="23"/>
        <v>900154.7393042919</v>
      </c>
      <c r="M109" s="1">
        <f t="shared" si="23"/>
        <v>1259012.2963955184</v>
      </c>
      <c r="N109" s="1">
        <f t="shared" si="23"/>
        <v>293927.66439551825</v>
      </c>
      <c r="O109" s="1">
        <f t="shared" si="23"/>
        <v>293927.66439551825</v>
      </c>
      <c r="P109" s="1">
        <f t="shared" si="23"/>
        <v>39958.024395518187</v>
      </c>
      <c r="Q109" s="1">
        <f t="shared" si="23"/>
        <v>81699.946795505399</v>
      </c>
      <c r="R109" s="1">
        <f t="shared" si="23"/>
        <v>55055006.769999996</v>
      </c>
    </row>
    <row r="111" spans="1:18" x14ac:dyDescent="0.3">
      <c r="A111" s="1" t="s">
        <v>214</v>
      </c>
    </row>
    <row r="112" spans="1:18" s="9" customFormat="1" ht="54" x14ac:dyDescent="0.25">
      <c r="B112" s="17" t="str">
        <f t="array" ref="B112:Q112">TRANSPOSE(List_Functions)</f>
        <v>Generation</v>
      </c>
      <c r="C112" s="17" t="str">
        <v>Purchased Power</v>
      </c>
      <c r="D112" s="17" t="str">
        <v>Transmission</v>
      </c>
      <c r="E112" s="17" t="str">
        <v>Substations</v>
      </c>
      <c r="F112" s="17" t="str">
        <v>Primary Lines</v>
      </c>
      <c r="G112" s="17" t="str">
        <v>Transformers</v>
      </c>
      <c r="H112" s="17" t="str">
        <v>Secondary Lines</v>
      </c>
      <c r="I112" s="17" t="str">
        <v>Service Lines</v>
      </c>
      <c r="J112" s="17" t="str">
        <v>Meter Assets</v>
      </c>
      <c r="K112" s="17" t="str">
        <v>Meter Reading</v>
      </c>
      <c r="L112" s="17" t="str">
        <v>Billing</v>
      </c>
      <c r="M112" s="17" t="str">
        <v>Remittance &amp; Collection</v>
      </c>
      <c r="N112" s="17" t="str">
        <v>Uncollectibles &amp; Damage Claims</v>
      </c>
      <c r="O112" s="17" t="str">
        <v>Service Connections</v>
      </c>
      <c r="P112" s="17" t="str">
        <v>Late Payments</v>
      </c>
      <c r="Q112" s="17" t="str">
        <v>Lighting</v>
      </c>
      <c r="R112" s="17" t="s">
        <v>214</v>
      </c>
    </row>
    <row r="113" spans="1:18" x14ac:dyDescent="0.3">
      <c r="A113" s="1" t="s">
        <v>129</v>
      </c>
    </row>
    <row r="114" spans="1:18" x14ac:dyDescent="0.3">
      <c r="A114" s="3" t="s">
        <v>172</v>
      </c>
      <c r="B114" s="1">
        <f>SUM(B7,B57,B76,B95)</f>
        <v>57956788</v>
      </c>
      <c r="C114" s="1">
        <f>SUM(C7,C57,C76,C95)</f>
        <v>0</v>
      </c>
      <c r="D114" s="1">
        <f>SUM(D7,D57,D76,D95)</f>
        <v>0</v>
      </c>
      <c r="E114" s="1">
        <f>SUM(E7,E57,E76,E95)</f>
        <v>0</v>
      </c>
      <c r="F114" s="1">
        <f>SUM(F7,F57,F76,F95)</f>
        <v>0</v>
      </c>
      <c r="G114" s="1">
        <f>SUM(G7,G57,G76,G95)</f>
        <v>0</v>
      </c>
      <c r="H114" s="1">
        <f>SUM(H7,H57,H76,H95)</f>
        <v>0</v>
      </c>
      <c r="I114" s="1">
        <f>SUM(I7,I57,I76,I95)</f>
        <v>0</v>
      </c>
      <c r="J114" s="1">
        <f>SUM(J7,J57,J76,J95)</f>
        <v>0</v>
      </c>
      <c r="K114" s="1">
        <f>SUM(K7,K57,K76,K95)</f>
        <v>0</v>
      </c>
      <c r="L114" s="1">
        <f>SUM(L7,L57,L76,L95)</f>
        <v>0</v>
      </c>
      <c r="M114" s="1">
        <f>SUM(M7,M57,M76,M95)</f>
        <v>0</v>
      </c>
      <c r="N114" s="1">
        <f>SUM(N7,N57,N76,N95)</f>
        <v>0</v>
      </c>
      <c r="O114" s="1">
        <f>SUM(O7,O57,O76,O95)</f>
        <v>0</v>
      </c>
      <c r="P114" s="1">
        <f>SUM(P7,P57,P76,P95)</f>
        <v>0</v>
      </c>
      <c r="Q114" s="1">
        <f>SUM(Q7,Q57,Q76,Q95)</f>
        <v>0</v>
      </c>
      <c r="R114" s="1">
        <f>SUM(B114:Q114)</f>
        <v>57956788</v>
      </c>
    </row>
    <row r="115" spans="1:18" x14ac:dyDescent="0.3">
      <c r="A115" s="3" t="s">
        <v>173</v>
      </c>
    </row>
    <row r="116" spans="1:18" x14ac:dyDescent="0.3">
      <c r="A116" s="4" t="s">
        <v>13</v>
      </c>
      <c r="B116" s="1">
        <f>SUM(B9,B59,B78,B97)</f>
        <v>0</v>
      </c>
      <c r="C116" s="1">
        <f>SUM(C9,C59,C78,C97)</f>
        <v>0</v>
      </c>
      <c r="D116" s="1">
        <f>SUM(D9,D59,D78,D97)</f>
        <v>42841558.994999997</v>
      </c>
      <c r="E116" s="1">
        <f>SUM(E9,E59,E78,E97)</f>
        <v>48385376.505000003</v>
      </c>
      <c r="F116" s="1">
        <f>SUM(F9,F59,F78,F97)</f>
        <v>0</v>
      </c>
      <c r="G116" s="1">
        <f>SUM(G9,G59,G78,G97)</f>
        <v>0</v>
      </c>
      <c r="H116" s="1">
        <f>SUM(H9,H59,H78,H97)</f>
        <v>0</v>
      </c>
      <c r="I116" s="1">
        <f>SUM(I9,I59,I78,I97)</f>
        <v>0</v>
      </c>
      <c r="J116" s="1">
        <f>SUM(J9,J59,J78,J97)</f>
        <v>0</v>
      </c>
      <c r="K116" s="1">
        <f>SUM(K9,K59,K78,K97)</f>
        <v>0</v>
      </c>
      <c r="L116" s="1">
        <f>SUM(L9,L59,L78,L97)</f>
        <v>0</v>
      </c>
      <c r="M116" s="1">
        <f>SUM(M9,M59,M78,M97)</f>
        <v>0</v>
      </c>
      <c r="N116" s="1">
        <f>SUM(N9,N59,N78,N97)</f>
        <v>0</v>
      </c>
      <c r="O116" s="1">
        <f>SUM(O9,O59,O78,O97)</f>
        <v>0</v>
      </c>
      <c r="P116" s="1">
        <f>SUM(P9,P59,P78,P97)</f>
        <v>0</v>
      </c>
      <c r="Q116" s="1">
        <f>SUM(Q9,Q59,Q78,Q97)</f>
        <v>0</v>
      </c>
      <c r="R116" s="1">
        <f>SUM(B116:Q116)</f>
        <v>91226935.5</v>
      </c>
    </row>
    <row r="117" spans="1:18" x14ac:dyDescent="0.3">
      <c r="A117" s="4" t="s">
        <v>140</v>
      </c>
      <c r="B117" s="1">
        <f>SUM(B10,B60,B79,B98)</f>
        <v>0</v>
      </c>
      <c r="C117" s="1">
        <f>SUM(C10,C60,C79,C98)</f>
        <v>0</v>
      </c>
      <c r="D117" s="1">
        <f>SUM(D10,D60,D79,D98)</f>
        <v>87799318.5</v>
      </c>
      <c r="E117" s="1">
        <f>SUM(E10,E60,E79,E98)</f>
        <v>881627.57072592911</v>
      </c>
      <c r="F117" s="1">
        <f>SUM(F10,F60,F79,F98)</f>
        <v>179820033.29943553</v>
      </c>
      <c r="G117" s="1">
        <f>SUM(G10,G60,G79,G98)</f>
        <v>111702925.3000267</v>
      </c>
      <c r="H117" s="1">
        <f>SUM(H10,H60,H79,H98)</f>
        <v>59940011.099811837</v>
      </c>
      <c r="I117" s="1">
        <f>SUM(I10,I60,I79,I98)</f>
        <v>89590707</v>
      </c>
      <c r="J117" s="1">
        <f>SUM(J10,J60,J79,J98)</f>
        <v>0</v>
      </c>
      <c r="K117" s="1">
        <f>SUM(K10,K60,K79,K98)</f>
        <v>0</v>
      </c>
      <c r="L117" s="1">
        <f>SUM(L10,L60,L79,L98)</f>
        <v>0</v>
      </c>
      <c r="M117" s="1">
        <f>SUM(M10,M60,M79,M98)</f>
        <v>0</v>
      </c>
      <c r="N117" s="1">
        <f>SUM(N10,N60,N79,N98)</f>
        <v>0</v>
      </c>
      <c r="O117" s="1">
        <f>SUM(O10,O60,O79,O98)</f>
        <v>0</v>
      </c>
      <c r="P117" s="1">
        <f>SUM(P10,P60,P79,P98)</f>
        <v>0</v>
      </c>
      <c r="Q117" s="1">
        <f>SUM(Q10,Q60,Q79,Q98)</f>
        <v>0</v>
      </c>
      <c r="R117" s="1">
        <f>SUM(B117:Q117)</f>
        <v>529734622.77000004</v>
      </c>
    </row>
    <row r="118" spans="1:18" x14ac:dyDescent="0.3">
      <c r="A118" s="4" t="s">
        <v>141</v>
      </c>
      <c r="B118" s="1">
        <f>SUM(B11,B61,B80,B99)</f>
        <v>4338192.0000000009</v>
      </c>
      <c r="C118" s="1">
        <f>SUM(C11,C61,C80,C99)</f>
        <v>0</v>
      </c>
      <c r="D118" s="1">
        <f>SUM(D11,D61,D80,D99)</f>
        <v>4338192.0000000009</v>
      </c>
      <c r="E118" s="1">
        <f>SUM(E11,E61,E80,E99)</f>
        <v>4338192.0000000009</v>
      </c>
      <c r="F118" s="1">
        <f>SUM(F11,F61,F80,F99)</f>
        <v>1446064.0000000005</v>
      </c>
      <c r="G118" s="1">
        <f>SUM(G11,G61,G80,G99)</f>
        <v>1446064.0000000005</v>
      </c>
      <c r="H118" s="1">
        <f>SUM(H11,H61,H80,H99)</f>
        <v>1446064.0000000005</v>
      </c>
      <c r="I118" s="1">
        <f>SUM(I11,I61,I80,I99)</f>
        <v>0</v>
      </c>
      <c r="J118" s="1">
        <f>SUM(J11,J61,J80,J99)</f>
        <v>0</v>
      </c>
      <c r="K118" s="1">
        <f>SUM(K11,K61,K80,K99)</f>
        <v>0</v>
      </c>
      <c r="L118" s="1">
        <f>SUM(L11,L61,L80,L99)</f>
        <v>0</v>
      </c>
      <c r="M118" s="1">
        <f>SUM(M11,M61,M80,M99)</f>
        <v>0</v>
      </c>
      <c r="N118" s="1">
        <f>SUM(N11,N61,N80,N99)</f>
        <v>0</v>
      </c>
      <c r="O118" s="1">
        <f>SUM(O11,O61,O80,O99)</f>
        <v>0</v>
      </c>
      <c r="P118" s="1">
        <f>SUM(P11,P61,P80,P99)</f>
        <v>0</v>
      </c>
      <c r="Q118" s="1">
        <f>SUM(Q11,Q61,Q80,Q99)</f>
        <v>0</v>
      </c>
      <c r="R118" s="1">
        <f>SUM(B118:Q118)</f>
        <v>17352768.000000004</v>
      </c>
    </row>
    <row r="119" spans="1:18" x14ac:dyDescent="0.3">
      <c r="A119" s="4" t="s">
        <v>142</v>
      </c>
      <c r="B119" s="1">
        <f>SUM(B12,B62,B81,B100)</f>
        <v>0</v>
      </c>
      <c r="C119" s="1">
        <f>SUM(C12,C62,C81,C100)</f>
        <v>0</v>
      </c>
      <c r="D119" s="1">
        <f>SUM(D12,D62,D81,D100)</f>
        <v>0</v>
      </c>
      <c r="E119" s="1">
        <f>SUM(E12,E62,E81,E100)</f>
        <v>0</v>
      </c>
      <c r="F119" s="1">
        <f>SUM(F12,F62,F81,F100)</f>
        <v>0</v>
      </c>
      <c r="G119" s="1">
        <f>SUM(G12,G62,G81,G100)</f>
        <v>0</v>
      </c>
      <c r="H119" s="1">
        <f>SUM(H12,H62,H81,H100)</f>
        <v>0</v>
      </c>
      <c r="I119" s="1">
        <f>SUM(I12,I62,I81,I100)</f>
        <v>0</v>
      </c>
      <c r="J119" s="1">
        <f>SUM(J12,J62,J81,J100)</f>
        <v>18277754.5</v>
      </c>
      <c r="K119" s="1">
        <f>SUM(K12,K62,K81,K100)</f>
        <v>0</v>
      </c>
      <c r="L119" s="1">
        <f>SUM(L12,L62,L81,L100)</f>
        <v>0</v>
      </c>
      <c r="M119" s="1">
        <f>SUM(M12,M62,M81,M100)</f>
        <v>0</v>
      </c>
      <c r="N119" s="1">
        <f>SUM(N12,N62,N81,N100)</f>
        <v>0</v>
      </c>
      <c r="O119" s="1">
        <f>SUM(O12,O62,O81,O100)</f>
        <v>0</v>
      </c>
      <c r="P119" s="1">
        <f>SUM(P12,P62,P81,P100)</f>
        <v>0</v>
      </c>
      <c r="Q119" s="1">
        <f>SUM(Q12,Q62,Q81,Q100)</f>
        <v>0</v>
      </c>
      <c r="R119" s="1">
        <f>SUM(B119:Q119)</f>
        <v>18277754.5</v>
      </c>
    </row>
    <row r="120" spans="1:18" x14ac:dyDescent="0.3">
      <c r="A120" s="4" t="s">
        <v>143</v>
      </c>
      <c r="B120" s="1">
        <f>SUM(B13,B63,B82,B101)</f>
        <v>0</v>
      </c>
      <c r="C120" s="1">
        <f>SUM(C13,C63,C82,C101)</f>
        <v>0</v>
      </c>
      <c r="D120" s="1">
        <f>SUM(D13,D63,D82,D101)</f>
        <v>0</v>
      </c>
      <c r="E120" s="1">
        <f>SUM(E13,E63,E82,E101)</f>
        <v>0</v>
      </c>
      <c r="F120" s="1">
        <f>SUM(F13,F63,F82,F101)</f>
        <v>0</v>
      </c>
      <c r="G120" s="1">
        <f>SUM(G13,G63,G82,G101)</f>
        <v>0</v>
      </c>
      <c r="H120" s="1">
        <f>SUM(H13,H63,H82,H101)</f>
        <v>0</v>
      </c>
      <c r="I120" s="1">
        <f>SUM(I13,I63,I82,I101)</f>
        <v>0</v>
      </c>
      <c r="J120" s="1">
        <f>SUM(J13,J63,J82,J101)</f>
        <v>0</v>
      </c>
      <c r="K120" s="1">
        <f>SUM(K13,K63,K82,K101)</f>
        <v>0</v>
      </c>
      <c r="L120" s="1">
        <f>SUM(L13,L63,L82,L101)</f>
        <v>0</v>
      </c>
      <c r="M120" s="1">
        <f>SUM(M13,M63,M82,M101)</f>
        <v>0</v>
      </c>
      <c r="N120" s="1">
        <f>SUM(N13,N63,N82,N101)</f>
        <v>0</v>
      </c>
      <c r="O120" s="1">
        <f>SUM(O13,O63,O82,O101)</f>
        <v>0</v>
      </c>
      <c r="P120" s="1">
        <f>SUM(P13,P63,P82,P101)</f>
        <v>0</v>
      </c>
      <c r="Q120" s="1">
        <f>SUM(Q13,Q63,Q82,Q101)</f>
        <v>10623103</v>
      </c>
      <c r="R120" s="1">
        <f>SUM(B120:Q120)</f>
        <v>10623103</v>
      </c>
    </row>
    <row r="121" spans="1:18" x14ac:dyDescent="0.3">
      <c r="A121" s="4" t="s">
        <v>174</v>
      </c>
      <c r="B121" s="1">
        <f t="shared" ref="B121:Q121" si="24">SUBTOTAL(9,B115:B120)</f>
        <v>4338192.0000000009</v>
      </c>
      <c r="C121" s="1">
        <f t="shared" si="24"/>
        <v>0</v>
      </c>
      <c r="D121" s="1">
        <f t="shared" si="24"/>
        <v>134979069.495</v>
      </c>
      <c r="E121" s="1">
        <f t="shared" si="24"/>
        <v>53605196.075725935</v>
      </c>
      <c r="F121" s="1">
        <f t="shared" si="24"/>
        <v>181266097.29943553</v>
      </c>
      <c r="G121" s="1">
        <f t="shared" si="24"/>
        <v>113148989.3000267</v>
      </c>
      <c r="H121" s="1">
        <f t="shared" si="24"/>
        <v>61386075.099811837</v>
      </c>
      <c r="I121" s="1">
        <f t="shared" si="24"/>
        <v>89590707</v>
      </c>
      <c r="J121" s="1">
        <f t="shared" si="24"/>
        <v>18277754.5</v>
      </c>
      <c r="K121" s="1">
        <f t="shared" si="24"/>
        <v>0</v>
      </c>
      <c r="L121" s="1">
        <f t="shared" si="24"/>
        <v>0</v>
      </c>
      <c r="M121" s="1">
        <f t="shared" si="24"/>
        <v>0</v>
      </c>
      <c r="N121" s="1">
        <f t="shared" si="24"/>
        <v>0</v>
      </c>
      <c r="O121" s="1">
        <f t="shared" si="24"/>
        <v>0</v>
      </c>
      <c r="P121" s="1">
        <f t="shared" si="24"/>
        <v>0</v>
      </c>
      <c r="Q121" s="1">
        <f t="shared" si="24"/>
        <v>10623103</v>
      </c>
      <c r="R121" s="1">
        <f>SUBTOTAL(9,R115:R120)</f>
        <v>667215183.76999998</v>
      </c>
    </row>
    <row r="122" spans="1:18" x14ac:dyDescent="0.3">
      <c r="A122" s="3" t="s">
        <v>175</v>
      </c>
      <c r="B122" s="1">
        <f>SUM(B15,B65,B84,B103)</f>
        <v>3025906.7163653453</v>
      </c>
      <c r="C122" s="1">
        <f>SUM(C15,C65,C84,C103)</f>
        <v>862712.28640706802</v>
      </c>
      <c r="D122" s="1">
        <f>SUM(D15,D65,D84,D103)</f>
        <v>7054772.8698882628</v>
      </c>
      <c r="E122" s="1">
        <f>SUM(E15,E65,E84,E103)</f>
        <v>4349892.5437841127</v>
      </c>
      <c r="F122" s="1">
        <f>SUM(F15,F65,F84,F103)</f>
        <v>10269159.092241993</v>
      </c>
      <c r="G122" s="1">
        <f>SUM(G15,G65,G84,G103)</f>
        <v>11902256.840103883</v>
      </c>
      <c r="H122" s="1">
        <f>SUM(H15,H65,H84,H103)</f>
        <v>3845052.6136439973</v>
      </c>
      <c r="I122" s="1">
        <f>SUM(I15,I65,I84,I103)</f>
        <v>375246.06661095616</v>
      </c>
      <c r="J122" s="1">
        <f>SUM(J15,J65,J84,J103)</f>
        <v>863419.35760278977</v>
      </c>
      <c r="K122" s="1">
        <f>SUM(K15,K65,K84,K103)</f>
        <v>1244662.9344415471</v>
      </c>
      <c r="L122" s="1">
        <f>SUM(L15,L65,L84,L103)</f>
        <v>839102.81142921792</v>
      </c>
      <c r="M122" s="1">
        <f>SUM(M15,M65,M84,M103)</f>
        <v>1252653.1600277114</v>
      </c>
      <c r="N122" s="1">
        <f>SUM(N15,N65,N84,N103)</f>
        <v>287568.52802771126</v>
      </c>
      <c r="O122" s="1">
        <f>SUM(O15,O65,O84,O103)</f>
        <v>287568.52802771126</v>
      </c>
      <c r="P122" s="1">
        <f>SUM(P15,P65,P84,P103)</f>
        <v>33598.888027711204</v>
      </c>
      <c r="Q122" s="1">
        <f>SUM(Q15,Q65,Q84,Q103)</f>
        <v>74109.263369979744</v>
      </c>
      <c r="R122" s="1">
        <f>SUM(B122:Q122)</f>
        <v>46567682.499999993</v>
      </c>
    </row>
    <row r="123" spans="1:18" x14ac:dyDescent="0.3">
      <c r="A123" s="3" t="s">
        <v>213</v>
      </c>
      <c r="B123" s="1">
        <f t="shared" ref="B123:R123" si="25">SUBTOTAL(9,B113:B122)</f>
        <v>65320886.716365345</v>
      </c>
      <c r="C123" s="1">
        <f t="shared" si="25"/>
        <v>862712.28640706802</v>
      </c>
      <c r="D123" s="1">
        <f t="shared" si="25"/>
        <v>142033842.36488828</v>
      </c>
      <c r="E123" s="1">
        <f t="shared" si="25"/>
        <v>57955088.619510047</v>
      </c>
      <c r="F123" s="1">
        <f t="shared" si="25"/>
        <v>191535256.39167753</v>
      </c>
      <c r="G123" s="1">
        <f t="shared" si="25"/>
        <v>125051246.14013058</v>
      </c>
      <c r="H123" s="1">
        <f t="shared" si="25"/>
        <v>65231127.713455833</v>
      </c>
      <c r="I123" s="1">
        <f t="shared" si="25"/>
        <v>89965953.066610962</v>
      </c>
      <c r="J123" s="1">
        <f t="shared" si="25"/>
        <v>19141173.85760279</v>
      </c>
      <c r="K123" s="1">
        <f t="shared" si="25"/>
        <v>1244662.9344415471</v>
      </c>
      <c r="L123" s="1">
        <f t="shared" si="25"/>
        <v>839102.81142921792</v>
      </c>
      <c r="M123" s="1">
        <f t="shared" si="25"/>
        <v>1252653.1600277114</v>
      </c>
      <c r="N123" s="1">
        <f t="shared" si="25"/>
        <v>287568.52802771126</v>
      </c>
      <c r="O123" s="1">
        <f t="shared" si="25"/>
        <v>287568.52802771126</v>
      </c>
      <c r="P123" s="1">
        <f t="shared" si="25"/>
        <v>33598.888027711204</v>
      </c>
      <c r="Q123" s="1">
        <f t="shared" si="25"/>
        <v>10697212.263369979</v>
      </c>
      <c r="R123" s="1">
        <f t="shared" si="25"/>
        <v>771739654.26999998</v>
      </c>
    </row>
    <row r="124" spans="1:18" x14ac:dyDescent="0.3">
      <c r="A124" s="2" t="s">
        <v>186</v>
      </c>
    </row>
    <row r="125" spans="1:18" x14ac:dyDescent="0.3">
      <c r="A125" s="3" t="s">
        <v>238</v>
      </c>
      <c r="B125" s="1">
        <f t="shared" ref="B125:Q125" si="26">SUM(B18,B68,B87,B106)</f>
        <v>0</v>
      </c>
      <c r="C125" s="1">
        <f t="shared" si="26"/>
        <v>0</v>
      </c>
      <c r="D125" s="1">
        <f t="shared" si="26"/>
        <v>4543167.5</v>
      </c>
      <c r="E125" s="1">
        <f t="shared" si="26"/>
        <v>0</v>
      </c>
      <c r="F125" s="1">
        <f t="shared" si="26"/>
        <v>144280.48973076654</v>
      </c>
      <c r="G125" s="1">
        <f t="shared" si="26"/>
        <v>89626.013692311317</v>
      </c>
      <c r="H125" s="1">
        <f t="shared" si="26"/>
        <v>48093.496576922174</v>
      </c>
      <c r="I125" s="1">
        <f t="shared" si="26"/>
        <v>0</v>
      </c>
      <c r="J125" s="1">
        <f t="shared" si="26"/>
        <v>0</v>
      </c>
      <c r="K125" s="1">
        <f t="shared" si="26"/>
        <v>0</v>
      </c>
      <c r="L125" s="1">
        <f t="shared" si="26"/>
        <v>0</v>
      </c>
      <c r="M125" s="1">
        <f t="shared" si="26"/>
        <v>0</v>
      </c>
      <c r="N125" s="1">
        <f t="shared" si="26"/>
        <v>0</v>
      </c>
      <c r="O125" s="1">
        <f t="shared" si="26"/>
        <v>0</v>
      </c>
      <c r="P125" s="1">
        <f t="shared" si="26"/>
        <v>0</v>
      </c>
      <c r="Q125" s="1">
        <f t="shared" si="26"/>
        <v>0</v>
      </c>
      <c r="R125" s="1">
        <f>SUM(B125:Q125)</f>
        <v>4825167.5</v>
      </c>
    </row>
    <row r="126" spans="1:18" x14ac:dyDescent="0.3">
      <c r="A126" s="3" t="s">
        <v>239</v>
      </c>
      <c r="B126" s="1">
        <f t="shared" ref="B126:Q126" si="27">SUM(B19,B69,B88,B107)</f>
        <v>325655.28193774854</v>
      </c>
      <c r="C126" s="1">
        <f t="shared" si="27"/>
        <v>92408.612163488433</v>
      </c>
      <c r="D126" s="1">
        <f t="shared" si="27"/>
        <v>608815.40244629642</v>
      </c>
      <c r="E126" s="1">
        <f t="shared" si="27"/>
        <v>259859.96057055797</v>
      </c>
      <c r="F126" s="1">
        <f t="shared" si="27"/>
        <v>364516.12698546267</v>
      </c>
      <c r="G126" s="1">
        <f t="shared" si="27"/>
        <v>509052.28611904714</v>
      </c>
      <c r="H126" s="1">
        <f t="shared" si="27"/>
        <v>159885.24870241474</v>
      </c>
      <c r="I126" s="1">
        <f t="shared" si="27"/>
        <v>16745.477496645261</v>
      </c>
      <c r="J126" s="1">
        <f t="shared" si="27"/>
        <v>51789.05474083931</v>
      </c>
      <c r="K126" s="1">
        <f t="shared" si="27"/>
        <v>205614.392065672</v>
      </c>
      <c r="L126" s="1">
        <f t="shared" si="27"/>
        <v>61051.927875073983</v>
      </c>
      <c r="M126" s="1">
        <f t="shared" si="27"/>
        <v>6359.1363678069838</v>
      </c>
      <c r="N126" s="1">
        <f t="shared" si="27"/>
        <v>6359.1363678069838</v>
      </c>
      <c r="O126" s="1">
        <f t="shared" si="27"/>
        <v>6359.1363678069838</v>
      </c>
      <c r="P126" s="1">
        <f t="shared" si="27"/>
        <v>6359.1363678069838</v>
      </c>
      <c r="Q126" s="1">
        <f t="shared" si="27"/>
        <v>7590.6834255256517</v>
      </c>
      <c r="R126" s="1">
        <f>SUM(B126:Q126)</f>
        <v>2688421.0000000014</v>
      </c>
    </row>
    <row r="127" spans="1:18" x14ac:dyDescent="0.3">
      <c r="A127" s="3" t="s">
        <v>187</v>
      </c>
      <c r="B127" s="1">
        <f t="shared" ref="B127:R127" si="28">SUBTOTAL(9,B125:B126)</f>
        <v>325655.28193774854</v>
      </c>
      <c r="C127" s="1">
        <f t="shared" si="28"/>
        <v>92408.612163488433</v>
      </c>
      <c r="D127" s="1">
        <f t="shared" si="28"/>
        <v>5151982.9024462961</v>
      </c>
      <c r="E127" s="1">
        <f t="shared" si="28"/>
        <v>259859.96057055797</v>
      </c>
      <c r="F127" s="1">
        <f t="shared" si="28"/>
        <v>508796.61671622924</v>
      </c>
      <c r="G127" s="1">
        <f t="shared" si="28"/>
        <v>598678.29981135845</v>
      </c>
      <c r="H127" s="1">
        <f t="shared" si="28"/>
        <v>207978.74527933693</v>
      </c>
      <c r="I127" s="1">
        <f t="shared" si="28"/>
        <v>16745.477496645261</v>
      </c>
      <c r="J127" s="1">
        <f t="shared" si="28"/>
        <v>51789.05474083931</v>
      </c>
      <c r="K127" s="1">
        <f t="shared" si="28"/>
        <v>205614.392065672</v>
      </c>
      <c r="L127" s="1">
        <f t="shared" si="28"/>
        <v>61051.927875073983</v>
      </c>
      <c r="M127" s="1">
        <f t="shared" si="28"/>
        <v>6359.1363678069838</v>
      </c>
      <c r="N127" s="1">
        <f t="shared" si="28"/>
        <v>6359.1363678069838</v>
      </c>
      <c r="O127" s="1">
        <f t="shared" si="28"/>
        <v>6359.1363678069838</v>
      </c>
      <c r="P127" s="1">
        <f t="shared" si="28"/>
        <v>6359.1363678069838</v>
      </c>
      <c r="Q127" s="1">
        <f t="shared" si="28"/>
        <v>7590.6834255256517</v>
      </c>
      <c r="R127" s="1">
        <f t="shared" si="28"/>
        <v>7513588.5000000019</v>
      </c>
    </row>
    <row r="128" spans="1:18" x14ac:dyDescent="0.3">
      <c r="A128" s="2" t="s">
        <v>214</v>
      </c>
      <c r="B128" s="1">
        <f t="shared" ref="B128:Q128" si="29">SUBTOTAL(9,B113:B127)</f>
        <v>65646541.998303093</v>
      </c>
      <c r="C128" s="1">
        <f t="shared" si="29"/>
        <v>955120.89857055643</v>
      </c>
      <c r="D128" s="1">
        <f t="shared" si="29"/>
        <v>147185825.26733458</v>
      </c>
      <c r="E128" s="1">
        <f t="shared" si="29"/>
        <v>58214948.580080606</v>
      </c>
      <c r="F128" s="1">
        <f t="shared" si="29"/>
        <v>192044053.00839376</v>
      </c>
      <c r="G128" s="1">
        <f t="shared" si="29"/>
        <v>125649924.43994193</v>
      </c>
      <c r="H128" s="1">
        <f t="shared" si="29"/>
        <v>65439106.458735168</v>
      </c>
      <c r="I128" s="1">
        <f t="shared" si="29"/>
        <v>89982698.544107601</v>
      </c>
      <c r="J128" s="1">
        <f t="shared" si="29"/>
        <v>19192962.912343629</v>
      </c>
      <c r="K128" s="1">
        <f t="shared" si="29"/>
        <v>1450277.3265072191</v>
      </c>
      <c r="L128" s="1">
        <f t="shared" si="29"/>
        <v>900154.7393042919</v>
      </c>
      <c r="M128" s="1">
        <f t="shared" si="29"/>
        <v>1259012.2963955184</v>
      </c>
      <c r="N128" s="1">
        <f t="shared" si="29"/>
        <v>293927.66439551825</v>
      </c>
      <c r="O128" s="1">
        <f t="shared" si="29"/>
        <v>293927.66439551825</v>
      </c>
      <c r="P128" s="1">
        <f t="shared" si="29"/>
        <v>39958.024395518187</v>
      </c>
      <c r="Q128" s="1">
        <f t="shared" si="29"/>
        <v>10704802.946795505</v>
      </c>
      <c r="R128" s="1">
        <f>SUBTOTAL(9,R113:R127)</f>
        <v>779253242.76999998</v>
      </c>
    </row>
    <row r="130" spans="1:3" x14ac:dyDescent="0.3">
      <c r="A130" s="1" t="s">
        <v>230</v>
      </c>
    </row>
    <row r="131" spans="1:3" x14ac:dyDescent="0.3">
      <c r="A131" s="1" t="s">
        <v>231</v>
      </c>
      <c r="B131" s="1">
        <f>R21</f>
        <v>384325908.5</v>
      </c>
    </row>
    <row r="132" spans="1:3" x14ac:dyDescent="0.3">
      <c r="A132" s="1" t="s">
        <v>225</v>
      </c>
      <c r="B132" s="1">
        <f>R40</f>
        <v>394927334.26999998</v>
      </c>
      <c r="C132" s="1" t="b">
        <f>ROUND(SUM(B131:B132),0)=ROUND(B134,0)</f>
        <v>1</v>
      </c>
    </row>
    <row r="133" spans="1:3" x14ac:dyDescent="0.3">
      <c r="A133" s="1" t="s">
        <v>232</v>
      </c>
      <c r="B133" s="1">
        <f>R71+R90+R109</f>
        <v>394927334.26999998</v>
      </c>
      <c r="C133" s="1" t="b">
        <f>ROUND(B132,0)=ROUND(B133,0)</f>
        <v>1</v>
      </c>
    </row>
    <row r="134" spans="1:3" x14ac:dyDescent="0.3">
      <c r="A134" s="1" t="s">
        <v>233</v>
      </c>
      <c r="B134" s="1">
        <f>'6.1'!E74+'6.2'!F33</f>
        <v>779253242.76999998</v>
      </c>
    </row>
    <row r="135" spans="1:3" x14ac:dyDescent="0.3">
      <c r="A135" s="1" t="s">
        <v>234</v>
      </c>
      <c r="B135" s="1">
        <f>SUM(B128:Q128)</f>
        <v>779253242.7700001</v>
      </c>
      <c r="C135" s="1" t="b">
        <f>ROUND(B134,0)=ROUND(B135,0)</f>
        <v>1</v>
      </c>
    </row>
    <row r="138" spans="1:3" x14ac:dyDescent="0.3">
      <c r="B138" s="59"/>
    </row>
  </sheetData>
  <printOptions horizontalCentered="1" gridLines="1"/>
  <pageMargins left="0.19685039370078741" right="0.19685039370078741" top="0.98425196850393704" bottom="0.59055118110236227" header="0.19685039370078741" footer="0.19685039370078741"/>
  <pageSetup scale="60" pageOrder="overThenDown" orientation="landscape" r:id="rId1"/>
  <headerFooter scaleWithDoc="0">
    <oddHeader xml:space="preserve">&amp;C2023 "Status Quo Methods" Cost Allocation Model for MECL </oddHeader>
    <oddFooter>&amp;LPage &amp;P of &amp;N&amp;RJune 27, 2025</oddFooter>
  </headerFooter>
  <rowBreaks count="3" manualBreakCount="3">
    <brk id="41" max="17" man="1"/>
    <brk id="72" max="17" man="1"/>
    <brk id="110"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H33"/>
  <sheetViews>
    <sheetView view="pageBreakPreview" topLeftCell="A8" zoomScale="40" zoomScaleNormal="100" zoomScaleSheetLayoutView="40" workbookViewId="0">
      <selection activeCell="E21" sqref="E21"/>
    </sheetView>
  </sheetViews>
  <sheetFormatPr defaultColWidth="8.7109375" defaultRowHeight="13.5" x14ac:dyDescent="0.3"/>
  <cols>
    <col min="1" max="1" width="25.7109375" style="46" customWidth="1"/>
    <col min="2" max="2" width="9.640625" style="46" customWidth="1"/>
    <col min="3" max="7" width="8.7109375" style="46"/>
    <col min="8" max="8" width="11.92578125" style="46" bestFit="1" customWidth="1"/>
    <col min="9" max="16384" width="8.7109375" style="46"/>
  </cols>
  <sheetData>
    <row r="1" spans="1:4" x14ac:dyDescent="0.3">
      <c r="A1" s="46" t="s">
        <v>616</v>
      </c>
    </row>
    <row r="2" spans="1:4" x14ac:dyDescent="0.3">
      <c r="A2" s="46" t="s">
        <v>681</v>
      </c>
    </row>
    <row r="4" spans="1:4" s="50" customFormat="1" x14ac:dyDescent="0.25">
      <c r="A4" s="50" t="s">
        <v>262</v>
      </c>
      <c r="B4" s="50" t="s">
        <v>707</v>
      </c>
    </row>
    <row r="5" spans="1:4" x14ac:dyDescent="0.3">
      <c r="A5" s="47" t="s">
        <v>247</v>
      </c>
      <c r="B5" s="46">
        <f>SUMIFS(RR_TB,RR_Reporting,$A5)</f>
        <v>159716944</v>
      </c>
      <c r="D5" s="71"/>
    </row>
    <row r="6" spans="1:4" x14ac:dyDescent="0.3">
      <c r="A6" s="47" t="s">
        <v>248</v>
      </c>
      <c r="B6" s="46">
        <f>SUMIFS(RR_TB,RR_Reporting,$A6)</f>
        <v>-8641284</v>
      </c>
      <c r="D6" s="71"/>
    </row>
    <row r="7" spans="1:4" x14ac:dyDescent="0.3">
      <c r="A7" s="47" t="s">
        <v>249</v>
      </c>
      <c r="B7" s="46">
        <f>SUBTOTAL(9,B5:B6)</f>
        <v>151075660</v>
      </c>
    </row>
    <row r="8" spans="1:4" x14ac:dyDescent="0.3">
      <c r="A8" s="47" t="s">
        <v>124</v>
      </c>
      <c r="B8" s="46">
        <f>SUMIFS(RR_TB,RR_Reporting,$A8)</f>
        <v>9025232</v>
      </c>
      <c r="D8" s="71"/>
    </row>
    <row r="9" spans="1:4" x14ac:dyDescent="0.3">
      <c r="A9" s="47" t="s">
        <v>12</v>
      </c>
      <c r="B9" s="46">
        <f>SUMIFS(RR_TB,RR_Reporting,$A9)</f>
        <v>1795035</v>
      </c>
      <c r="D9" s="71"/>
    </row>
    <row r="10" spans="1:4" x14ac:dyDescent="0.3">
      <c r="A10" s="47" t="s">
        <v>250</v>
      </c>
      <c r="B10" s="46">
        <f>SUMIFS(RR_TB,RR_Reporting,$A10)</f>
        <v>2822397</v>
      </c>
      <c r="D10" s="71"/>
    </row>
    <row r="11" spans="1:4" x14ac:dyDescent="0.3">
      <c r="A11" s="47" t="s">
        <v>251</v>
      </c>
      <c r="B11" s="46">
        <f>SUMIFS(RR_TB,RR_Reporting,$A11)</f>
        <v>292618</v>
      </c>
      <c r="D11" s="71"/>
    </row>
    <row r="12" spans="1:4" x14ac:dyDescent="0.3">
      <c r="A12" s="47" t="s">
        <v>252</v>
      </c>
      <c r="B12" s="46">
        <f>SUMIFS(RR_TB,RR_Reporting,$A12)</f>
        <v>13501682</v>
      </c>
      <c r="D12" s="71"/>
    </row>
    <row r="13" spans="1:4" x14ac:dyDescent="0.3">
      <c r="A13" s="47" t="s">
        <v>253</v>
      </c>
      <c r="B13" s="46">
        <f>SUBTOTAL(9,B$5:B12)</f>
        <v>178512624</v>
      </c>
    </row>
    <row r="14" spans="1:4" x14ac:dyDescent="0.3">
      <c r="A14" s="48" t="s">
        <v>138</v>
      </c>
    </row>
    <row r="15" spans="1:4" x14ac:dyDescent="0.3">
      <c r="A15" s="100" t="s">
        <v>479</v>
      </c>
      <c r="B15" s="46">
        <f>SUMIFS(RR_TB,RR_Reporting,$A15)</f>
        <v>436412</v>
      </c>
      <c r="D15" s="71"/>
    </row>
    <row r="16" spans="1:4" x14ac:dyDescent="0.3">
      <c r="A16" s="92" t="s">
        <v>725</v>
      </c>
      <c r="B16" s="46">
        <f>SUMIFS(RR_TB,RR_Reporting,$A16)</f>
        <v>2134453</v>
      </c>
      <c r="D16" s="71"/>
    </row>
    <row r="17" spans="1:8" x14ac:dyDescent="0.3">
      <c r="A17" s="100" t="s">
        <v>480</v>
      </c>
      <c r="B17" s="46">
        <f>SUMIFS(RR_TB,RR_Reporting,$A17)</f>
        <v>27001358</v>
      </c>
      <c r="D17" s="71"/>
    </row>
    <row r="18" spans="1:8" x14ac:dyDescent="0.3">
      <c r="A18" s="100" t="s">
        <v>254</v>
      </c>
      <c r="B18" s="46">
        <f>SUBTOTAL(9,B14:B17)</f>
        <v>29572223</v>
      </c>
    </row>
    <row r="19" spans="1:8" x14ac:dyDescent="0.3">
      <c r="A19" s="78" t="s">
        <v>263</v>
      </c>
      <c r="B19" s="46">
        <f>SUBTOTAL(9,B$4:B18)</f>
        <v>208084847</v>
      </c>
    </row>
    <row r="20" spans="1:8" x14ac:dyDescent="0.3">
      <c r="A20" s="78" t="s">
        <v>246</v>
      </c>
    </row>
    <row r="21" spans="1:8" x14ac:dyDescent="0.3">
      <c r="A21" s="100" t="s">
        <v>255</v>
      </c>
      <c r="B21" s="46">
        <f>SUMIFS(RR_TB,RR_Reporting,$A21)</f>
        <v>14742248</v>
      </c>
      <c r="D21" s="71"/>
    </row>
    <row r="22" spans="1:8" x14ac:dyDescent="0.3">
      <c r="A22" s="100" t="s">
        <v>256</v>
      </c>
      <c r="B22" s="46">
        <f>SUMIFS(RR_TB,RR_Reporting,$A22)</f>
        <v>1336713</v>
      </c>
      <c r="D22" s="71"/>
    </row>
    <row r="23" spans="1:8" x14ac:dyDescent="0.3">
      <c r="A23" s="100" t="s">
        <v>257</v>
      </c>
      <c r="B23" s="46">
        <f>SUMIFS(RR_TB,RR_Reporting,$A23)</f>
        <v>-778959</v>
      </c>
      <c r="D23" s="71"/>
    </row>
    <row r="24" spans="1:8" x14ac:dyDescent="0.3">
      <c r="A24" s="100" t="s">
        <v>728</v>
      </c>
      <c r="B24" s="46">
        <f>SUMIFS(RR_TB,RR_Reporting,$A24)</f>
        <v>-48812</v>
      </c>
      <c r="D24" s="71"/>
    </row>
    <row r="25" spans="1:8" x14ac:dyDescent="0.3">
      <c r="A25" s="100" t="s">
        <v>258</v>
      </c>
      <c r="B25" s="46">
        <f>SUMIFS(RR_TB,RR_Reporting,$A25)</f>
        <v>24888</v>
      </c>
      <c r="D25" s="71"/>
    </row>
    <row r="26" spans="1:8" x14ac:dyDescent="0.3">
      <c r="A26" s="100" t="s">
        <v>259</v>
      </c>
      <c r="B26" s="46">
        <f>SUBTOTAL(9,B20:B25)</f>
        <v>15276078</v>
      </c>
    </row>
    <row r="27" spans="1:8" x14ac:dyDescent="0.3">
      <c r="A27" s="46" t="s">
        <v>260</v>
      </c>
      <c r="B27" s="46">
        <f>SUBTOTAL(9,B28:B29)</f>
        <v>25764648</v>
      </c>
    </row>
    <row r="28" spans="1:8" x14ac:dyDescent="0.3">
      <c r="A28" s="46" t="s">
        <v>261</v>
      </c>
      <c r="B28" s="46">
        <f>SUMIFS(RR_TB,RR_Reporting,$A28)</f>
        <v>8025872</v>
      </c>
      <c r="D28" s="71"/>
    </row>
    <row r="29" spans="1:8" x14ac:dyDescent="0.3">
      <c r="A29" s="46" t="s">
        <v>606</v>
      </c>
      <c r="B29" s="46">
        <f>SUMIFS(RR_TB,RR_Reporting,$A29)</f>
        <v>17738776</v>
      </c>
      <c r="D29" s="71"/>
    </row>
    <row r="30" spans="1:8" x14ac:dyDescent="0.3">
      <c r="A30" s="46" t="s">
        <v>629</v>
      </c>
      <c r="B30" s="46">
        <f>SUBTOTAL(9,B$4:B29)</f>
        <v>249125573</v>
      </c>
    </row>
    <row r="31" spans="1:8" x14ac:dyDescent="0.3">
      <c r="A31" s="46" t="s">
        <v>632</v>
      </c>
      <c r="B31" s="46">
        <f>SUMIFS(RR_TB,RR_Reporting,$A31)</f>
        <v>-2725459.0299999993</v>
      </c>
      <c r="D31" s="71"/>
      <c r="H31" s="65"/>
    </row>
    <row r="32" spans="1:8" x14ac:dyDescent="0.3">
      <c r="A32" s="46" t="s">
        <v>631</v>
      </c>
      <c r="B32" s="46">
        <f>SUMIFS(RR_TB,RR_Reporting,$A32)</f>
        <v>-3051423</v>
      </c>
      <c r="D32" s="71"/>
    </row>
    <row r="33" spans="1:2" x14ac:dyDescent="0.3">
      <c r="A33" s="46" t="s">
        <v>630</v>
      </c>
      <c r="B33" s="46">
        <f>SUBTOTAL(9,B$4:B32)</f>
        <v>243348690.97</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E48"/>
  <sheetViews>
    <sheetView view="pageBreakPreview" zoomScale="40" zoomScaleNormal="100" zoomScaleSheetLayoutView="40" workbookViewId="0">
      <selection activeCell="E21" sqref="E21"/>
    </sheetView>
  </sheetViews>
  <sheetFormatPr defaultColWidth="8.7109375" defaultRowHeight="13.5" x14ac:dyDescent="0.3"/>
  <cols>
    <col min="1" max="1" width="25.7109375" style="1" customWidth="1"/>
    <col min="2" max="2" width="11.28515625" style="1" customWidth="1"/>
    <col min="3" max="3" width="11.7109375" style="1" customWidth="1"/>
    <col min="4" max="4" width="11.2109375" style="1" customWidth="1"/>
    <col min="5" max="5" width="30.7109375" style="1" customWidth="1"/>
    <col min="6" max="16384" width="8.7109375" style="1"/>
  </cols>
  <sheetData>
    <row r="1" spans="1:5" x14ac:dyDescent="0.3">
      <c r="A1" s="1" t="s">
        <v>245</v>
      </c>
    </row>
    <row r="2" spans="1:5" x14ac:dyDescent="0.3">
      <c r="A2" s="46" t="s">
        <v>704</v>
      </c>
    </row>
    <row r="4" spans="1:5" x14ac:dyDescent="0.3">
      <c r="A4" s="17"/>
      <c r="B4" s="28" t="s">
        <v>105</v>
      </c>
      <c r="C4" s="28" t="s">
        <v>106</v>
      </c>
      <c r="D4" s="17" t="s">
        <v>154</v>
      </c>
      <c r="E4" s="29" t="s">
        <v>218</v>
      </c>
    </row>
    <row r="5" spans="1:5" x14ac:dyDescent="0.3">
      <c r="A5" s="1" t="s">
        <v>129</v>
      </c>
      <c r="E5" s="2"/>
    </row>
    <row r="6" spans="1:5" x14ac:dyDescent="0.3">
      <c r="A6" s="3" t="s">
        <v>172</v>
      </c>
      <c r="B6" s="64">
        <f>SUMIFS('6.1'!$C$6:$C$74,Assets_PresHeader,$A6)-SUMIFS('6.1'!$F$6:$F$74,Assets_PresHeader,$A6)-SUMIFS('6.1'!$I$6:$I$74,Assets_PresHeader,$A6)</f>
        <v>28790571</v>
      </c>
      <c r="C6" s="64">
        <f>SUMIFS('6.1'!$D$6:$D$74,Assets_PresHeader,$A6)-SUMIFS('6.1'!$G$6:$G$74,Assets_PresHeader,$A6)-SUMIFS('6.1'!$J$6:$J$74,Assets_PresHeader,$A6)</f>
        <v>35633263</v>
      </c>
      <c r="D6" s="1">
        <f>SUMIFS('6.1'!$L$6:$L$74,Assets_PresHeader,$A6)</f>
        <v>32211917</v>
      </c>
      <c r="E6" s="2" t="s">
        <v>499</v>
      </c>
    </row>
    <row r="7" spans="1:5" x14ac:dyDescent="0.3">
      <c r="A7" s="3" t="s">
        <v>173</v>
      </c>
      <c r="B7" s="64"/>
      <c r="C7" s="64"/>
      <c r="E7" s="2"/>
    </row>
    <row r="8" spans="1:5" x14ac:dyDescent="0.3">
      <c r="A8" s="4" t="s">
        <v>13</v>
      </c>
      <c r="B8" s="64">
        <f>SUMIFS('6.1'!$C$6:$C$74,Assets_PresHeader,$A8)-SUMIFS('6.1'!$F$6:$F$74,Assets_PresHeader,$A8)-SUMIFS('6.1'!$I$6:$I$74,Assets_PresHeader,$A8)</f>
        <v>57688740</v>
      </c>
      <c r="C8" s="64">
        <f>SUMIFS('6.1'!$D$6:$D$74,Assets_PresHeader,$A8)-SUMIFS('6.1'!$G$6:$G$74,Assets_PresHeader,$A8)-SUMIFS('6.1'!$J$6:$J$74,Assets_PresHeader,$A8)</f>
        <v>64902838</v>
      </c>
      <c r="D8" s="1">
        <f>SUMIFS('6.1'!$L$6:$L$74,Assets_PresHeader,$A8)</f>
        <v>61295789</v>
      </c>
      <c r="E8" s="2" t="s">
        <v>499</v>
      </c>
    </row>
    <row r="9" spans="1:5" x14ac:dyDescent="0.3">
      <c r="A9" s="4" t="s">
        <v>140</v>
      </c>
      <c r="B9" s="64">
        <f>SUMIFS('6.1'!$C$6:$C$74,Assets_PresHeader,$A9)-SUMIFS('6.1'!$F$6:$F$74,Assets_PresHeader,$A9)-SUMIFS('6.1'!$I$6:$I$74,Assets_PresHeader,$A9)</f>
        <v>344429957.26999998</v>
      </c>
      <c r="C9" s="64">
        <f>SUMIFS('6.1'!$D$6:$D$74,Assets_PresHeader,$A9)-SUMIFS('6.1'!$G$6:$G$74,Assets_PresHeader,$A9)-SUMIFS('6.1'!$J$6:$J$74,Assets_PresHeader,$A9)</f>
        <v>378903915.24299997</v>
      </c>
      <c r="D9" s="1">
        <f>SUMIFS('6.1'!$L$6:$L$74,Assets_PresHeader,$A9)</f>
        <v>361666936.24299997</v>
      </c>
      <c r="E9" s="2" t="s">
        <v>499</v>
      </c>
    </row>
    <row r="10" spans="1:5" x14ac:dyDescent="0.3">
      <c r="A10" s="4" t="s">
        <v>141</v>
      </c>
      <c r="B10" s="64">
        <f>SUMIFS('6.1'!$C$6:$C$74,Assets_PresHeader,$A10)-SUMIFS('6.1'!$F$6:$F$74,Assets_PresHeader,$A10)-SUMIFS('6.1'!$I$6:$I$74,Assets_PresHeader,$A10)</f>
        <v>6588414</v>
      </c>
      <c r="C10" s="64">
        <f>SUMIFS('6.1'!$D$6:$D$74,Assets_PresHeader,$A10)-SUMIFS('6.1'!$G$6:$G$74,Assets_PresHeader,$A10)-SUMIFS('6.1'!$J$6:$J$74,Assets_PresHeader,$A10)</f>
        <v>6263569</v>
      </c>
      <c r="D10" s="1">
        <f>SUMIFS('6.1'!$L$6:$L$74,Assets_PresHeader,$A10)</f>
        <v>6425991.5</v>
      </c>
      <c r="E10" s="2" t="s">
        <v>499</v>
      </c>
    </row>
    <row r="11" spans="1:5" x14ac:dyDescent="0.3">
      <c r="A11" s="4" t="s">
        <v>142</v>
      </c>
      <c r="B11" s="64">
        <f>SUMIFS('6.1'!$C$6:$C$74,Assets_PresHeader,$A11)-SUMIFS('6.1'!$F$6:$F$74,Assets_PresHeader,$A11)-SUMIFS('6.1'!$I$6:$I$74,Assets_PresHeader,$A11)</f>
        <v>12585709</v>
      </c>
      <c r="C11" s="64">
        <f>SUMIFS('6.1'!$D$6:$D$74,Assets_PresHeader,$A11)-SUMIFS('6.1'!$G$6:$G$74,Assets_PresHeader,$A11)-SUMIFS('6.1'!$J$6:$J$74,Assets_PresHeader,$A11)</f>
        <v>12041200</v>
      </c>
      <c r="D11" s="1">
        <f>SUMIFS('6.1'!$L$6:$L$74,Assets_PresHeader,$A11)</f>
        <v>12313454.5</v>
      </c>
      <c r="E11" s="2" t="s">
        <v>499</v>
      </c>
    </row>
    <row r="12" spans="1:5" x14ac:dyDescent="0.3">
      <c r="A12" s="4" t="s">
        <v>143</v>
      </c>
      <c r="B12" s="64">
        <f>SUMIFS('6.1'!$C$6:$C$74,Assets_PresHeader,$A12)-SUMIFS('6.1'!$F$6:$F$74,Assets_PresHeader,$A12)-SUMIFS('6.1'!$I$6:$I$74,Assets_PresHeader,$A12)</f>
        <v>7838619</v>
      </c>
      <c r="C12" s="64">
        <f>SUMIFS('6.1'!$D$6:$D$74,Assets_PresHeader,$A12)-SUMIFS('6.1'!$G$6:$G$74,Assets_PresHeader,$A12)-SUMIFS('6.1'!$J$6:$J$74,Assets_PresHeader,$A12)</f>
        <v>8515525</v>
      </c>
      <c r="D12" s="1">
        <f>SUMIFS('6.1'!$L$6:$L$74,Assets_PresHeader,$A12)</f>
        <v>8177072</v>
      </c>
      <c r="E12" s="2" t="s">
        <v>499</v>
      </c>
    </row>
    <row r="13" spans="1:5" x14ac:dyDescent="0.3">
      <c r="A13" s="4" t="s">
        <v>174</v>
      </c>
      <c r="B13" s="64">
        <f>SUBTOTAL(9,B7:B12)</f>
        <v>429131439.26999998</v>
      </c>
      <c r="C13" s="64">
        <f>SUBTOTAL(9,C7:C12)</f>
        <v>470627047.24299997</v>
      </c>
      <c r="D13" s="1">
        <f>SUBTOTAL(9,D7:D12)</f>
        <v>449879243.24299997</v>
      </c>
      <c r="E13" s="2"/>
    </row>
    <row r="14" spans="1:5" x14ac:dyDescent="0.3">
      <c r="A14" s="3" t="s">
        <v>175</v>
      </c>
      <c r="B14" s="64">
        <f>SUMIFS('6.1'!$C$6:$C$74,Assets_PresHeader,$A14)-SUMIFS('6.1'!$F$6:$F$74,Assets_PresHeader,$A14)-SUMIFS('6.1'!$I$6:$I$74,Assets_PresHeader,$A14)</f>
        <v>27727807</v>
      </c>
      <c r="C14" s="64">
        <f>SUMIFS('6.1'!$D$6:$D$74,Assets_PresHeader,$A14)-SUMIFS('6.1'!$G$6:$G$74,Assets_PresHeader,$A14)-SUMIFS('6.1'!$J$6:$J$74,Assets_PresHeader,$A14)</f>
        <v>30434142</v>
      </c>
      <c r="D14" s="1">
        <f>SUMIFS('6.1'!$L$6:$L$74,Assets_PresHeader,$A14)</f>
        <v>29080974.5</v>
      </c>
      <c r="E14" s="2" t="s">
        <v>499</v>
      </c>
    </row>
    <row r="15" spans="1:5" x14ac:dyDescent="0.3">
      <c r="A15" s="3" t="s">
        <v>131</v>
      </c>
      <c r="B15" s="64">
        <f>SUBTOTAL(9,B5:B14)</f>
        <v>485649817.26999998</v>
      </c>
      <c r="C15" s="64">
        <f>SUBTOTAL(9,C5:C14)</f>
        <v>536694452.24299997</v>
      </c>
      <c r="D15" s="1">
        <f>SUBTOTAL(9,D5:D14)</f>
        <v>511172134.74299997</v>
      </c>
      <c r="E15" s="2"/>
    </row>
    <row r="16" spans="1:5" x14ac:dyDescent="0.3">
      <c r="A16" s="1" t="s">
        <v>176</v>
      </c>
      <c r="B16" s="64">
        <f>-'6.2'!C26</f>
        <v>-24828086</v>
      </c>
      <c r="C16" s="64">
        <f>-'6.2'!D26</f>
        <v>-26802998</v>
      </c>
      <c r="D16" s="1">
        <f>AVERAGE(B16:C16)</f>
        <v>-25815542</v>
      </c>
      <c r="E16" s="2" t="s">
        <v>499</v>
      </c>
    </row>
    <row r="17" spans="1:5" x14ac:dyDescent="0.3">
      <c r="A17" s="2" t="s">
        <v>147</v>
      </c>
      <c r="B17" s="64"/>
      <c r="C17" s="64"/>
      <c r="E17" s="2"/>
    </row>
    <row r="18" spans="1:5" ht="14" x14ac:dyDescent="0.3">
      <c r="A18" s="3" t="s">
        <v>148</v>
      </c>
      <c r="B18" s="67">
        <v>-47849000</v>
      </c>
      <c r="C18" s="67">
        <v>-48770000</v>
      </c>
      <c r="D18" s="1">
        <f t="shared" ref="D18:D26" si="0">AVERAGE(B18:C18)</f>
        <v>-48309500</v>
      </c>
      <c r="E18" s="2" t="s">
        <v>240</v>
      </c>
    </row>
    <row r="19" spans="1:5" ht="14" x14ac:dyDescent="0.3">
      <c r="A19" s="3" t="s">
        <v>149</v>
      </c>
      <c r="B19" s="67">
        <v>-3613000</v>
      </c>
      <c r="C19" s="67">
        <v>-3623000</v>
      </c>
      <c r="D19" s="1">
        <f t="shared" si="0"/>
        <v>-3618000</v>
      </c>
      <c r="E19" s="2" t="s">
        <v>11</v>
      </c>
    </row>
    <row r="20" spans="1:5" ht="14" x14ac:dyDescent="0.3">
      <c r="A20" s="3" t="s">
        <v>150</v>
      </c>
      <c r="B20" s="67">
        <v>-376000</v>
      </c>
      <c r="C20" s="67">
        <v>-347000</v>
      </c>
      <c r="D20" s="1">
        <f t="shared" si="0"/>
        <v>-361500</v>
      </c>
      <c r="E20" s="2" t="s">
        <v>10</v>
      </c>
    </row>
    <row r="21" spans="1:5" ht="14" x14ac:dyDescent="0.3">
      <c r="A21" s="3" t="s">
        <v>151</v>
      </c>
      <c r="B21" s="67">
        <v>1922000</v>
      </c>
      <c r="C21" s="67">
        <v>2014000</v>
      </c>
      <c r="D21" s="1">
        <f t="shared" si="0"/>
        <v>1968000</v>
      </c>
      <c r="E21" s="2" t="s">
        <v>156</v>
      </c>
    </row>
    <row r="22" spans="1:5" ht="14" x14ac:dyDescent="0.3">
      <c r="A22" s="3" t="s">
        <v>152</v>
      </c>
      <c r="B22" s="67">
        <v>0</v>
      </c>
      <c r="C22" s="67">
        <v>0</v>
      </c>
      <c r="D22" s="1">
        <f t="shared" si="0"/>
        <v>0</v>
      </c>
      <c r="E22" s="2" t="s">
        <v>11</v>
      </c>
    </row>
    <row r="23" spans="1:5" ht="14" x14ac:dyDescent="0.3">
      <c r="A23" s="3" t="s">
        <v>189</v>
      </c>
      <c r="B23" s="67">
        <v>413000</v>
      </c>
      <c r="C23" s="67">
        <v>0</v>
      </c>
      <c r="D23" s="1">
        <f t="shared" si="0"/>
        <v>206500</v>
      </c>
      <c r="E23" s="2" t="s">
        <v>240</v>
      </c>
    </row>
    <row r="24" spans="1:5" ht="14" x14ac:dyDescent="0.3">
      <c r="A24" s="3" t="s">
        <v>188</v>
      </c>
      <c r="B24" s="67">
        <v>31376000</v>
      </c>
      <c r="C24" s="67">
        <v>28184000</v>
      </c>
      <c r="D24" s="1">
        <f t="shared" si="0"/>
        <v>29780000</v>
      </c>
      <c r="E24" s="2" t="s">
        <v>240</v>
      </c>
    </row>
    <row r="25" spans="1:5" ht="14" x14ac:dyDescent="0.3">
      <c r="A25" s="3" t="s">
        <v>125</v>
      </c>
      <c r="B25" s="67">
        <v>-11848000</v>
      </c>
      <c r="C25" s="67">
        <v>-12690000</v>
      </c>
      <c r="D25" s="1">
        <f t="shared" si="0"/>
        <v>-12269000</v>
      </c>
      <c r="E25" s="2" t="s">
        <v>240</v>
      </c>
    </row>
    <row r="26" spans="1:5" ht="14" x14ac:dyDescent="0.3">
      <c r="A26" s="3" t="s">
        <v>190</v>
      </c>
      <c r="B26" s="67">
        <v>0</v>
      </c>
      <c r="C26" s="67">
        <v>0</v>
      </c>
      <c r="D26" s="1">
        <f t="shared" si="0"/>
        <v>0</v>
      </c>
      <c r="E26" s="2" t="s">
        <v>240</v>
      </c>
    </row>
    <row r="27" spans="1:5" x14ac:dyDescent="0.3">
      <c r="A27" s="3" t="s">
        <v>153</v>
      </c>
      <c r="B27" s="66">
        <f>SUBTOTAL(9,B18:B26)</f>
        <v>-29975000</v>
      </c>
      <c r="C27" s="66">
        <f>SUBTOTAL(9,C18:C26)</f>
        <v>-35232000</v>
      </c>
      <c r="D27" s="66">
        <f>SUBTOTAL(9,D18:D26)</f>
        <v>-32603500</v>
      </c>
      <c r="E27" s="2" t="s">
        <v>240</v>
      </c>
    </row>
    <row r="28" spans="1:5" ht="14" x14ac:dyDescent="0.3">
      <c r="A28" s="1" t="s">
        <v>132</v>
      </c>
      <c r="B28" s="67">
        <v>1235000</v>
      </c>
      <c r="C28" s="67">
        <v>1746000</v>
      </c>
      <c r="D28" s="64">
        <f>AVERAGE(B28:C28)</f>
        <v>1490500</v>
      </c>
      <c r="E28" s="2" t="s">
        <v>240</v>
      </c>
    </row>
    <row r="29" spans="1:5" ht="14" x14ac:dyDescent="0.3">
      <c r="A29" s="1" t="s">
        <v>145</v>
      </c>
      <c r="B29" s="67">
        <v>0</v>
      </c>
      <c r="C29" s="67">
        <v>0</v>
      </c>
      <c r="D29" s="64">
        <f t="shared" ref="D29:D37" si="1">AVERAGE(B29:C29)</f>
        <v>0</v>
      </c>
      <c r="E29" s="2" t="s">
        <v>11</v>
      </c>
    </row>
    <row r="30" spans="1:5" ht="14" x14ac:dyDescent="0.3">
      <c r="A30" s="1" t="s">
        <v>146</v>
      </c>
      <c r="B30" s="67">
        <v>11655000</v>
      </c>
      <c r="C30" s="67">
        <v>11686000</v>
      </c>
      <c r="D30" s="64">
        <f t="shared" si="1"/>
        <v>11670500</v>
      </c>
      <c r="E30" s="2" t="s">
        <v>11</v>
      </c>
    </row>
    <row r="31" spans="1:5" ht="14" x14ac:dyDescent="0.3">
      <c r="A31" s="1" t="s">
        <v>133</v>
      </c>
      <c r="B31" s="67">
        <v>-5276000</v>
      </c>
      <c r="C31" s="67">
        <v>-5411000</v>
      </c>
      <c r="D31" s="64">
        <f t="shared" si="1"/>
        <v>-5343500</v>
      </c>
      <c r="E31" s="2" t="s">
        <v>156</v>
      </c>
    </row>
    <row r="32" spans="1:5" ht="14" x14ac:dyDescent="0.3">
      <c r="A32" s="1" t="s">
        <v>731</v>
      </c>
      <c r="B32" s="69">
        <v>3236000</v>
      </c>
      <c r="C32" s="69">
        <v>3881000</v>
      </c>
      <c r="D32" s="70">
        <f t="shared" si="1"/>
        <v>3558500</v>
      </c>
      <c r="E32" s="2" t="s">
        <v>240</v>
      </c>
    </row>
    <row r="33" spans="1:5" ht="14" x14ac:dyDescent="0.3">
      <c r="A33" s="1" t="s">
        <v>730</v>
      </c>
      <c r="B33" s="69">
        <v>10672000</v>
      </c>
      <c r="C33" s="69">
        <v>8538000</v>
      </c>
      <c r="D33" s="70">
        <f t="shared" si="1"/>
        <v>9605000</v>
      </c>
      <c r="E33" s="2" t="s">
        <v>10</v>
      </c>
    </row>
    <row r="34" spans="1:5" ht="14" x14ac:dyDescent="0.3">
      <c r="A34" s="1" t="s">
        <v>134</v>
      </c>
      <c r="B34" s="67">
        <v>2038000</v>
      </c>
      <c r="C34" s="67">
        <v>1000</v>
      </c>
      <c r="D34" s="64">
        <f t="shared" si="1"/>
        <v>1019500</v>
      </c>
      <c r="E34" s="2" t="s">
        <v>240</v>
      </c>
    </row>
    <row r="35" spans="1:5" x14ac:dyDescent="0.3">
      <c r="A35" s="1" t="s">
        <v>186</v>
      </c>
      <c r="B35" s="68"/>
      <c r="C35" s="68"/>
      <c r="E35" s="2"/>
    </row>
    <row r="36" spans="1:5" x14ac:dyDescent="0.3">
      <c r="A36" s="3" t="s">
        <v>238</v>
      </c>
      <c r="B36" s="66">
        <f>SUM('6.2'!C44:C45)</f>
        <v>3006729</v>
      </c>
      <c r="C36" s="66">
        <f>SUM('6.2'!D44:D45)</f>
        <v>2991605</v>
      </c>
      <c r="D36" s="10">
        <f t="shared" si="1"/>
        <v>2999167</v>
      </c>
      <c r="E36" s="2" t="s">
        <v>499</v>
      </c>
    </row>
    <row r="37" spans="1:5" x14ac:dyDescent="0.3">
      <c r="A37" s="3" t="s">
        <v>239</v>
      </c>
      <c r="B37" s="66">
        <f>'6.2'!C46</f>
        <v>1055859</v>
      </c>
      <c r="C37" s="66">
        <f>'6.2'!D46</f>
        <v>987143</v>
      </c>
      <c r="D37" s="10">
        <f t="shared" si="1"/>
        <v>1021501</v>
      </c>
      <c r="E37" s="2" t="s">
        <v>499</v>
      </c>
    </row>
    <row r="38" spans="1:5" x14ac:dyDescent="0.3">
      <c r="A38" s="3" t="s">
        <v>187</v>
      </c>
      <c r="B38" s="66">
        <f>SUBTOTAL(9,B36:B37)</f>
        <v>4062588</v>
      </c>
      <c r="C38" s="66">
        <f>SUBTOTAL(9,C36:C37)</f>
        <v>3978748</v>
      </c>
      <c r="D38" s="10">
        <f>SUBTOTAL(9,D36:D37)</f>
        <v>4020668</v>
      </c>
      <c r="E38" s="2"/>
    </row>
    <row r="39" spans="1:5" ht="14" x14ac:dyDescent="0.3">
      <c r="A39" s="1" t="s">
        <v>135</v>
      </c>
      <c r="B39" s="67">
        <v>1212000</v>
      </c>
      <c r="C39" s="67">
        <v>1119000</v>
      </c>
      <c r="D39" s="64">
        <f>AVERAGE(B39:C39)</f>
        <v>1165500</v>
      </c>
      <c r="E39" s="2" t="s">
        <v>10</v>
      </c>
    </row>
    <row r="40" spans="1:5" x14ac:dyDescent="0.3">
      <c r="A40" s="1" t="s">
        <v>136</v>
      </c>
      <c r="B40" s="64"/>
      <c r="C40" s="64"/>
      <c r="D40" s="64"/>
      <c r="E40" s="2"/>
    </row>
    <row r="41" spans="1:5" ht="14" x14ac:dyDescent="0.3">
      <c r="A41" s="3" t="s">
        <v>177</v>
      </c>
      <c r="B41" s="67">
        <v>2304000</v>
      </c>
      <c r="C41" s="67">
        <v>3548000</v>
      </c>
      <c r="D41" s="64">
        <f>AVERAGE(B41:C41)</f>
        <v>2926000</v>
      </c>
      <c r="E41" s="2" t="s">
        <v>191</v>
      </c>
    </row>
    <row r="42" spans="1:5" ht="14" x14ac:dyDescent="0.3">
      <c r="A42" s="3" t="s">
        <v>241</v>
      </c>
      <c r="B42" s="67">
        <v>6639000</v>
      </c>
      <c r="C42" s="67">
        <v>7140000</v>
      </c>
      <c r="D42" s="64">
        <f>AVERAGE(B42:C42)</f>
        <v>6889500</v>
      </c>
      <c r="E42" s="2" t="s">
        <v>192</v>
      </c>
    </row>
    <row r="43" spans="1:5" ht="14" x14ac:dyDescent="0.3">
      <c r="A43" s="3" t="s">
        <v>242</v>
      </c>
      <c r="B43" s="67">
        <v>88000</v>
      </c>
      <c r="C43" s="67">
        <v>90000</v>
      </c>
      <c r="D43" s="64">
        <f>AVERAGE(B43:C43)</f>
        <v>89000</v>
      </c>
      <c r="E43" s="2" t="s">
        <v>490</v>
      </c>
    </row>
    <row r="44" spans="1:5" x14ac:dyDescent="0.3">
      <c r="A44" s="3" t="s">
        <v>178</v>
      </c>
      <c r="B44" s="64">
        <f>SUBTOTAL(9,B41:B43)</f>
        <v>9031000</v>
      </c>
      <c r="C44" s="64">
        <f>SUBTOTAL(9,C41:C43)</f>
        <v>10778000</v>
      </c>
      <c r="D44" s="64">
        <f>SUBTOTAL(9,D41:D43)</f>
        <v>9904500</v>
      </c>
      <c r="E44" s="2"/>
    </row>
    <row r="45" spans="1:5" x14ac:dyDescent="0.3">
      <c r="A45" s="1" t="s">
        <v>179</v>
      </c>
      <c r="B45" s="1">
        <f>SUBTOTAL(9,B6:B44)</f>
        <v>468712319.26999998</v>
      </c>
      <c r="C45" s="1">
        <f>SUBTOTAL(9,C6:C44)</f>
        <v>510976202.24299997</v>
      </c>
      <c r="D45" s="1">
        <f>SUBTOTAL(9,D6:D44)</f>
        <v>489844260.74299997</v>
      </c>
      <c r="E45" s="2"/>
    </row>
    <row r="46" spans="1:5" x14ac:dyDescent="0.3">
      <c r="E46" s="2"/>
    </row>
    <row r="47" spans="1:5" x14ac:dyDescent="0.3">
      <c r="B47" s="1">
        <v>468712000</v>
      </c>
      <c r="C47" s="1">
        <v>510977000</v>
      </c>
      <c r="E47" s="2"/>
    </row>
    <row r="48" spans="1:5" x14ac:dyDescent="0.3">
      <c r="A48" s="3"/>
      <c r="C48" s="1">
        <f>C47-C45</f>
        <v>797.75700002908707</v>
      </c>
      <c r="E48" s="2"/>
    </row>
  </sheetData>
  <printOptions horizontalCentered="1" gridLines="1"/>
  <pageMargins left="0.19685039370078741" right="0.19685039370078741" top="0.98425196850393704" bottom="0.59055118110236227" header="0.19685039370078741" footer="0.19685039370078741"/>
  <pageSetup scale="70" pageOrder="overThenDown" orientation="landscape" r:id="rId1"/>
  <headerFooter scaleWithDoc="0">
    <oddHeader xml:space="preserve">&amp;C2023 "Status Quo Methods" Cost Allocation Model for MECL </oddHeader>
    <oddFooter>&amp;LPage &amp;P of &amp;N&amp;RJune 27, 2025</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R38"/>
  <sheetViews>
    <sheetView view="pageBreakPreview" zoomScale="40" zoomScaleNormal="100" zoomScaleSheetLayoutView="40" workbookViewId="0">
      <selection activeCell="E21" sqref="E21"/>
    </sheetView>
  </sheetViews>
  <sheetFormatPr defaultColWidth="8.7109375" defaultRowHeight="13.5" x14ac:dyDescent="0.3"/>
  <cols>
    <col min="1" max="1" width="25.7109375" style="5" customWidth="1"/>
    <col min="2" max="18" width="7.7109375" style="5" customWidth="1"/>
    <col min="19" max="16384" width="8.7109375" style="5"/>
  </cols>
  <sheetData>
    <row r="1" spans="1:18" x14ac:dyDescent="0.3">
      <c r="A1" s="5" t="s">
        <v>193</v>
      </c>
    </row>
    <row r="2" spans="1:18" x14ac:dyDescent="0.3">
      <c r="A2" s="5" t="s">
        <v>194</v>
      </c>
    </row>
    <row r="4" spans="1:18" x14ac:dyDescent="0.3">
      <c r="A4" s="5" t="s">
        <v>195</v>
      </c>
    </row>
    <row r="5" spans="1:18" s="11" customFormat="1" ht="54" x14ac:dyDescent="0.25">
      <c r="A5" s="11" t="s">
        <v>196</v>
      </c>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x14ac:dyDescent="0.3">
      <c r="A6" s="5" t="s">
        <v>197</v>
      </c>
      <c r="B6" s="30"/>
      <c r="C6" s="30"/>
      <c r="D6" s="30"/>
      <c r="E6" s="30"/>
      <c r="F6" s="30"/>
      <c r="G6" s="30"/>
      <c r="H6" s="30"/>
      <c r="I6" s="30"/>
      <c r="J6" s="30"/>
      <c r="K6" s="30"/>
      <c r="L6" s="30"/>
      <c r="M6" s="30"/>
      <c r="N6" s="30"/>
      <c r="O6" s="30"/>
      <c r="P6" s="30"/>
      <c r="Q6" s="30"/>
      <c r="R6" s="30"/>
    </row>
    <row r="7" spans="1:18" x14ac:dyDescent="0.3">
      <c r="A7" s="26" t="s">
        <v>628</v>
      </c>
      <c r="B7" s="30">
        <f>'5.1'!B6/'5.1'!$R6</f>
        <v>0</v>
      </c>
      <c r="C7" s="30">
        <f>'5.1'!C6/'5.1'!$R6</f>
        <v>0</v>
      </c>
      <c r="D7" s="30">
        <f>'5.1'!D6/'5.1'!$R6</f>
        <v>0.49</v>
      </c>
      <c r="E7" s="30">
        <f>'5.1'!E6/'5.1'!$R6</f>
        <v>0.51</v>
      </c>
      <c r="F7" s="30">
        <f>'5.1'!F6/'5.1'!$R6</f>
        <v>0</v>
      </c>
      <c r="G7" s="30">
        <f>'5.1'!G6/'5.1'!$R6</f>
        <v>0</v>
      </c>
      <c r="H7" s="30">
        <f>'5.1'!H6/'5.1'!$R6</f>
        <v>0</v>
      </c>
      <c r="I7" s="30">
        <f>'5.1'!I6/'5.1'!$R6</f>
        <v>0</v>
      </c>
      <c r="J7" s="30">
        <f>'5.1'!J6/'5.1'!$R6</f>
        <v>0</v>
      </c>
      <c r="K7" s="30">
        <f>'5.1'!K6/'5.1'!$R6</f>
        <v>0</v>
      </c>
      <c r="L7" s="30">
        <f>'5.1'!L6/'5.1'!$R6</f>
        <v>0</v>
      </c>
      <c r="M7" s="30">
        <f>'5.1'!M6/'5.1'!$R6</f>
        <v>0</v>
      </c>
      <c r="N7" s="30">
        <f>'5.1'!N6/'5.1'!$R6</f>
        <v>0</v>
      </c>
      <c r="O7" s="30">
        <f>'5.1'!O6/'5.1'!$R6</f>
        <v>0</v>
      </c>
      <c r="P7" s="30">
        <f>'5.1'!P6/'5.1'!$R6</f>
        <v>0</v>
      </c>
      <c r="Q7" s="30">
        <f>'5.1'!Q6/'5.1'!$R6</f>
        <v>0</v>
      </c>
      <c r="R7" s="30">
        <f>SUM(B7:Q7)</f>
        <v>1</v>
      </c>
    </row>
    <row r="8" spans="1:18" x14ac:dyDescent="0.3">
      <c r="A8" s="26" t="s">
        <v>198</v>
      </c>
      <c r="B8" s="30">
        <f>'5.1'!B7/'5.1'!$R7</f>
        <v>0</v>
      </c>
      <c r="C8" s="30">
        <f>'5.1'!C7/'5.1'!$R7</f>
        <v>0</v>
      </c>
      <c r="D8" s="30">
        <f>'5.1'!D7/'5.1'!$R7</f>
        <v>0</v>
      </c>
      <c r="E8" s="30">
        <f>'5.1'!E7/'5.1'!$R7</f>
        <v>0</v>
      </c>
      <c r="F8" s="30">
        <f>'5.1'!F7/'5.1'!$R7</f>
        <v>0.75</v>
      </c>
      <c r="G8" s="30">
        <f>'5.1'!G7/'5.1'!$R7</f>
        <v>0</v>
      </c>
      <c r="H8" s="30">
        <f>'5.1'!H7/'5.1'!$R7</f>
        <v>0.25</v>
      </c>
      <c r="I8" s="30">
        <f>'5.1'!I7/'5.1'!$R7</f>
        <v>0</v>
      </c>
      <c r="J8" s="30">
        <f>'5.1'!J7/'5.1'!$R7</f>
        <v>0</v>
      </c>
      <c r="K8" s="30">
        <f>'5.1'!K7/'5.1'!$R7</f>
        <v>0</v>
      </c>
      <c r="L8" s="30">
        <f>'5.1'!L7/'5.1'!$R7</f>
        <v>0</v>
      </c>
      <c r="M8" s="30">
        <f>'5.1'!M7/'5.1'!$R7</f>
        <v>0</v>
      </c>
      <c r="N8" s="30">
        <f>'5.1'!N7/'5.1'!$R7</f>
        <v>0</v>
      </c>
      <c r="O8" s="30">
        <f>'5.1'!O7/'5.1'!$R7</f>
        <v>0</v>
      </c>
      <c r="P8" s="30">
        <f>'5.1'!P7/'5.1'!$R7</f>
        <v>0</v>
      </c>
      <c r="Q8" s="30">
        <f>'5.1'!Q7/'5.1'!$R7</f>
        <v>0</v>
      </c>
      <c r="R8" s="30">
        <f>SUM(B8:Q8)</f>
        <v>1</v>
      </c>
    </row>
    <row r="9" spans="1:18" x14ac:dyDescent="0.3">
      <c r="A9" s="26" t="s">
        <v>199</v>
      </c>
      <c r="B9" s="30">
        <f>'5.1'!B8/'5.1'!$R8</f>
        <v>0</v>
      </c>
      <c r="C9" s="30">
        <f>'5.1'!C8/'5.1'!$R8</f>
        <v>0</v>
      </c>
      <c r="D9" s="30">
        <f>'5.1'!D8/'5.1'!$R8</f>
        <v>0.05</v>
      </c>
      <c r="E9" s="30">
        <f>'5.1'!E8/'5.1'!$R8</f>
        <v>0</v>
      </c>
      <c r="F9" s="30">
        <f>'5.1'!F8/'5.1'!$R8</f>
        <v>3.3333333333333333E-2</v>
      </c>
      <c r="G9" s="30">
        <f>'5.1'!G8/'5.1'!$R8</f>
        <v>3.3333333333333333E-2</v>
      </c>
      <c r="H9" s="30">
        <f>'5.1'!H8/'5.1'!$R8</f>
        <v>3.3333333333333333E-2</v>
      </c>
      <c r="I9" s="30">
        <f>'5.1'!I8/'5.1'!$R8</f>
        <v>0</v>
      </c>
      <c r="J9" s="30">
        <f>'5.1'!J8/'5.1'!$R8</f>
        <v>0</v>
      </c>
      <c r="K9" s="30">
        <f>'5.1'!K8/'5.1'!$R8</f>
        <v>0.05</v>
      </c>
      <c r="L9" s="30">
        <f>'5.1'!L8/'5.1'!$R8</f>
        <v>0.2</v>
      </c>
      <c r="M9" s="30">
        <f>'5.1'!M8/'5.1'!$R8</f>
        <v>0.4</v>
      </c>
      <c r="N9" s="30">
        <f>'5.1'!N8/'5.1'!$R8</f>
        <v>0.1</v>
      </c>
      <c r="O9" s="30">
        <f>'5.1'!O8/'5.1'!$R8</f>
        <v>0.1</v>
      </c>
      <c r="P9" s="30">
        <f>'5.1'!P8/'5.1'!$R8</f>
        <v>0</v>
      </c>
      <c r="Q9" s="30">
        <f>'5.1'!Q8/'5.1'!$R8</f>
        <v>0</v>
      </c>
      <c r="R9" s="30">
        <f>SUM(B9:Q9)</f>
        <v>1</v>
      </c>
    </row>
    <row r="10" spans="1:18" x14ac:dyDescent="0.3">
      <c r="A10" s="26" t="s">
        <v>200</v>
      </c>
      <c r="B10" s="30">
        <f>'5.1'!B9/'5.1'!$R9</f>
        <v>8.3333333333333356E-2</v>
      </c>
      <c r="C10" s="30">
        <f>'5.1'!C9/'5.1'!$R9</f>
        <v>0.16666666666666671</v>
      </c>
      <c r="D10" s="30">
        <f>'5.1'!D9/'5.1'!$R9</f>
        <v>0.25000000000000006</v>
      </c>
      <c r="E10" s="30">
        <f>'5.1'!E9/'5.1'!$R9</f>
        <v>0.25000000000000006</v>
      </c>
      <c r="F10" s="30">
        <f>'5.1'!F9/'5.1'!$R9</f>
        <v>8.3333333333333356E-2</v>
      </c>
      <c r="G10" s="30">
        <f>'5.1'!G9/'5.1'!$R9</f>
        <v>8.3333333333333356E-2</v>
      </c>
      <c r="H10" s="30">
        <f>'5.1'!H9/'5.1'!$R9</f>
        <v>8.3333333333333356E-2</v>
      </c>
      <c r="I10" s="30">
        <f>'5.1'!I9/'5.1'!$R9</f>
        <v>0</v>
      </c>
      <c r="J10" s="30">
        <f>'5.1'!J9/'5.1'!$R9</f>
        <v>0</v>
      </c>
      <c r="K10" s="30">
        <f>'5.1'!K9/'5.1'!$R9</f>
        <v>0</v>
      </c>
      <c r="L10" s="30">
        <f>'5.1'!L9/'5.1'!$R9</f>
        <v>0</v>
      </c>
      <c r="M10" s="30">
        <f>'5.1'!M9/'5.1'!$R9</f>
        <v>0</v>
      </c>
      <c r="N10" s="30">
        <f>'5.1'!N9/'5.1'!$R9</f>
        <v>0</v>
      </c>
      <c r="O10" s="30">
        <f>'5.1'!O9/'5.1'!$R9</f>
        <v>0</v>
      </c>
      <c r="P10" s="30">
        <f>'5.1'!P9/'5.1'!$R9</f>
        <v>0</v>
      </c>
      <c r="Q10" s="30">
        <f>'5.1'!Q9/'5.1'!$R9</f>
        <v>0</v>
      </c>
      <c r="R10" s="30">
        <f>SUM(B10:Q10)</f>
        <v>1.0000000000000002</v>
      </c>
    </row>
    <row r="11" spans="1:18" x14ac:dyDescent="0.3">
      <c r="A11" s="26" t="s">
        <v>201</v>
      </c>
      <c r="B11" s="30">
        <f>'5.1'!B10/'5.1'!$R10</f>
        <v>0.25000000000000006</v>
      </c>
      <c r="C11" s="30">
        <f>'5.1'!C10/'5.1'!$R10</f>
        <v>0</v>
      </c>
      <c r="D11" s="30">
        <f>'5.1'!D10/'5.1'!$R10</f>
        <v>0.25000000000000006</v>
      </c>
      <c r="E11" s="30">
        <f>'5.1'!E10/'5.1'!$R10</f>
        <v>0.25000000000000006</v>
      </c>
      <c r="F11" s="30">
        <f>'5.1'!F10/'5.1'!$R10</f>
        <v>8.3333333333333356E-2</v>
      </c>
      <c r="G11" s="30">
        <f>'5.1'!G10/'5.1'!$R10</f>
        <v>8.3333333333333356E-2</v>
      </c>
      <c r="H11" s="30">
        <f>'5.1'!H10/'5.1'!$R10</f>
        <v>8.3333333333333356E-2</v>
      </c>
      <c r="I11" s="30">
        <f>'5.1'!I10/'5.1'!$R10</f>
        <v>0</v>
      </c>
      <c r="J11" s="30">
        <f>'5.1'!J10/'5.1'!$R10</f>
        <v>0</v>
      </c>
      <c r="K11" s="30">
        <f>'5.1'!K10/'5.1'!$R10</f>
        <v>0</v>
      </c>
      <c r="L11" s="30">
        <f>'5.1'!L10/'5.1'!$R10</f>
        <v>0</v>
      </c>
      <c r="M11" s="30">
        <f>'5.1'!M10/'5.1'!$R10</f>
        <v>0</v>
      </c>
      <c r="N11" s="30">
        <f>'5.1'!N10/'5.1'!$R10</f>
        <v>0</v>
      </c>
      <c r="O11" s="30">
        <f>'5.1'!O10/'5.1'!$R10</f>
        <v>0</v>
      </c>
      <c r="P11" s="30">
        <f>'5.1'!P10/'5.1'!$R10</f>
        <v>0</v>
      </c>
      <c r="Q11" s="30">
        <f>'5.1'!Q10/'5.1'!$R10</f>
        <v>0</v>
      </c>
      <c r="R11" s="30">
        <f>SUM(B11:Q11)</f>
        <v>1.0000000000000002</v>
      </c>
    </row>
    <row r="12" spans="1:18" x14ac:dyDescent="0.3">
      <c r="A12" s="5" t="s">
        <v>215</v>
      </c>
      <c r="B12" s="30"/>
      <c r="C12" s="30"/>
      <c r="D12" s="30"/>
      <c r="E12" s="30"/>
      <c r="F12" s="30"/>
      <c r="G12" s="30"/>
      <c r="H12" s="30"/>
      <c r="I12" s="30"/>
      <c r="J12" s="30"/>
      <c r="K12" s="30"/>
      <c r="L12" s="30"/>
      <c r="M12" s="30"/>
      <c r="N12" s="30"/>
      <c r="O12" s="30"/>
      <c r="P12" s="30"/>
      <c r="Q12" s="30"/>
      <c r="R12" s="30"/>
    </row>
    <row r="13" spans="1:18" x14ac:dyDescent="0.3">
      <c r="A13" s="26" t="s">
        <v>202</v>
      </c>
      <c r="B13" s="30">
        <f>'5.1'!B17/'5.1'!$R17</f>
        <v>0.5</v>
      </c>
      <c r="C13" s="30">
        <f>'5.1'!C17/'5.1'!$R17</f>
        <v>0</v>
      </c>
      <c r="D13" s="30">
        <f>'5.1'!D17/'5.1'!$R17</f>
        <v>0</v>
      </c>
      <c r="E13" s="30">
        <f>'5.1'!E17/'5.1'!$R17</f>
        <v>2.1061995193733501E-2</v>
      </c>
      <c r="F13" s="30">
        <f>'5.1'!F17/'5.1'!$R17</f>
        <v>0</v>
      </c>
      <c r="G13" s="30">
        <f>'5.1'!G17/'5.1'!$R17</f>
        <v>0.47893800480626647</v>
      </c>
      <c r="H13" s="30">
        <f>'5.1'!H17/'5.1'!$R17</f>
        <v>0</v>
      </c>
      <c r="I13" s="30">
        <f>'5.1'!I17/'5.1'!$R17</f>
        <v>0</v>
      </c>
      <c r="J13" s="30">
        <f>'5.1'!J17/'5.1'!$R17</f>
        <v>0</v>
      </c>
      <c r="K13" s="30">
        <f>'5.1'!K17/'5.1'!$R17</f>
        <v>0</v>
      </c>
      <c r="L13" s="30">
        <f>'5.1'!L17/'5.1'!$R17</f>
        <v>0</v>
      </c>
      <c r="M13" s="30">
        <f>'5.1'!M17/'5.1'!$R17</f>
        <v>0</v>
      </c>
      <c r="N13" s="30">
        <f>'5.1'!N17/'5.1'!$R17</f>
        <v>0</v>
      </c>
      <c r="O13" s="30">
        <f>'5.1'!O17/'5.1'!$R17</f>
        <v>0</v>
      </c>
      <c r="P13" s="30">
        <f>'5.1'!P17/'5.1'!$R17</f>
        <v>0</v>
      </c>
      <c r="Q13" s="30">
        <f>'5.1'!Q17/'5.1'!$R17</f>
        <v>0</v>
      </c>
      <c r="R13" s="30">
        <f t="shared" ref="R13:R28" si="0">SUM(B13:Q13)</f>
        <v>1</v>
      </c>
    </row>
    <row r="14" spans="1:18" x14ac:dyDescent="0.3">
      <c r="A14" s="26" t="s">
        <v>203</v>
      </c>
      <c r="B14" s="30">
        <f>'5.1'!B21/'5.1'!$R21</f>
        <v>0</v>
      </c>
      <c r="C14" s="30">
        <f>'5.1'!C21/'5.1'!$R21</f>
        <v>0</v>
      </c>
      <c r="D14" s="30">
        <f>'5.1'!D21/'5.1'!$R21</f>
        <v>8.6412203671145053E-3</v>
      </c>
      <c r="E14" s="30">
        <f>'5.1'!E21/'5.1'!$R21</f>
        <v>4.1842671666706917E-2</v>
      </c>
      <c r="F14" s="30">
        <f>'5.1'!F21/'5.1'!$R21</f>
        <v>0</v>
      </c>
      <c r="G14" s="30">
        <f>'5.1'!G21/'5.1'!$R21</f>
        <v>0.94951610796617858</v>
      </c>
      <c r="H14" s="30">
        <f>'5.1'!H21/'5.1'!$R21</f>
        <v>0</v>
      </c>
      <c r="I14" s="30">
        <f>'5.1'!I21/'5.1'!$R21</f>
        <v>0</v>
      </c>
      <c r="J14" s="30">
        <f>'5.1'!J21/'5.1'!$R21</f>
        <v>0</v>
      </c>
      <c r="K14" s="30">
        <f>'5.1'!K21/'5.1'!$R21</f>
        <v>0</v>
      </c>
      <c r="L14" s="30">
        <f>'5.1'!L21/'5.1'!$R21</f>
        <v>0</v>
      </c>
      <c r="M14" s="30">
        <f>'5.1'!M21/'5.1'!$R21</f>
        <v>0</v>
      </c>
      <c r="N14" s="30">
        <f>'5.1'!N21/'5.1'!$R21</f>
        <v>0</v>
      </c>
      <c r="O14" s="30">
        <f>'5.1'!O21/'5.1'!$R21</f>
        <v>0</v>
      </c>
      <c r="P14" s="30">
        <f>'5.1'!P21/'5.1'!$R21</f>
        <v>0</v>
      </c>
      <c r="Q14" s="30">
        <f>'5.1'!Q21/'5.1'!$R21</f>
        <v>0</v>
      </c>
      <c r="R14" s="30">
        <f t="shared" si="0"/>
        <v>1</v>
      </c>
    </row>
    <row r="15" spans="1:18" x14ac:dyDescent="0.3">
      <c r="A15" s="26" t="s">
        <v>204</v>
      </c>
      <c r="B15" s="30">
        <f>'5.1'!B25/'5.1'!$R25</f>
        <v>0</v>
      </c>
      <c r="C15" s="30">
        <f>'5.1'!C25/'5.1'!$R25</f>
        <v>0</v>
      </c>
      <c r="D15" s="30">
        <f>'5.1'!D25/'5.1'!$R25</f>
        <v>0</v>
      </c>
      <c r="E15" s="30">
        <f>'5.1'!E25/'5.1'!$R25</f>
        <v>0</v>
      </c>
      <c r="F15" s="30">
        <f>'5.1'!F25/'5.1'!$R25</f>
        <v>0.51163294230768275</v>
      </c>
      <c r="G15" s="30">
        <f>'5.1'!G25/'5.1'!$R25</f>
        <v>0.31782274358975643</v>
      </c>
      <c r="H15" s="30">
        <f>'5.1'!H25/'5.1'!$R25</f>
        <v>0.17054431410256091</v>
      </c>
      <c r="I15" s="30">
        <f>'5.1'!I25/'5.1'!$R25</f>
        <v>0</v>
      </c>
      <c r="J15" s="30">
        <f>'5.1'!J25/'5.1'!$R25</f>
        <v>0</v>
      </c>
      <c r="K15" s="30">
        <f>'5.1'!K25/'5.1'!$R25</f>
        <v>0</v>
      </c>
      <c r="L15" s="30">
        <f>'5.1'!L25/'5.1'!$R25</f>
        <v>0</v>
      </c>
      <c r="M15" s="30">
        <f>'5.1'!M25/'5.1'!$R25</f>
        <v>0</v>
      </c>
      <c r="N15" s="30">
        <f>'5.1'!N25/'5.1'!$R25</f>
        <v>0</v>
      </c>
      <c r="O15" s="30">
        <f>'5.1'!O25/'5.1'!$R25</f>
        <v>0</v>
      </c>
      <c r="P15" s="30">
        <f>'5.1'!P25/'5.1'!$R25</f>
        <v>0</v>
      </c>
      <c r="Q15" s="30">
        <f>'5.1'!Q25/'5.1'!$R25</f>
        <v>0</v>
      </c>
      <c r="R15" s="30">
        <f t="shared" si="0"/>
        <v>1</v>
      </c>
    </row>
    <row r="16" spans="1:18" x14ac:dyDescent="0.3">
      <c r="A16" s="26" t="s">
        <v>657</v>
      </c>
      <c r="B16" s="30">
        <f>'5.1'!B29/'5.1'!$R29</f>
        <v>0</v>
      </c>
      <c r="C16" s="30">
        <f>'5.1'!C29/'5.1'!$R29</f>
        <v>0</v>
      </c>
      <c r="D16" s="30">
        <f>'5.1'!D29/'5.1'!$R29</f>
        <v>0.93684854928874062</v>
      </c>
      <c r="E16" s="30">
        <f>'5.1'!E29/'5.1'!$R29</f>
        <v>0</v>
      </c>
      <c r="F16" s="30">
        <f>'5.1'!F29/'5.1'!$R29</f>
        <v>3.2310362538400202E-2</v>
      </c>
      <c r="G16" s="30">
        <f>'5.1'!G29/'5.1'!$R29</f>
        <v>2.0070967326725704E-2</v>
      </c>
      <c r="H16" s="30">
        <f>'5.1'!H29/'5.1'!$R29</f>
        <v>1.0770120846133401E-2</v>
      </c>
      <c r="I16" s="30">
        <f>'5.1'!I29/'5.1'!$R29</f>
        <v>0</v>
      </c>
      <c r="J16" s="30">
        <f>'5.1'!J29/'5.1'!$R29</f>
        <v>0</v>
      </c>
      <c r="K16" s="30">
        <f>'5.1'!K29/'5.1'!$R29</f>
        <v>0</v>
      </c>
      <c r="L16" s="30">
        <f>'5.1'!L29/'5.1'!$R29</f>
        <v>0</v>
      </c>
      <c r="M16" s="30">
        <f>'5.1'!M29/'5.1'!$R29</f>
        <v>0</v>
      </c>
      <c r="N16" s="30">
        <f>'5.1'!N29/'5.1'!$R29</f>
        <v>0</v>
      </c>
      <c r="O16" s="30">
        <f>'5.1'!O29/'5.1'!$R29</f>
        <v>0</v>
      </c>
      <c r="P16" s="30">
        <f>'5.1'!P29/'5.1'!$R29</f>
        <v>0</v>
      </c>
      <c r="Q16" s="30">
        <f>'5.1'!Q29/'5.1'!$R29</f>
        <v>0</v>
      </c>
      <c r="R16" s="30">
        <f t="shared" si="0"/>
        <v>1</v>
      </c>
    </row>
    <row r="17" spans="1:18" x14ac:dyDescent="0.3">
      <c r="A17" s="26" t="s">
        <v>205</v>
      </c>
      <c r="B17" s="30">
        <f>'5.1'!B34/'5.1'!$R34</f>
        <v>6.6836962361028823E-3</v>
      </c>
      <c r="C17" s="30">
        <f>'5.1'!C34/'5.1'!$R34</f>
        <v>3.4451011319647999E-4</v>
      </c>
      <c r="D17" s="30">
        <f>'5.1'!D34/'5.1'!$R34</f>
        <v>0.20993369264231065</v>
      </c>
      <c r="E17" s="30">
        <f>'5.1'!E34/'5.1'!$R34</f>
        <v>7.9652592974071471E-2</v>
      </c>
      <c r="F17" s="30">
        <f>'5.1'!F34/'5.1'!$R34</f>
        <v>0.26762775020725538</v>
      </c>
      <c r="G17" s="30">
        <f>'5.1'!G34/'5.1'!$R34</f>
        <v>0.16713589916433064</v>
      </c>
      <c r="H17" s="30">
        <f>'5.1'!H34/'5.1'!$R34</f>
        <v>9.0771073702262756E-2</v>
      </c>
      <c r="I17" s="30">
        <f>'5.1'!I34/'5.1'!$R34</f>
        <v>0.1344718303986395</v>
      </c>
      <c r="J17" s="30">
        <f>'5.1'!J34/'5.1'!$R34</f>
        <v>2.7434130006273642E-2</v>
      </c>
      <c r="K17" s="30">
        <f>'5.1'!K34/'5.1'!$R34</f>
        <v>0</v>
      </c>
      <c r="L17" s="30">
        <f>'5.1'!L34/'5.1'!$R34</f>
        <v>0</v>
      </c>
      <c r="M17" s="30">
        <f>'5.1'!M34/'5.1'!$R34</f>
        <v>0</v>
      </c>
      <c r="N17" s="30">
        <f>'5.1'!N34/'5.1'!$R34</f>
        <v>0</v>
      </c>
      <c r="O17" s="30">
        <f>'5.1'!O34/'5.1'!$R34</f>
        <v>0</v>
      </c>
      <c r="P17" s="30">
        <f>'5.1'!P34/'5.1'!$R34</f>
        <v>0</v>
      </c>
      <c r="Q17" s="30">
        <f>'5.1'!Q34/'5.1'!$R34</f>
        <v>1.5944824555556621E-2</v>
      </c>
      <c r="R17" s="30">
        <f t="shared" si="0"/>
        <v>1</v>
      </c>
    </row>
    <row r="18" spans="1:18" x14ac:dyDescent="0.3">
      <c r="A18" s="26" t="s">
        <v>206</v>
      </c>
      <c r="B18" s="30">
        <f>'5.1'!B41/'5.1'!$R41</f>
        <v>0</v>
      </c>
      <c r="C18" s="30">
        <f>'5.1'!C41/'5.1'!$R41</f>
        <v>0</v>
      </c>
      <c r="D18" s="30">
        <f>'5.1'!D41/'5.1'!$R41</f>
        <v>0.20877473393548598</v>
      </c>
      <c r="E18" s="30">
        <f>'5.1'!E41/'5.1'!$R41</f>
        <v>7.4725120901459302E-2</v>
      </c>
      <c r="F18" s="30">
        <f>'5.1'!F41/'5.1'!$R41</f>
        <v>0.27295865373046763</v>
      </c>
      <c r="G18" s="30">
        <f>'5.1'!G41/'5.1'!$R41</f>
        <v>0.16955997364808623</v>
      </c>
      <c r="H18" s="30">
        <f>'5.1'!H41/'5.1'!$R41</f>
        <v>9.0986217910155862E-2</v>
      </c>
      <c r="I18" s="30">
        <f>'5.1'!I41/'5.1'!$R41</f>
        <v>0.13836156491477147</v>
      </c>
      <c r="J18" s="30">
        <f>'5.1'!J41/'5.1'!$R41</f>
        <v>2.8227690130272178E-2</v>
      </c>
      <c r="K18" s="30">
        <f>'5.1'!K41/'5.1'!$R41</f>
        <v>0</v>
      </c>
      <c r="L18" s="30">
        <f>'5.1'!L41/'5.1'!$R41</f>
        <v>0</v>
      </c>
      <c r="M18" s="30">
        <f>'5.1'!M41/'5.1'!$R41</f>
        <v>0</v>
      </c>
      <c r="N18" s="30">
        <f>'5.1'!N41/'5.1'!$R41</f>
        <v>0</v>
      </c>
      <c r="O18" s="30">
        <f>'5.1'!O41/'5.1'!$R41</f>
        <v>0</v>
      </c>
      <c r="P18" s="30">
        <f>'5.1'!P41/'5.1'!$R41</f>
        <v>0</v>
      </c>
      <c r="Q18" s="30">
        <f>'5.1'!Q41/'5.1'!$R41</f>
        <v>1.6406044829301365E-2</v>
      </c>
      <c r="R18" s="30">
        <f t="shared" si="0"/>
        <v>1</v>
      </c>
    </row>
    <row r="19" spans="1:18" x14ac:dyDescent="0.3">
      <c r="A19" s="26" t="s">
        <v>191</v>
      </c>
      <c r="B19" s="30">
        <f>'5.1'!B42/'5.1'!$R42</f>
        <v>0</v>
      </c>
      <c r="C19" s="30">
        <f>'5.1'!C42/'5.1'!$R42</f>
        <v>0</v>
      </c>
      <c r="D19" s="30">
        <f>'5.1'!D42/'5.1'!$R42</f>
        <v>0</v>
      </c>
      <c r="E19" s="30">
        <f>'5.1'!E42/'5.1'!$R42</f>
        <v>0</v>
      </c>
      <c r="F19" s="30">
        <f>'5.1'!F42/'5.1'!$R42</f>
        <v>0.52622341571925935</v>
      </c>
      <c r="G19" s="30">
        <f>'5.1'!G42/'5.1'!$R42</f>
        <v>0</v>
      </c>
      <c r="H19" s="30">
        <f>'5.1'!H42/'5.1'!$R42</f>
        <v>0.17540780523975311</v>
      </c>
      <c r="I19" s="30">
        <f>'5.1'!I42/'5.1'!$R42</f>
        <v>0.26674038100146935</v>
      </c>
      <c r="J19" s="30">
        <f>'5.1'!J42/'5.1'!$R42</f>
        <v>0</v>
      </c>
      <c r="K19" s="30">
        <f>'5.1'!K42/'5.1'!$R42</f>
        <v>0</v>
      </c>
      <c r="L19" s="30">
        <f>'5.1'!L42/'5.1'!$R42</f>
        <v>0</v>
      </c>
      <c r="M19" s="30">
        <f>'5.1'!M42/'5.1'!$R42</f>
        <v>0</v>
      </c>
      <c r="N19" s="30">
        <f>'5.1'!N42/'5.1'!$R42</f>
        <v>0</v>
      </c>
      <c r="O19" s="30">
        <f>'5.1'!O42/'5.1'!$R42</f>
        <v>0</v>
      </c>
      <c r="P19" s="30">
        <f>'5.1'!P42/'5.1'!$R42</f>
        <v>0</v>
      </c>
      <c r="Q19" s="30">
        <f>'5.1'!Q42/'5.1'!$R42</f>
        <v>3.1628398039518231E-2</v>
      </c>
      <c r="R19" s="30">
        <f t="shared" si="0"/>
        <v>1</v>
      </c>
    </row>
    <row r="20" spans="1:18" x14ac:dyDescent="0.3">
      <c r="A20" s="26" t="s">
        <v>207</v>
      </c>
      <c r="B20" s="30">
        <f>'5.1'!B43/'5.1'!$R43</f>
        <v>0</v>
      </c>
      <c r="C20" s="30">
        <f>'5.1'!C43/'5.1'!$R43</f>
        <v>0</v>
      </c>
      <c r="D20" s="30">
        <f>'5.1'!D43/'5.1'!$R43</f>
        <v>0</v>
      </c>
      <c r="E20" s="30">
        <f>'5.1'!E43/'5.1'!$R43</f>
        <v>0.12285669081634128</v>
      </c>
      <c r="F20" s="30">
        <f>'5.1'!F43/'5.1'!$R43</f>
        <v>0.44877541210313276</v>
      </c>
      <c r="G20" s="30">
        <f>'5.1'!G43/'5.1'!$R43</f>
        <v>0.27877609304614837</v>
      </c>
      <c r="H20" s="30">
        <f>'5.1'!H43/'5.1'!$R43</f>
        <v>0.14959180403437758</v>
      </c>
      <c r="I20" s="30">
        <f>'5.1'!I43/'5.1'!$R43</f>
        <v>0</v>
      </c>
      <c r="J20" s="30">
        <f>'5.1'!J43/'5.1'!$R43</f>
        <v>0</v>
      </c>
      <c r="K20" s="30">
        <f>'5.1'!K43/'5.1'!$R43</f>
        <v>0</v>
      </c>
      <c r="L20" s="30">
        <f>'5.1'!L43/'5.1'!$R43</f>
        <v>0</v>
      </c>
      <c r="M20" s="30">
        <f>'5.1'!M43/'5.1'!$R43</f>
        <v>0</v>
      </c>
      <c r="N20" s="30">
        <f>'5.1'!N43/'5.1'!$R43</f>
        <v>0</v>
      </c>
      <c r="O20" s="30">
        <f>'5.1'!O43/'5.1'!$R43</f>
        <v>0</v>
      </c>
      <c r="P20" s="30">
        <f>'5.1'!P43/'5.1'!$R43</f>
        <v>0</v>
      </c>
      <c r="Q20" s="30">
        <f>'5.1'!Q43/'5.1'!$R43</f>
        <v>0</v>
      </c>
      <c r="R20" s="30">
        <f t="shared" si="0"/>
        <v>1</v>
      </c>
    </row>
    <row r="21" spans="1:18" x14ac:dyDescent="0.3">
      <c r="A21" s="26" t="s">
        <v>208</v>
      </c>
      <c r="B21" s="30">
        <f>'5.1'!B44/'5.1'!$R44</f>
        <v>0</v>
      </c>
      <c r="C21" s="30">
        <f>'5.1'!C44/'5.1'!$R44</f>
        <v>0</v>
      </c>
      <c r="D21" s="30">
        <f>'5.1'!D44/'5.1'!$R44</f>
        <v>0.21141959316939007</v>
      </c>
      <c r="E21" s="30">
        <f>'5.1'!E44/'5.1'!$R44</f>
        <v>8.0216370176262028E-2</v>
      </c>
      <c r="F21" s="30">
        <f>'5.1'!F44/'5.1'!$R44</f>
        <v>0.26952200648450569</v>
      </c>
      <c r="G21" s="30">
        <f>'5.1'!G44/'5.1'!$R44</f>
        <v>0.16831887897827269</v>
      </c>
      <c r="H21" s="30">
        <f>'5.1'!H44/'5.1'!$R44</f>
        <v>9.1413546973513976E-2</v>
      </c>
      <c r="I21" s="30">
        <f>'5.1'!I44/'5.1'!$R44</f>
        <v>0.13542361551303328</v>
      </c>
      <c r="J21" s="30">
        <f>'5.1'!J44/'5.1'!$R44</f>
        <v>2.7628307452129089E-2</v>
      </c>
      <c r="K21" s="30">
        <f>'5.1'!K44/'5.1'!$R44</f>
        <v>0</v>
      </c>
      <c r="L21" s="30">
        <f>'5.1'!L44/'5.1'!$R44</f>
        <v>0</v>
      </c>
      <c r="M21" s="30">
        <f>'5.1'!M44/'5.1'!$R44</f>
        <v>0</v>
      </c>
      <c r="N21" s="30">
        <f>'5.1'!N44/'5.1'!$R44</f>
        <v>0</v>
      </c>
      <c r="O21" s="30">
        <f>'5.1'!O44/'5.1'!$R44</f>
        <v>0</v>
      </c>
      <c r="P21" s="30">
        <f>'5.1'!P44/'5.1'!$R44</f>
        <v>0</v>
      </c>
      <c r="Q21" s="30">
        <f>'5.1'!Q44/'5.1'!$R44</f>
        <v>1.6057681252893231E-2</v>
      </c>
      <c r="R21" s="30">
        <f t="shared" si="0"/>
        <v>1.0000000000000002</v>
      </c>
    </row>
    <row r="22" spans="1:18" x14ac:dyDescent="0.3">
      <c r="A22" s="26" t="s">
        <v>209</v>
      </c>
      <c r="B22" s="30">
        <f>'5.1'!B45/'5.1'!$R45</f>
        <v>8.4242885874879769E-2</v>
      </c>
      <c r="C22" s="30">
        <f>'5.1'!C45/'5.1'!$R45</f>
        <v>1.2256874224551215E-3</v>
      </c>
      <c r="D22" s="30">
        <f>'5.1'!D45/'5.1'!$R45</f>
        <v>0.18888060669999304</v>
      </c>
      <c r="E22" s="30">
        <f>'5.1'!E45/'5.1'!$R45</f>
        <v>7.4706071640003424E-2</v>
      </c>
      <c r="F22" s="30">
        <f>'5.1'!F45/'5.1'!$R45</f>
        <v>0.24644626735942424</v>
      </c>
      <c r="G22" s="30">
        <f>'5.1'!G45/'5.1'!$R45</f>
        <v>0.16124401868806601</v>
      </c>
      <c r="H22" s="30">
        <f>'5.1'!H45/'5.1'!$R45</f>
        <v>8.3976688022650681E-2</v>
      </c>
      <c r="I22" s="30">
        <f>'5.1'!I45/'5.1'!$R45</f>
        <v>0.11547298568081336</v>
      </c>
      <c r="J22" s="30">
        <f>'5.1'!J45/'5.1'!$R45</f>
        <v>2.4629942949122269E-2</v>
      </c>
      <c r="K22" s="30">
        <f>'5.1'!K45/'5.1'!$R45</f>
        <v>1.8611116988771705E-3</v>
      </c>
      <c r="L22" s="30">
        <f>'5.1'!L45/'5.1'!$R45</f>
        <v>1.1551504567430802E-3</v>
      </c>
      <c r="M22" s="30">
        <f>'5.1'!M45/'5.1'!$R45</f>
        <v>1.6156651359192627E-3</v>
      </c>
      <c r="N22" s="30">
        <f>'5.1'!N45/'5.1'!$R45</f>
        <v>3.7719145492509968E-4</v>
      </c>
      <c r="O22" s="30">
        <f>'5.1'!O45/'5.1'!$R45</f>
        <v>3.7719145492509968E-4</v>
      </c>
      <c r="P22" s="30">
        <f>'5.1'!P45/'5.1'!$R45</f>
        <v>5.1277328347688337E-5</v>
      </c>
      <c r="Q22" s="30">
        <f>'5.1'!Q45/'5.1'!$R45</f>
        <v>1.3737258132854601E-2</v>
      </c>
      <c r="R22" s="30">
        <f t="shared" si="0"/>
        <v>0.99999999999999989</v>
      </c>
    </row>
    <row r="23" spans="1:18" x14ac:dyDescent="0.3">
      <c r="A23" s="26" t="s">
        <v>236</v>
      </c>
      <c r="B23" s="30">
        <f>'5.1'!B46/'5.1'!$R46</f>
        <v>0</v>
      </c>
      <c r="C23" s="30">
        <f>'5.1'!C46/'5.1'!$R46</f>
        <v>0</v>
      </c>
      <c r="D23" s="30">
        <f>'5.1'!D46/'5.1'!$R46</f>
        <v>0</v>
      </c>
      <c r="E23" s="30">
        <f>'5.1'!E46/'5.1'!$R46</f>
        <v>0</v>
      </c>
      <c r="F23" s="30">
        <f>'5.1'!F46/'5.1'!$R46</f>
        <v>0.38096105851918582</v>
      </c>
      <c r="G23" s="30">
        <f>'5.1'!G46/'5.1'!$R46</f>
        <v>0.23665029908612131</v>
      </c>
      <c r="H23" s="30">
        <f>'5.1'!H46/'5.1'!$R46</f>
        <v>0.12698701950639527</v>
      </c>
      <c r="I23" s="30">
        <f>'5.1'!I46/'5.1'!$R46</f>
        <v>0.19310751832895215</v>
      </c>
      <c r="J23" s="30">
        <f>'5.1'!J46/'5.1'!$R46</f>
        <v>3.9396628627128012E-2</v>
      </c>
      <c r="K23" s="30">
        <f>'5.1'!K46/'5.1'!$R46</f>
        <v>0</v>
      </c>
      <c r="L23" s="30">
        <f>'5.1'!L46/'5.1'!$R46</f>
        <v>0</v>
      </c>
      <c r="M23" s="30">
        <f>'5.1'!M46/'5.1'!$R46</f>
        <v>0</v>
      </c>
      <c r="N23" s="30">
        <f>'5.1'!N46/'5.1'!$R46</f>
        <v>0</v>
      </c>
      <c r="O23" s="30">
        <f>'5.1'!O46/'5.1'!$R46</f>
        <v>0</v>
      </c>
      <c r="P23" s="30">
        <f>'5.1'!P46/'5.1'!$R46</f>
        <v>0</v>
      </c>
      <c r="Q23" s="30">
        <f>'5.1'!Q46/'5.1'!$R46</f>
        <v>2.2897475932217463E-2</v>
      </c>
      <c r="R23" s="30">
        <f t="shared" si="0"/>
        <v>1</v>
      </c>
    </row>
    <row r="24" spans="1:18" x14ac:dyDescent="0.3">
      <c r="A24" s="26" t="s">
        <v>138</v>
      </c>
      <c r="B24" s="40">
        <f>'5.1'!B47/'5.1'!$R47</f>
        <v>9.2516114343538208E-2</v>
      </c>
      <c r="C24" s="40">
        <f>'5.1'!C47/'5.1'!$R47</f>
        <v>2.8392712546368051E-3</v>
      </c>
      <c r="D24" s="40">
        <f>'5.1'!D47/'5.1'!$R47</f>
        <v>0.14593707469306086</v>
      </c>
      <c r="E24" s="40">
        <f>'5.1'!E47/'5.1'!$R47</f>
        <v>5.3310837666635594E-2</v>
      </c>
      <c r="F24" s="40">
        <f>'5.1'!F47/'5.1'!$R47</f>
        <v>0.24811213118929495</v>
      </c>
      <c r="G24" s="40">
        <f>'5.1'!G47/'5.1'!$R47</f>
        <v>0.18733534828805465</v>
      </c>
      <c r="H24" s="40">
        <f>'5.1'!H47/'5.1'!$R47</f>
        <v>8.5572784898380785E-2</v>
      </c>
      <c r="I24" s="40">
        <f>'5.1'!I47/'5.1'!$R47</f>
        <v>0.10977721825824521</v>
      </c>
      <c r="J24" s="40">
        <f>'5.1'!J47/'5.1'!$R47</f>
        <v>4.6446262458852833E-2</v>
      </c>
      <c r="K24" s="40">
        <f>'5.1'!K47/'5.1'!$R47</f>
        <v>5.090148011321992E-3</v>
      </c>
      <c r="L24" s="40">
        <f>'5.1'!L47/'5.1'!$R47</f>
        <v>1.9443854506246627E-3</v>
      </c>
      <c r="M24" s="40">
        <f>'5.1'!M47/'5.1'!$R47</f>
        <v>1.2771070706776931E-3</v>
      </c>
      <c r="N24" s="40">
        <f>'5.1'!N47/'5.1'!$R47</f>
        <v>3.8711851677035897E-4</v>
      </c>
      <c r="O24" s="40">
        <f>'5.1'!O47/'5.1'!$R47</f>
        <v>3.8711851677035897E-4</v>
      </c>
      <c r="P24" s="40">
        <f>'5.1'!P47/'5.1'!$R47</f>
        <v>1.529110025842185E-4</v>
      </c>
      <c r="Q24" s="40">
        <f>'5.1'!Q47/'5.1'!$R47</f>
        <v>1.8914168380550919E-2</v>
      </c>
      <c r="R24" s="30">
        <f t="shared" si="0"/>
        <v>1.0000000000000002</v>
      </c>
    </row>
    <row r="25" spans="1:18" x14ac:dyDescent="0.3">
      <c r="A25" s="26" t="s">
        <v>240</v>
      </c>
      <c r="B25" s="30">
        <f>'5.1'!B52/'5.1'!$R52</f>
        <v>7.3096806680939319E-2</v>
      </c>
      <c r="C25" s="30">
        <f>'5.1'!C52/'5.1'!$R52</f>
        <v>1.2736064026903236E-3</v>
      </c>
      <c r="D25" s="30">
        <f>'5.1'!D52/'5.1'!$R52</f>
        <v>0.17453166012216581</v>
      </c>
      <c r="E25" s="30">
        <f>'5.1'!E52/'5.1'!$R52</f>
        <v>7.8253791915694176E-2</v>
      </c>
      <c r="F25" s="30">
        <f>'5.1'!F52/'5.1'!$R52</f>
        <v>0.27954603233647979</v>
      </c>
      <c r="G25" s="30">
        <f>'5.1'!G52/'5.1'!$R52</f>
        <v>0.16773671647016361</v>
      </c>
      <c r="H25" s="30">
        <f>'5.1'!H52/'5.1'!$R52</f>
        <v>9.4499688739963575E-2</v>
      </c>
      <c r="I25" s="30">
        <f>'5.1'!I52/'5.1'!$R52</f>
        <v>8.5016052665687722E-2</v>
      </c>
      <c r="J25" s="30">
        <f>'5.1'!J52/'5.1'!$R52</f>
        <v>2.4975523556079939E-2</v>
      </c>
      <c r="K25" s="30">
        <f>'5.1'!K52/'5.1'!$R52</f>
        <v>1.7550757325950693E-3</v>
      </c>
      <c r="L25" s="30">
        <f>'5.1'!L52/'5.1'!$R52</f>
        <v>1.0567093875069305E-3</v>
      </c>
      <c r="M25" s="30">
        <f>'5.1'!M52/'5.1'!$R52</f>
        <v>1.4392437151071896E-3</v>
      </c>
      <c r="N25" s="30">
        <f>'5.1'!N52/'5.1'!$R52</f>
        <v>3.383934402454842E-4</v>
      </c>
      <c r="O25" s="30">
        <f>'5.1'!O52/'5.1'!$R52</f>
        <v>3.383934402454842E-4</v>
      </c>
      <c r="P25" s="30">
        <f>'5.1'!P52/'5.1'!$R52</f>
        <v>4.869599949240382E-5</v>
      </c>
      <c r="Q25" s="30">
        <f>'5.1'!Q52/'5.1'!$R52</f>
        <v>1.6093609394943073E-2</v>
      </c>
      <c r="R25" s="30">
        <f t="shared" si="0"/>
        <v>0.99999999999999978</v>
      </c>
    </row>
    <row r="26" spans="1:18" x14ac:dyDescent="0.3">
      <c r="A26" s="26" t="s">
        <v>490</v>
      </c>
      <c r="B26" s="30">
        <f>'5.1'!B53/'5.1'!$R53</f>
        <v>9.108006023325213E-2</v>
      </c>
      <c r="C26" s="30">
        <f>'5.1'!C53/'5.1'!$R53</f>
        <v>1.7662290359229896E-2</v>
      </c>
      <c r="D26" s="30">
        <f>'5.1'!D53/'5.1'!$R53</f>
        <v>0.16643815927011282</v>
      </c>
      <c r="E26" s="30">
        <f>'5.1'!E53/'5.1'!$R53</f>
        <v>7.4659046255878589E-2</v>
      </c>
      <c r="F26" s="30">
        <f>'5.1'!F53/'5.1'!$R53</f>
        <v>0.27135922525129319</v>
      </c>
      <c r="G26" s="30">
        <f>'5.1'!G53/'5.1'!$R53</f>
        <v>0.16015609123105543</v>
      </c>
      <c r="H26" s="30">
        <f>'5.1'!H53/'5.1'!$R53</f>
        <v>9.1621803527874204E-2</v>
      </c>
      <c r="I26" s="30">
        <f>'5.1'!I53/'5.1'!$R53</f>
        <v>8.341757134223593E-2</v>
      </c>
      <c r="J26" s="30">
        <f>'5.1'!J53/'5.1'!$R53</f>
        <v>2.3909214985314325E-2</v>
      </c>
      <c r="K26" s="30">
        <f>'5.1'!K53/'5.1'!$R53</f>
        <v>1.1549594018072E-3</v>
      </c>
      <c r="L26" s="30">
        <f>'5.1'!L53/'5.1'!$R53</f>
        <v>8.5854167878832599E-4</v>
      </c>
      <c r="M26" s="30">
        <f>'5.1'!M53/'5.1'!$R53</f>
        <v>1.3690213062789633E-3</v>
      </c>
      <c r="N26" s="30">
        <f>'5.1'!N53/'5.1'!$R53</f>
        <v>3.0923527072115544E-4</v>
      </c>
      <c r="O26" s="30">
        <f>'5.1'!O53/'5.1'!$R53</f>
        <v>3.0923527072115544E-4</v>
      </c>
      <c r="P26" s="30">
        <f>'5.1'!P53/'5.1'!$R53</f>
        <v>3.0344208732258548E-5</v>
      </c>
      <c r="Q26" s="30">
        <f>'5.1'!Q53/'5.1'!$R53</f>
        <v>1.5665200406704341E-2</v>
      </c>
      <c r="R26" s="30">
        <f t="shared" si="0"/>
        <v>0.99999999999999978</v>
      </c>
    </row>
    <row r="27" spans="1:18" x14ac:dyDescent="0.3">
      <c r="A27" s="26" t="s">
        <v>463</v>
      </c>
      <c r="B27" s="30">
        <f>'5.1'!B54/'5.1'!$R54</f>
        <v>0.35292417087740618</v>
      </c>
      <c r="C27" s="30">
        <f>'5.1'!C54/'5.1'!$R54</f>
        <v>0</v>
      </c>
      <c r="D27" s="30">
        <f>'5.1'!D54/'5.1'!$R54</f>
        <v>0.64707582912259376</v>
      </c>
      <c r="E27" s="30">
        <f>'5.1'!E54/'5.1'!$R54</f>
        <v>0</v>
      </c>
      <c r="F27" s="30">
        <f>'5.1'!F54/'5.1'!$R54</f>
        <v>0</v>
      </c>
      <c r="G27" s="30">
        <f>'5.1'!G54/'5.1'!$R54</f>
        <v>0</v>
      </c>
      <c r="H27" s="30">
        <f>'5.1'!H54/'5.1'!$R54</f>
        <v>0</v>
      </c>
      <c r="I27" s="30">
        <f>'5.1'!I54/'5.1'!$R54</f>
        <v>0</v>
      </c>
      <c r="J27" s="30">
        <f>'5.1'!J54/'5.1'!$R54</f>
        <v>0</v>
      </c>
      <c r="K27" s="30">
        <f>'5.1'!K54/'5.1'!$R54</f>
        <v>0</v>
      </c>
      <c r="L27" s="30">
        <f>'5.1'!L54/'5.1'!$R54</f>
        <v>0</v>
      </c>
      <c r="M27" s="30">
        <f>'5.1'!M54/'5.1'!$R54</f>
        <v>0</v>
      </c>
      <c r="N27" s="30">
        <f>'5.1'!N54/'5.1'!$R54</f>
        <v>0</v>
      </c>
      <c r="O27" s="30">
        <f>'5.1'!O54/'5.1'!$R54</f>
        <v>0</v>
      </c>
      <c r="P27" s="30">
        <f>'5.1'!P54/'5.1'!$R54</f>
        <v>0</v>
      </c>
      <c r="Q27" s="30">
        <f>'5.1'!Q54/'5.1'!$R54</f>
        <v>0</v>
      </c>
      <c r="R27" s="30">
        <f t="shared" si="0"/>
        <v>1</v>
      </c>
    </row>
    <row r="28" spans="1:18" x14ac:dyDescent="0.3">
      <c r="A28" s="26" t="s">
        <v>179</v>
      </c>
      <c r="B28" s="30">
        <f>'5.1'!B55/'5.1'!$R55</f>
        <v>9.0025415598731215E-2</v>
      </c>
      <c r="C28" s="30">
        <f>'5.1'!C55/'5.1'!$R55</f>
        <v>2.864106692036553E-2</v>
      </c>
      <c r="D28" s="30">
        <f>'5.1'!D55/'5.1'!$R55</f>
        <v>0.16505888586727116</v>
      </c>
      <c r="E28" s="30">
        <f>'5.1'!E55/'5.1'!$R55</f>
        <v>7.3822890063267477E-2</v>
      </c>
      <c r="F28" s="30">
        <f>'5.1'!F55/'5.1'!$R55</f>
        <v>0.26803138435319629</v>
      </c>
      <c r="G28" s="30">
        <f>'5.1'!G55/'5.1'!$R55</f>
        <v>0.15827760477044711</v>
      </c>
      <c r="H28" s="30">
        <f>'5.1'!H55/'5.1'!$R55</f>
        <v>9.0513328783139627E-2</v>
      </c>
      <c r="I28" s="30">
        <f>'5.1'!I55/'5.1'!$R55</f>
        <v>8.2312204852194537E-2</v>
      </c>
      <c r="J28" s="30">
        <f>'5.1'!J55/'5.1'!$R55</f>
        <v>2.3605305585559028E-2</v>
      </c>
      <c r="K28" s="30">
        <f>'5.1'!K55/'5.1'!$R55</f>
        <v>1.2361900943966408E-3</v>
      </c>
      <c r="L28" s="30">
        <f>'5.1'!L55/'5.1'!$R55</f>
        <v>9.2586424104650652E-4</v>
      </c>
      <c r="M28" s="30">
        <f>'5.1'!M55/'5.1'!$R55</f>
        <v>1.4097460085474743E-3</v>
      </c>
      <c r="N28" s="30">
        <f>'5.1'!N55/'5.1'!$R55</f>
        <v>3.371738840353592E-4</v>
      </c>
      <c r="O28" s="30">
        <f>'5.1'!O55/'5.1'!$R55</f>
        <v>3.176653712926769E-4</v>
      </c>
      <c r="P28" s="30">
        <f>'5.1'!P55/'5.1'!$R55</f>
        <v>3.1210905971916337E-5</v>
      </c>
      <c r="Q28" s="30">
        <f>'5.1'!Q55/'5.1'!$R55</f>
        <v>1.5454062700537702E-2</v>
      </c>
      <c r="R28" s="30">
        <f t="shared" si="0"/>
        <v>1.0000000000000002</v>
      </c>
    </row>
    <row r="29" spans="1:18" x14ac:dyDescent="0.3">
      <c r="A29" s="5" t="s">
        <v>210</v>
      </c>
      <c r="B29" s="30"/>
      <c r="C29" s="30"/>
      <c r="D29" s="30"/>
      <c r="E29" s="30"/>
      <c r="F29" s="30"/>
      <c r="G29" s="30"/>
      <c r="H29" s="30"/>
      <c r="I29" s="30"/>
      <c r="J29" s="30"/>
      <c r="K29" s="30"/>
      <c r="L29" s="30"/>
      <c r="M29" s="30"/>
      <c r="N29" s="30"/>
      <c r="O29" s="30"/>
      <c r="P29" s="30"/>
      <c r="Q29" s="30"/>
      <c r="R29" s="30"/>
    </row>
    <row r="30" spans="1:18" s="8" customFormat="1" x14ac:dyDescent="0.3">
      <c r="A30" s="27" t="s">
        <v>144</v>
      </c>
      <c r="B30" s="40">
        <f>'5.1'!B59/'5.1'!$R59</f>
        <v>6.6702602392113758E-2</v>
      </c>
      <c r="C30" s="40">
        <f>'5.1'!C59/'5.1'!$R59</f>
        <v>7.6976893097969153E-3</v>
      </c>
      <c r="D30" s="40">
        <f>'5.1'!D59/'5.1'!$R59</f>
        <v>0.17857700456130085</v>
      </c>
      <c r="E30" s="40">
        <f>'5.1'!E59/'5.1'!$R59</f>
        <v>7.7290269872384063E-2</v>
      </c>
      <c r="F30" s="40">
        <f>'5.1'!F59/'5.1'!$R59</f>
        <v>0.20178136807558739</v>
      </c>
      <c r="G30" s="40">
        <f>'5.1'!G59/'5.1'!$R59</f>
        <v>0.3546170985742334</v>
      </c>
      <c r="H30" s="40">
        <f>'5.1'!H59/'5.1'!$R59</f>
        <v>7.1965917025765838E-2</v>
      </c>
      <c r="I30" s="40">
        <f>'5.1'!I59/'5.1'!$R59</f>
        <v>8.0249425291610346E-3</v>
      </c>
      <c r="J30" s="40">
        <f>'5.1'!J59/'5.1'!$R59</f>
        <v>3.2391560407592147E-2</v>
      </c>
      <c r="K30" s="40">
        <f>'5.1'!K59/'5.1'!$R59</f>
        <v>0</v>
      </c>
      <c r="L30" s="40">
        <f>'5.1'!L59/'5.1'!$R59</f>
        <v>0</v>
      </c>
      <c r="M30" s="40">
        <f>'5.1'!M59/'5.1'!$R59</f>
        <v>0</v>
      </c>
      <c r="N30" s="40">
        <f>'5.1'!N59/'5.1'!$R59</f>
        <v>0</v>
      </c>
      <c r="O30" s="40">
        <f>'5.1'!O59/'5.1'!$R59</f>
        <v>0</v>
      </c>
      <c r="P30" s="40">
        <f>'5.1'!P59/'5.1'!$R59</f>
        <v>0</v>
      </c>
      <c r="Q30" s="40">
        <f>'5.1'!Q59/'5.1'!$R59</f>
        <v>9.5154725206441531E-4</v>
      </c>
      <c r="R30" s="40">
        <f>SUM(B30:Q30)</f>
        <v>0.99999999999999978</v>
      </c>
    </row>
    <row r="31" spans="1:18" s="8" customFormat="1" x14ac:dyDescent="0.3">
      <c r="A31" s="27" t="s">
        <v>729</v>
      </c>
      <c r="B31" s="40">
        <f>'5.1'!B60/'5.1'!$R60</f>
        <v>0.12343884253785441</v>
      </c>
      <c r="C31" s="40">
        <f>'5.1'!C60/'5.1'!$R60</f>
        <v>3.326644508735959E-2</v>
      </c>
      <c r="D31" s="40">
        <f>'5.1'!D60/'5.1'!$R60</f>
        <v>0.23290761631858301</v>
      </c>
      <c r="E31" s="40">
        <f>'5.1'!E60/'5.1'!$R60</f>
        <v>9.8002587115869955E-2</v>
      </c>
      <c r="F31" s="40">
        <f>'5.1'!F60/'5.1'!$R60</f>
        <v>0.13846231776387141</v>
      </c>
      <c r="G31" s="40">
        <f>'5.1'!G60/'5.1'!$R60</f>
        <v>0.19433952278452729</v>
      </c>
      <c r="H31" s="40">
        <f>'5.1'!H60/'5.1'!$R60</f>
        <v>5.9352691439769893E-2</v>
      </c>
      <c r="I31" s="40">
        <f>'5.1'!I60/'5.1'!$R60</f>
        <v>4.0153254116444409E-3</v>
      </c>
      <c r="J31" s="40">
        <f>'5.1'!J60/'5.1'!$R60</f>
        <v>1.7563057426034378E-2</v>
      </c>
      <c r="K31" s="40">
        <f>'5.1'!K60/'5.1'!$R60</f>
        <v>7.7031428265522159E-2</v>
      </c>
      <c r="L31" s="40">
        <f>'5.1'!L60/'5.1'!$R60</f>
        <v>2.1144053796109431E-2</v>
      </c>
      <c r="M31" s="40">
        <f>'5.1'!M60/'5.1'!$R60</f>
        <v>0</v>
      </c>
      <c r="N31" s="40">
        <f>'5.1'!N60/'5.1'!$R60</f>
        <v>0</v>
      </c>
      <c r="O31" s="40">
        <f>'5.1'!O60/'5.1'!$R60</f>
        <v>0</v>
      </c>
      <c r="P31" s="40">
        <f>'5.1'!P60/'5.1'!$R60</f>
        <v>0</v>
      </c>
      <c r="Q31" s="40">
        <f>'5.1'!Q60/'5.1'!$R60</f>
        <v>4.7611205285405652E-4</v>
      </c>
      <c r="R31" s="30">
        <f>SUM(B31:Q31)</f>
        <v>0.99999999999999978</v>
      </c>
    </row>
    <row r="32" spans="1:18" x14ac:dyDescent="0.3">
      <c r="A32" s="26" t="s">
        <v>156</v>
      </c>
      <c r="B32" s="40">
        <f>'5.1'!B61/'5.1'!$R61</f>
        <v>0.12113254655344105</v>
      </c>
      <c r="C32" s="40">
        <f>'5.1'!C61/'5.1'!$R61</f>
        <v>3.4372820389175815E-2</v>
      </c>
      <c r="D32" s="40">
        <f>'5.1'!D61/'5.1'!$R61</f>
        <v>0.22645835694866853</v>
      </c>
      <c r="E32" s="40">
        <f>'5.1'!E61/'5.1'!$R61</f>
        <v>9.6658953553241098E-2</v>
      </c>
      <c r="F32" s="40">
        <f>'5.1'!F61/'5.1'!$R61</f>
        <v>0.13558744221439376</v>
      </c>
      <c r="G32" s="40">
        <f>'5.1'!G61/'5.1'!$R61</f>
        <v>0.18934991436201665</v>
      </c>
      <c r="H32" s="40">
        <f>'5.1'!H61/'5.1'!$R61</f>
        <v>5.9471804714520057E-2</v>
      </c>
      <c r="I32" s="40">
        <f>'5.1'!I61/'5.1'!$R61</f>
        <v>6.228740772611604E-3</v>
      </c>
      <c r="J32" s="40">
        <f>'5.1'!J61/'5.1'!$R61</f>
        <v>1.9263744309704213E-2</v>
      </c>
      <c r="K32" s="40">
        <f>'5.1'!K61/'5.1'!$R61</f>
        <v>7.6481470746461208E-2</v>
      </c>
      <c r="L32" s="40">
        <f>'5.1'!L61/'5.1'!$R61</f>
        <v>2.2709214023798351E-2</v>
      </c>
      <c r="M32" s="40">
        <f>'5.1'!M61/'5.1'!$R61</f>
        <v>2.3653796662825442E-3</v>
      </c>
      <c r="N32" s="40">
        <f>'5.1'!N61/'5.1'!$R61</f>
        <v>2.3653796662825442E-3</v>
      </c>
      <c r="O32" s="40">
        <f>'5.1'!O61/'5.1'!$R61</f>
        <v>2.3653796662825442E-3</v>
      </c>
      <c r="P32" s="40">
        <f>'5.1'!P61/'5.1'!$R61</f>
        <v>2.3653796662825442E-3</v>
      </c>
      <c r="Q32" s="40">
        <f>'5.1'!Q61/'5.1'!$R61</f>
        <v>2.8234727468375125E-3</v>
      </c>
      <c r="R32" s="30">
        <f>SUM(B32:Q32)</f>
        <v>1.0000000000000002</v>
      </c>
    </row>
    <row r="33" spans="1:18" x14ac:dyDescent="0.3">
      <c r="A33" s="26" t="s">
        <v>192</v>
      </c>
      <c r="B33" s="40">
        <f>'5.1'!B62/'5.1'!$R62</f>
        <v>1.6094702610278375E-2</v>
      </c>
      <c r="C33" s="40">
        <f>'5.1'!C62/'5.1'!$R62</f>
        <v>0.79825459581710867</v>
      </c>
      <c r="D33" s="40">
        <f>'5.1'!D62/'5.1'!$R62</f>
        <v>6.8371658017848849E-2</v>
      </c>
      <c r="E33" s="40">
        <f>'5.1'!E62/'5.1'!$R62</f>
        <v>1.5208242563986913E-2</v>
      </c>
      <c r="F33" s="40">
        <f>'5.1'!F62/'5.1'!$R62</f>
        <v>3.4749345782733254E-2</v>
      </c>
      <c r="G33" s="40">
        <f>'5.1'!G62/'5.1'!$R62</f>
        <v>2.659548282515347E-2</v>
      </c>
      <c r="H33" s="40">
        <f>'5.1'!H62/'5.1'!$R62</f>
        <v>1.2809118734086536E-2</v>
      </c>
      <c r="I33" s="40">
        <f>'5.1'!I62/'5.1'!$R62</f>
        <v>4.825883822906169E-3</v>
      </c>
      <c r="J33" s="40">
        <f>'5.1'!J62/'5.1'!$R62</f>
        <v>2.3012208992433626E-3</v>
      </c>
      <c r="K33" s="40">
        <f>'5.1'!K62/'5.1'!$R62</f>
        <v>6.9304712039867673E-3</v>
      </c>
      <c r="L33" s="40">
        <f>'5.1'!L62/'5.1'!$R62</f>
        <v>5.6451837777335067E-3</v>
      </c>
      <c r="M33" s="40">
        <f>'5.1'!M62/'5.1'!$R62</f>
        <v>4.2645524299740455E-3</v>
      </c>
      <c r="N33" s="40">
        <f>'5.1'!N62/'5.1'!$R62</f>
        <v>2.2956739651228781E-3</v>
      </c>
      <c r="O33" s="40">
        <f>'5.1'!O62/'5.1'!$R62</f>
        <v>9.0861641339421394E-4</v>
      </c>
      <c r="P33" s="40">
        <f>'5.1'!P62/'5.1'!$R62</f>
        <v>9.1966484463176532E-5</v>
      </c>
      <c r="Q33" s="40">
        <f>'5.1'!Q62/'5.1'!$R62</f>
        <v>6.5328465197987847E-4</v>
      </c>
      <c r="R33" s="30">
        <f>SUM(B33:Q33)</f>
        <v>1</v>
      </c>
    </row>
    <row r="34" spans="1:18" x14ac:dyDescent="0.3">
      <c r="A34" s="25" t="s">
        <v>211</v>
      </c>
      <c r="B34" s="30"/>
      <c r="C34" s="30"/>
      <c r="D34" s="30"/>
      <c r="E34" s="30"/>
      <c r="F34" s="30"/>
      <c r="G34" s="30"/>
      <c r="H34" s="30"/>
      <c r="I34" s="30"/>
      <c r="J34" s="30"/>
      <c r="K34" s="30"/>
      <c r="L34" s="30"/>
      <c r="M34" s="30"/>
      <c r="N34" s="30"/>
      <c r="O34" s="30"/>
      <c r="P34" s="30"/>
      <c r="Q34" s="30"/>
      <c r="R34" s="30"/>
    </row>
    <row r="35" spans="1:18" x14ac:dyDescent="0.3">
      <c r="A35" s="26" t="s">
        <v>577</v>
      </c>
      <c r="B35" s="40">
        <f>'5.2'!B27</f>
        <v>4.9375537015141767E-2</v>
      </c>
      <c r="C35" s="40">
        <f>'5.2'!C27</f>
        <v>1.3306578034943837E-2</v>
      </c>
      <c r="D35" s="40">
        <f>'5.2'!D27</f>
        <v>0.1766729401016276</v>
      </c>
      <c r="E35" s="40">
        <f>'5.2'!E27</f>
        <v>6.9091083206931705E-2</v>
      </c>
      <c r="F35" s="40">
        <f>'5.2'!F27</f>
        <v>0.16456838859773562</v>
      </c>
      <c r="G35" s="40">
        <f>'5.2'!G27</f>
        <v>0.14555979857304541</v>
      </c>
      <c r="H35" s="40">
        <f>'5.2'!H27</f>
        <v>6.0135563739970303E-2</v>
      </c>
      <c r="I35" s="40">
        <f>'5.2'!I27</f>
        <v>5.6950756130566368E-2</v>
      </c>
      <c r="J35" s="40">
        <f>'5.2'!J27</f>
        <v>1.8316299022522624E-2</v>
      </c>
      <c r="K35" s="40">
        <f>'5.2'!K27</f>
        <v>3.0812571306208864E-2</v>
      </c>
      <c r="L35" s="40">
        <f>'5.2'!L27</f>
        <v>8.4576215184437725E-3</v>
      </c>
      <c r="M35" s="40">
        <f>'5.2'!M27</f>
        <v>0.2</v>
      </c>
      <c r="N35" s="40">
        <f>'5.2'!N27</f>
        <v>0</v>
      </c>
      <c r="O35" s="40">
        <f>'5.2'!O27</f>
        <v>0</v>
      </c>
      <c r="P35" s="40">
        <f>'5.2'!P27</f>
        <v>0</v>
      </c>
      <c r="Q35" s="40">
        <f>'5.2'!Q27</f>
        <v>6.7528627528621685E-3</v>
      </c>
      <c r="R35" s="30">
        <f>SUM(B35:Q35)</f>
        <v>0.99999999999999978</v>
      </c>
    </row>
    <row r="36" spans="1:18" s="90" customFormat="1" x14ac:dyDescent="0.3">
      <c r="A36" s="88" t="s">
        <v>585</v>
      </c>
      <c r="B36" s="89">
        <f>'5.2'!B38</f>
        <v>2.4687768507570883E-2</v>
      </c>
      <c r="C36" s="89">
        <f>'5.2'!C38</f>
        <v>6.6532890174719186E-3</v>
      </c>
      <c r="D36" s="89">
        <f>'5.2'!D38</f>
        <v>8.8336470050813798E-2</v>
      </c>
      <c r="E36" s="89">
        <f>'5.2'!E38</f>
        <v>3.4545541603465853E-2</v>
      </c>
      <c r="F36" s="89">
        <f>'5.2'!F38</f>
        <v>8.228419429886781E-2</v>
      </c>
      <c r="G36" s="89">
        <f>'5.2'!G38</f>
        <v>7.2779899286522703E-2</v>
      </c>
      <c r="H36" s="89">
        <f>'5.2'!H38</f>
        <v>3.0067781869985152E-2</v>
      </c>
      <c r="I36" s="89">
        <f>'5.2'!I38</f>
        <v>2.8475378065283184E-2</v>
      </c>
      <c r="J36" s="89">
        <f>'5.2'!J38</f>
        <v>9.1581495112613119E-3</v>
      </c>
      <c r="K36" s="89">
        <f>'5.2'!K38</f>
        <v>1.5406285653104432E-2</v>
      </c>
      <c r="L36" s="89">
        <f>'5.2'!L38</f>
        <v>0.50422881075922188</v>
      </c>
      <c r="M36" s="89">
        <f>'5.2'!M38</f>
        <v>0.1</v>
      </c>
      <c r="N36" s="89">
        <f>'5.2'!N38</f>
        <v>0</v>
      </c>
      <c r="O36" s="89">
        <f>'5.2'!O38</f>
        <v>0</v>
      </c>
      <c r="P36" s="89">
        <f>'5.2'!P38</f>
        <v>0</v>
      </c>
      <c r="Q36" s="89">
        <f>'5.2'!Q38</f>
        <v>3.3764313764310843E-3</v>
      </c>
      <c r="R36" s="86">
        <f>SUM(B36:Q36)</f>
        <v>0.99999999999999989</v>
      </c>
    </row>
    <row r="37" spans="1:18" x14ac:dyDescent="0.3">
      <c r="A37" s="26" t="s">
        <v>464</v>
      </c>
      <c r="B37" s="40">
        <f>'5.2'!B51</f>
        <v>0</v>
      </c>
      <c r="C37" s="40">
        <f>'5.2'!C51</f>
        <v>0</v>
      </c>
      <c r="D37" s="40">
        <f>'5.2'!D51</f>
        <v>2.7500000000000004E-2</v>
      </c>
      <c r="E37" s="40">
        <f>'5.2'!E51</f>
        <v>0</v>
      </c>
      <c r="F37" s="40">
        <f>'5.2'!F51</f>
        <v>1.8333333333333333E-2</v>
      </c>
      <c r="G37" s="40">
        <f>'5.2'!G51</f>
        <v>1.8333333333333333E-2</v>
      </c>
      <c r="H37" s="40">
        <f>'5.2'!H51</f>
        <v>1.8333333333333333E-2</v>
      </c>
      <c r="I37" s="40">
        <f>'5.2'!I51</f>
        <v>0</v>
      </c>
      <c r="J37" s="40">
        <f>'5.2'!J51</f>
        <v>0</v>
      </c>
      <c r="K37" s="40">
        <f>'5.2'!K51</f>
        <v>0.27750000000000002</v>
      </c>
      <c r="L37" s="40">
        <f>'5.2'!L51</f>
        <v>0.11000000000000001</v>
      </c>
      <c r="M37" s="40">
        <f>'5.2'!M51</f>
        <v>0.22000000000000003</v>
      </c>
      <c r="N37" s="40">
        <f>'5.2'!N51</f>
        <v>0.255</v>
      </c>
      <c r="O37" s="40">
        <f>'5.2'!O51</f>
        <v>5.5000000000000007E-2</v>
      </c>
      <c r="P37" s="40">
        <f>'5.2'!P51</f>
        <v>0</v>
      </c>
      <c r="Q37" s="40">
        <f>'5.2'!Q51</f>
        <v>0</v>
      </c>
      <c r="R37" s="30">
        <f>SUM(B37:Q37)</f>
        <v>1.0000000000000002</v>
      </c>
    </row>
    <row r="38" spans="1:18" x14ac:dyDescent="0.3">
      <c r="A38" s="26" t="s">
        <v>212</v>
      </c>
      <c r="B38" s="40">
        <f>'5.2'!B78</f>
        <v>4.8723181189309892E-2</v>
      </c>
      <c r="C38" s="40">
        <f>'5.2'!C78</f>
        <v>1.3609626622862716E-2</v>
      </c>
      <c r="D38" s="40">
        <f>'5.2'!D78</f>
        <v>0.14610035826605675</v>
      </c>
      <c r="E38" s="40">
        <f>'5.2'!E78</f>
        <v>5.1573402198519233E-2</v>
      </c>
      <c r="F38" s="40">
        <f>'5.2'!F78</f>
        <v>0.11362028574347134</v>
      </c>
      <c r="G38" s="40">
        <f>'5.2'!G78</f>
        <v>0.11766433144923831</v>
      </c>
      <c r="H38" s="40">
        <f>'5.2'!H78</f>
        <v>5.2469812066459016E-2</v>
      </c>
      <c r="I38" s="40">
        <f>'5.2'!I78</f>
        <v>2.5687619194927975E-2</v>
      </c>
      <c r="J38" s="40">
        <f>'5.2'!J78</f>
        <v>1.2309905552467488E-2</v>
      </c>
      <c r="K38" s="40">
        <f>'5.2'!K78</f>
        <v>5.0423834991147158E-2</v>
      </c>
      <c r="L38" s="40">
        <f>'5.2'!L78</f>
        <v>8.8922957450883799E-2</v>
      </c>
      <c r="M38" s="40">
        <f>'5.2'!M78</f>
        <v>0.19278845988876089</v>
      </c>
      <c r="N38" s="40">
        <f>'5.2'!N78</f>
        <v>4.0788459888760856E-2</v>
      </c>
      <c r="O38" s="40">
        <f>'5.2'!O78</f>
        <v>4.0788459888760856E-2</v>
      </c>
      <c r="P38" s="40">
        <f>'5.2'!P78</f>
        <v>7.8845988876084805E-4</v>
      </c>
      <c r="Q38" s="40">
        <f>'5.2'!Q78</f>
        <v>3.7408457196129474E-3</v>
      </c>
      <c r="R38" s="30">
        <f>SUM(B38:Q38)</f>
        <v>1.0000000000000002</v>
      </c>
    </row>
  </sheetData>
  <printOptions horizontalCentered="1" gridLines="1"/>
  <pageMargins left="0.19685039370078741" right="0.19685039370078741" top="0.98425196850393704" bottom="0.59055118110236227" header="0.19685039370078741" footer="0.19685039370078741"/>
  <pageSetup scale="60" pageOrder="overThenDown" orientation="landscape" r:id="rId1"/>
  <headerFooter scaleWithDoc="0">
    <oddHeader xml:space="preserve">&amp;C2023 "Status Quo Methods" Cost Allocation Model for MECL </oddHeader>
    <oddFooter>&amp;LPage &amp;P of &amp;N&amp;RJune 27, 2025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dimension ref="A1:R62"/>
  <sheetViews>
    <sheetView view="pageBreakPreview" topLeftCell="A16" zoomScale="40" zoomScaleNormal="100" zoomScaleSheetLayoutView="40" workbookViewId="0">
      <selection activeCell="E21" sqref="E21"/>
    </sheetView>
  </sheetViews>
  <sheetFormatPr defaultColWidth="8.7109375" defaultRowHeight="13.5" x14ac:dyDescent="0.3"/>
  <cols>
    <col min="1" max="1" width="25.7109375" style="1" customWidth="1"/>
    <col min="2" max="18" width="7.7109375" style="1" customWidth="1"/>
    <col min="19" max="16384" width="8.7109375" style="1"/>
  </cols>
  <sheetData>
    <row r="1" spans="1:18" x14ac:dyDescent="0.3">
      <c r="A1" s="1" t="s">
        <v>563</v>
      </c>
    </row>
    <row r="2" spans="1:18" x14ac:dyDescent="0.3">
      <c r="A2" s="1" t="s">
        <v>216</v>
      </c>
    </row>
    <row r="4" spans="1:18" s="5" customFormat="1" x14ac:dyDescent="0.3">
      <c r="A4" s="5" t="s">
        <v>197</v>
      </c>
    </row>
    <row r="5" spans="1:18" s="11" customFormat="1" ht="54" x14ac:dyDescent="0.25">
      <c r="A5" s="11" t="s">
        <v>196</v>
      </c>
      <c r="B5" s="17" t="str">
        <f t="array" ref="B5:Q5">TRANSPOSE(List_Functions)</f>
        <v>Generation</v>
      </c>
      <c r="C5" s="17" t="str">
        <v>Purchased Power</v>
      </c>
      <c r="D5" s="17" t="str">
        <v>Transmission</v>
      </c>
      <c r="E5" s="17" t="str">
        <v>Substations</v>
      </c>
      <c r="F5" s="17" t="str">
        <v>Primary Lines</v>
      </c>
      <c r="G5" s="17" t="str">
        <v>Transformers</v>
      </c>
      <c r="H5" s="17" t="str">
        <v>Secondary Lines</v>
      </c>
      <c r="I5" s="17" t="str">
        <v>Service Lines</v>
      </c>
      <c r="J5" s="17" t="str">
        <v>Meter Assets</v>
      </c>
      <c r="K5" s="17" t="str">
        <v>Meter Reading</v>
      </c>
      <c r="L5" s="17" t="str">
        <v>Billing</v>
      </c>
      <c r="M5" s="17" t="str">
        <v>Remittance &amp; Collection</v>
      </c>
      <c r="N5" s="17" t="str">
        <v>Uncollectibles &amp; Damage Claims</v>
      </c>
      <c r="O5" s="17" t="str">
        <v>Service Connections</v>
      </c>
      <c r="P5" s="17" t="str">
        <v>Late Payments</v>
      </c>
      <c r="Q5" s="17" t="str">
        <v>Lighting</v>
      </c>
      <c r="R5" s="17" t="s">
        <v>214</v>
      </c>
    </row>
    <row r="6" spans="1:18" s="5" customFormat="1" ht="14" x14ac:dyDescent="0.3">
      <c r="A6" s="5" t="s">
        <v>628</v>
      </c>
      <c r="B6">
        <v>0</v>
      </c>
      <c r="C6">
        <v>0</v>
      </c>
      <c r="D6">
        <v>49</v>
      </c>
      <c r="E6">
        <v>51</v>
      </c>
      <c r="F6">
        <v>0</v>
      </c>
      <c r="G6">
        <v>0</v>
      </c>
      <c r="H6">
        <v>0</v>
      </c>
      <c r="I6">
        <v>0</v>
      </c>
      <c r="J6">
        <v>0</v>
      </c>
      <c r="K6">
        <v>0</v>
      </c>
      <c r="L6">
        <v>0</v>
      </c>
      <c r="M6">
        <v>0</v>
      </c>
      <c r="N6">
        <v>0</v>
      </c>
      <c r="O6">
        <v>0</v>
      </c>
      <c r="P6">
        <v>0</v>
      </c>
      <c r="Q6">
        <v>0</v>
      </c>
      <c r="R6" s="5">
        <f>SUM(B6:Q6)</f>
        <v>100</v>
      </c>
    </row>
    <row r="7" spans="1:18" s="5" customFormat="1" ht="14" x14ac:dyDescent="0.3">
      <c r="A7" s="5" t="s">
        <v>198</v>
      </c>
      <c r="B7">
        <v>0</v>
      </c>
      <c r="C7">
        <v>0</v>
      </c>
      <c r="D7">
        <v>0</v>
      </c>
      <c r="E7">
        <v>0</v>
      </c>
      <c r="F7">
        <v>75</v>
      </c>
      <c r="G7">
        <v>0</v>
      </c>
      <c r="H7">
        <v>25</v>
      </c>
      <c r="I7">
        <v>0</v>
      </c>
      <c r="J7">
        <v>0</v>
      </c>
      <c r="K7">
        <v>0</v>
      </c>
      <c r="L7">
        <v>0</v>
      </c>
      <c r="M7">
        <v>0</v>
      </c>
      <c r="N7">
        <v>0</v>
      </c>
      <c r="O7">
        <v>0</v>
      </c>
      <c r="P7">
        <v>0</v>
      </c>
      <c r="Q7">
        <v>0</v>
      </c>
      <c r="R7" s="5">
        <f>SUM(B7:Q7)</f>
        <v>100</v>
      </c>
    </row>
    <row r="8" spans="1:18" s="5" customFormat="1" ht="14" x14ac:dyDescent="0.3">
      <c r="A8" s="5" t="s">
        <v>199</v>
      </c>
      <c r="B8">
        <v>0</v>
      </c>
      <c r="C8">
        <v>0</v>
      </c>
      <c r="D8">
        <v>5</v>
      </c>
      <c r="E8">
        <v>0</v>
      </c>
      <c r="F8">
        <f>10/3</f>
        <v>3.3333333333333335</v>
      </c>
      <c r="G8">
        <f t="shared" ref="G8:H8" si="0">10/3</f>
        <v>3.3333333333333335</v>
      </c>
      <c r="H8">
        <f t="shared" si="0"/>
        <v>3.3333333333333335</v>
      </c>
      <c r="I8">
        <v>0</v>
      </c>
      <c r="J8">
        <v>0</v>
      </c>
      <c r="K8">
        <v>5</v>
      </c>
      <c r="L8">
        <v>20</v>
      </c>
      <c r="M8">
        <v>40</v>
      </c>
      <c r="N8">
        <v>10</v>
      </c>
      <c r="O8">
        <v>10</v>
      </c>
      <c r="P8">
        <v>0</v>
      </c>
      <c r="Q8">
        <v>0</v>
      </c>
      <c r="R8" s="5">
        <f>SUM(B8:Q8)</f>
        <v>100</v>
      </c>
    </row>
    <row r="9" spans="1:18" s="5" customFormat="1" ht="14" x14ac:dyDescent="0.3">
      <c r="A9" s="5" t="s">
        <v>200</v>
      </c>
      <c r="B9">
        <f>25*1/3</f>
        <v>8.3333333333333339</v>
      </c>
      <c r="C9">
        <f>25*2/3</f>
        <v>16.666666666666668</v>
      </c>
      <c r="D9">
        <v>25</v>
      </c>
      <c r="E9">
        <v>25</v>
      </c>
      <c r="F9">
        <f t="shared" ref="F9:H10" si="1">25*1/3</f>
        <v>8.3333333333333339</v>
      </c>
      <c r="G9">
        <f t="shared" si="1"/>
        <v>8.3333333333333339</v>
      </c>
      <c r="H9">
        <f t="shared" si="1"/>
        <v>8.3333333333333339</v>
      </c>
      <c r="I9">
        <v>0</v>
      </c>
      <c r="J9">
        <v>0</v>
      </c>
      <c r="K9">
        <v>0</v>
      </c>
      <c r="L9">
        <v>0</v>
      </c>
      <c r="M9">
        <v>0</v>
      </c>
      <c r="N9">
        <v>0</v>
      </c>
      <c r="O9">
        <v>0</v>
      </c>
      <c r="P9">
        <v>0</v>
      </c>
      <c r="Q9">
        <v>0</v>
      </c>
      <c r="R9" s="5">
        <f>SUM(B9:Q9)</f>
        <v>99.999999999999986</v>
      </c>
    </row>
    <row r="10" spans="1:18" s="5" customFormat="1" ht="14" x14ac:dyDescent="0.3">
      <c r="A10" s="5" t="s">
        <v>201</v>
      </c>
      <c r="B10">
        <v>25</v>
      </c>
      <c r="C10">
        <v>0</v>
      </c>
      <c r="D10">
        <v>25</v>
      </c>
      <c r="E10">
        <v>25</v>
      </c>
      <c r="F10">
        <f t="shared" si="1"/>
        <v>8.3333333333333339</v>
      </c>
      <c r="G10">
        <f t="shared" si="1"/>
        <v>8.3333333333333339</v>
      </c>
      <c r="H10">
        <f t="shared" si="1"/>
        <v>8.3333333333333339</v>
      </c>
      <c r="I10">
        <v>0</v>
      </c>
      <c r="J10">
        <v>0</v>
      </c>
      <c r="K10">
        <v>0</v>
      </c>
      <c r="L10">
        <v>0</v>
      </c>
      <c r="M10">
        <v>0</v>
      </c>
      <c r="N10">
        <v>0</v>
      </c>
      <c r="O10">
        <v>0</v>
      </c>
      <c r="P10">
        <v>0</v>
      </c>
      <c r="Q10">
        <v>0</v>
      </c>
      <c r="R10" s="5">
        <f>SUM(B10:Q10)</f>
        <v>99.999999999999986</v>
      </c>
    </row>
    <row r="11" spans="1:18" s="5" customFormat="1" x14ac:dyDescent="0.3"/>
    <row r="12" spans="1:18" x14ac:dyDescent="0.3">
      <c r="A12" s="1" t="s">
        <v>221</v>
      </c>
    </row>
    <row r="13" spans="1:18" s="9" customFormat="1" ht="54" x14ac:dyDescent="0.25">
      <c r="A13" s="9" t="s">
        <v>196</v>
      </c>
      <c r="B13" s="17" t="str">
        <f t="array" ref="B13:Q13">TRANSPOSE(List_Functions)</f>
        <v>Generation</v>
      </c>
      <c r="C13" s="17" t="str">
        <v>Purchased Power</v>
      </c>
      <c r="D13" s="17" t="str">
        <v>Transmission</v>
      </c>
      <c r="E13" s="17" t="str">
        <v>Substations</v>
      </c>
      <c r="F13" s="17" t="str">
        <v>Primary Lines</v>
      </c>
      <c r="G13" s="17" t="str">
        <v>Transformers</v>
      </c>
      <c r="H13" s="17" t="str">
        <v>Secondary Lines</v>
      </c>
      <c r="I13" s="17" t="str">
        <v>Service Lines</v>
      </c>
      <c r="J13" s="17" t="str">
        <v>Meter Assets</v>
      </c>
      <c r="K13" s="17" t="str">
        <v>Meter Reading</v>
      </c>
      <c r="L13" s="17" t="str">
        <v>Billing</v>
      </c>
      <c r="M13" s="17" t="str">
        <v>Remittance &amp; Collection</v>
      </c>
      <c r="N13" s="17" t="str">
        <v>Uncollectibles &amp; Damage Claims</v>
      </c>
      <c r="O13" s="17" t="str">
        <v>Service Connections</v>
      </c>
      <c r="P13" s="17" t="str">
        <v>Late Payments</v>
      </c>
      <c r="Q13" s="17" t="str">
        <v>Lighting</v>
      </c>
      <c r="R13" s="17" t="s">
        <v>214</v>
      </c>
    </row>
    <row r="14" spans="1:18" x14ac:dyDescent="0.3">
      <c r="A14" s="2" t="s">
        <v>202</v>
      </c>
      <c r="R14" s="1">
        <f>SUM(B14:Q14)</f>
        <v>0</v>
      </c>
    </row>
    <row r="15" spans="1:18" x14ac:dyDescent="0.3">
      <c r="A15" s="3" t="s">
        <v>217</v>
      </c>
      <c r="B15" s="1">
        <f>SUMIFS('6.1'!$E$6:$E$74,Assets_BasisFunc,B$13,Assets_UsedforAlloc,$A$14)</f>
        <v>0</v>
      </c>
      <c r="C15" s="1">
        <f>SUMIFS('6.1'!$E$6:$E$74,Assets_BasisFunc,C$13,Assets_UsedforAlloc,$A$14)</f>
        <v>0</v>
      </c>
      <c r="D15" s="1">
        <f>SUMIFS('6.1'!$E$6:$E$74,Assets_BasisFunc,D$13,Assets_UsedforAlloc,$A$14)</f>
        <v>0</v>
      </c>
      <c r="E15" s="1">
        <f>SUMIFS('6.1'!$E$6:$E$74,Assets_BasisFunc,E$13,Assets_UsedforAlloc,$A$14)</f>
        <v>4824323</v>
      </c>
      <c r="F15" s="1">
        <f>SUMIFS('6.1'!$E$6:$E$74,Assets_BasisFunc,F$13,Assets_UsedforAlloc,$A$14)</f>
        <v>0</v>
      </c>
      <c r="G15" s="1">
        <f>SUMIFS('6.1'!$E$6:$E$74,Assets_BasisFunc,G$13,Assets_UsedforAlloc,$A$14)</f>
        <v>109702410</v>
      </c>
      <c r="H15" s="1">
        <f>SUMIFS('6.1'!$E$6:$E$74,Assets_BasisFunc,H$13,Assets_UsedforAlloc,$A$14)</f>
        <v>0</v>
      </c>
      <c r="I15" s="1">
        <f>SUMIFS('6.1'!$E$6:$E$74,Assets_BasisFunc,I$13,Assets_UsedforAlloc,$A$14)</f>
        <v>0</v>
      </c>
      <c r="J15" s="1">
        <f>SUMIFS('6.1'!$E$6:$E$74,Assets_BasisFunc,J$13,Assets_UsedforAlloc,$A$14)</f>
        <v>0</v>
      </c>
      <c r="K15" s="1">
        <f>SUMIFS('6.1'!$E$6:$E$74,Assets_BasisFunc,K$13,Assets_UsedforAlloc,$A$14)</f>
        <v>0</v>
      </c>
      <c r="L15" s="1">
        <f>SUMIFS('6.1'!$E$6:$E$74,Assets_BasisFunc,L$13,Assets_UsedforAlloc,$A$14)</f>
        <v>0</v>
      </c>
      <c r="M15" s="1">
        <f>SUMIFS('6.1'!$E$6:$E$74,Assets_BasisFunc,M$13,Assets_UsedforAlloc,$A$14)</f>
        <v>0</v>
      </c>
      <c r="N15" s="1">
        <f>SUMIFS('6.1'!$E$6:$E$74,Assets_BasisFunc,N$13,Assets_UsedforAlloc,$A$14)</f>
        <v>0</v>
      </c>
      <c r="O15" s="1">
        <f>SUMIFS('6.1'!$E$6:$E$74,Assets_BasisFunc,O$13,Assets_UsedforAlloc,$A$14)</f>
        <v>0</v>
      </c>
      <c r="P15" s="1">
        <f>SUMIFS('6.1'!$E$6:$E$74,Assets_BasisFunc,P$13,Assets_UsedforAlloc,$A$14)</f>
        <v>0</v>
      </c>
      <c r="Q15" s="1">
        <f>SUMIFS('6.1'!$E$6:$E$74,Assets_BasisFunc,Q$13,Assets_UsedforAlloc,$A$14)</f>
        <v>0</v>
      </c>
      <c r="R15" s="1">
        <f>SUM(B15:Q15)</f>
        <v>114526733</v>
      </c>
    </row>
    <row r="16" spans="1:18" x14ac:dyDescent="0.3">
      <c r="A16" s="3" t="s">
        <v>10</v>
      </c>
      <c r="B16" s="1">
        <f>R15</f>
        <v>114526733</v>
      </c>
      <c r="R16" s="1">
        <f>SUM(B16:Q16)</f>
        <v>114526733</v>
      </c>
    </row>
    <row r="17" spans="1:18" x14ac:dyDescent="0.3">
      <c r="A17" s="3" t="s">
        <v>214</v>
      </c>
      <c r="B17" s="1">
        <f>SUM(B15:B16)</f>
        <v>114526733</v>
      </c>
      <c r="C17" s="1">
        <f>SUM(C15:C16)</f>
        <v>0</v>
      </c>
      <c r="D17" s="1">
        <f>SUM(D15:D16)</f>
        <v>0</v>
      </c>
      <c r="E17" s="1">
        <f>SUM(E15:E16)</f>
        <v>4824323</v>
      </c>
      <c r="F17" s="1">
        <f>SUM(F15:F16)</f>
        <v>0</v>
      </c>
      <c r="G17" s="1">
        <f>SUM(G15:G16)</f>
        <v>109702410</v>
      </c>
      <c r="H17" s="1">
        <f>SUM(H15:H16)</f>
        <v>0</v>
      </c>
      <c r="I17" s="1">
        <f>SUM(I15:I16)</f>
        <v>0</v>
      </c>
      <c r="J17" s="1">
        <f>SUM(J15:J16)</f>
        <v>0</v>
      </c>
      <c r="K17" s="1">
        <f>SUM(K15:K16)</f>
        <v>0</v>
      </c>
      <c r="L17" s="1">
        <f>SUM(L15:L16)</f>
        <v>0</v>
      </c>
      <c r="M17" s="1">
        <f>SUM(M15:M16)</f>
        <v>0</v>
      </c>
      <c r="N17" s="1">
        <f>SUM(N15:N16)</f>
        <v>0</v>
      </c>
      <c r="O17" s="1">
        <f>SUM(O15:O16)</f>
        <v>0</v>
      </c>
      <c r="P17" s="1">
        <f>SUM(P15:P16)</f>
        <v>0</v>
      </c>
      <c r="Q17" s="1">
        <f>SUM(Q15:Q16)</f>
        <v>0</v>
      </c>
      <c r="R17" s="1">
        <f>SUM(B17:Q17)</f>
        <v>229053466</v>
      </c>
    </row>
    <row r="18" spans="1:18" x14ac:dyDescent="0.3">
      <c r="A18" s="2" t="s">
        <v>203</v>
      </c>
      <c r="B18" s="10"/>
      <c r="C18" s="10"/>
      <c r="D18" s="10"/>
      <c r="E18" s="10"/>
      <c r="F18" s="10"/>
      <c r="G18" s="10"/>
      <c r="H18" s="10"/>
      <c r="I18" s="10"/>
      <c r="J18" s="10"/>
      <c r="K18" s="10"/>
      <c r="L18" s="10"/>
      <c r="M18" s="10"/>
      <c r="N18" s="10"/>
      <c r="O18" s="10"/>
      <c r="P18" s="10"/>
      <c r="Q18" s="10"/>
      <c r="R18" s="10"/>
    </row>
    <row r="19" spans="1:18" x14ac:dyDescent="0.3">
      <c r="A19" s="3" t="s">
        <v>13</v>
      </c>
      <c r="D19" s="1">
        <f>SUMIFS('4.0'!D$6:D$20,GP_Direct,$A19)</f>
        <v>998364</v>
      </c>
      <c r="E19" s="1">
        <f>SUMIFS('4.0'!E$6:E$20,GP_Direct,$A19)</f>
        <v>4834296</v>
      </c>
      <c r="R19" s="10">
        <f>SUM(B19:Q19)</f>
        <v>5832660</v>
      </c>
    </row>
    <row r="20" spans="1:18" x14ac:dyDescent="0.3">
      <c r="A20" s="3" t="s">
        <v>140</v>
      </c>
      <c r="G20" s="1">
        <f>SUMIFS('4.0'!G$6:G$20,GP_Direct,$A20)</f>
        <v>109702410</v>
      </c>
      <c r="R20" s="10">
        <f>SUM(B20:Q20)</f>
        <v>109702410</v>
      </c>
    </row>
    <row r="21" spans="1:18" x14ac:dyDescent="0.3">
      <c r="A21" s="3" t="s">
        <v>214</v>
      </c>
      <c r="B21" s="10">
        <f>SUM(B19:B20)</f>
        <v>0</v>
      </c>
      <c r="C21" s="10">
        <f t="shared" ref="C21:Q21" si="2">SUM(C19:C20)</f>
        <v>0</v>
      </c>
      <c r="D21" s="10">
        <f t="shared" si="2"/>
        <v>998364</v>
      </c>
      <c r="E21" s="10">
        <f t="shared" si="2"/>
        <v>4834296</v>
      </c>
      <c r="F21" s="10">
        <f t="shared" si="2"/>
        <v>0</v>
      </c>
      <c r="G21" s="10">
        <f t="shared" si="2"/>
        <v>109702410</v>
      </c>
      <c r="H21" s="10">
        <f t="shared" si="2"/>
        <v>0</v>
      </c>
      <c r="I21" s="10">
        <f t="shared" si="2"/>
        <v>0</v>
      </c>
      <c r="J21" s="10">
        <f t="shared" si="2"/>
        <v>0</v>
      </c>
      <c r="K21" s="10">
        <f t="shared" si="2"/>
        <v>0</v>
      </c>
      <c r="L21" s="10">
        <f t="shared" si="2"/>
        <v>0</v>
      </c>
      <c r="M21" s="10">
        <f t="shared" si="2"/>
        <v>0</v>
      </c>
      <c r="N21" s="10">
        <f t="shared" si="2"/>
        <v>0</v>
      </c>
      <c r="O21" s="10">
        <f t="shared" si="2"/>
        <v>0</v>
      </c>
      <c r="P21" s="10">
        <f t="shared" si="2"/>
        <v>0</v>
      </c>
      <c r="Q21" s="10">
        <f t="shared" si="2"/>
        <v>0</v>
      </c>
      <c r="R21" s="10">
        <f>SUM(B21:Q21)</f>
        <v>115535070</v>
      </c>
    </row>
    <row r="22" spans="1:18" x14ac:dyDescent="0.3">
      <c r="A22" s="2" t="s">
        <v>204</v>
      </c>
      <c r="B22" s="10"/>
      <c r="C22" s="10"/>
      <c r="D22" s="10"/>
      <c r="E22" s="10"/>
      <c r="F22" s="10"/>
      <c r="G22" s="10"/>
      <c r="H22" s="10"/>
      <c r="I22" s="10"/>
      <c r="J22" s="10"/>
      <c r="K22" s="10"/>
      <c r="L22" s="10"/>
      <c r="M22" s="10"/>
      <c r="N22" s="10"/>
      <c r="O22" s="10"/>
      <c r="P22" s="10"/>
      <c r="Q22" s="10"/>
      <c r="R22" s="10"/>
    </row>
    <row r="23" spans="1:18" x14ac:dyDescent="0.3">
      <c r="A23" s="3" t="s">
        <v>13</v>
      </c>
      <c r="B23" s="10"/>
      <c r="C23" s="10"/>
      <c r="F23" s="1">
        <f>SUMIFS('4.0'!F$6:F$20,GP_Direct,$A23)+SUMIFS('4.0'!F$56:F$70,GP_First,$A23)</f>
        <v>0</v>
      </c>
      <c r="G23" s="1">
        <f>SUMIFS('4.0'!G$6:G$20,GP_Direct,$A23)+SUMIFS('4.0'!G$56:G$70,GP_First,$A23)</f>
        <v>0</v>
      </c>
      <c r="H23" s="1">
        <f>SUMIFS('4.0'!H$6:H$20,GP_Direct,$A23)+SUMIFS('4.0'!H$56:H$70,GP_First,$A23)</f>
        <v>0</v>
      </c>
      <c r="I23" s="10"/>
      <c r="J23" s="10"/>
      <c r="K23" s="10"/>
      <c r="L23" s="10"/>
      <c r="M23" s="10"/>
      <c r="N23" s="10"/>
      <c r="O23" s="10"/>
      <c r="P23" s="10"/>
      <c r="Q23" s="10"/>
      <c r="R23" s="10">
        <f>SUM(B23:Q23)</f>
        <v>0</v>
      </c>
    </row>
    <row r="24" spans="1:18" x14ac:dyDescent="0.3">
      <c r="A24" s="3" t="s">
        <v>140</v>
      </c>
      <c r="B24" s="10"/>
      <c r="C24" s="10"/>
      <c r="D24" s="10"/>
      <c r="E24" s="10"/>
      <c r="F24" s="1">
        <f>SUMIFS('4.0'!F$6:F$20,GP_Direct,$A24)+SUMIFS('4.0'!F$56:F$70,GP_First,$A24)</f>
        <v>176599591.875</v>
      </c>
      <c r="G24" s="1">
        <f>SUMIFS('4.0'!G$6:G$20,GP_Direct,$A24)+SUMIFS('4.0'!G$56:G$70,GP_First,$A24)</f>
        <v>109702410</v>
      </c>
      <c r="H24" s="1">
        <f>SUMIFS('4.0'!H$6:H$20,GP_Direct,$A24)+SUMIFS('4.0'!H$56:H$70,GP_First,$A24)</f>
        <v>58866530.625</v>
      </c>
      <c r="I24" s="10"/>
      <c r="J24" s="10"/>
      <c r="K24" s="10"/>
      <c r="L24" s="10"/>
      <c r="M24" s="10"/>
      <c r="N24" s="10"/>
      <c r="O24" s="10"/>
      <c r="P24" s="10"/>
      <c r="Q24" s="10"/>
      <c r="R24" s="10">
        <f>SUM(B24:Q24)</f>
        <v>345168532.5</v>
      </c>
    </row>
    <row r="25" spans="1:18" x14ac:dyDescent="0.3">
      <c r="A25" s="3" t="s">
        <v>214</v>
      </c>
      <c r="B25" s="10">
        <f t="shared" ref="B25:Q25" si="3">SUM(B23:B24)</f>
        <v>0</v>
      </c>
      <c r="C25" s="10">
        <f t="shared" si="3"/>
        <v>0</v>
      </c>
      <c r="D25" s="10">
        <f t="shared" si="3"/>
        <v>0</v>
      </c>
      <c r="E25" s="10">
        <f t="shared" si="3"/>
        <v>0</v>
      </c>
      <c r="F25" s="10">
        <f t="shared" si="3"/>
        <v>176599591.875</v>
      </c>
      <c r="G25" s="10">
        <f t="shared" si="3"/>
        <v>109702410</v>
      </c>
      <c r="H25" s="10">
        <f t="shared" si="3"/>
        <v>58866530.625</v>
      </c>
      <c r="I25" s="10">
        <f t="shared" si="3"/>
        <v>0</v>
      </c>
      <c r="J25" s="10">
        <f t="shared" si="3"/>
        <v>0</v>
      </c>
      <c r="K25" s="10">
        <f t="shared" si="3"/>
        <v>0</v>
      </c>
      <c r="L25" s="10">
        <f t="shared" si="3"/>
        <v>0</v>
      </c>
      <c r="M25" s="10">
        <f t="shared" si="3"/>
        <v>0</v>
      </c>
      <c r="N25" s="10">
        <f t="shared" si="3"/>
        <v>0</v>
      </c>
      <c r="O25" s="10">
        <f t="shared" si="3"/>
        <v>0</v>
      </c>
      <c r="P25" s="10">
        <f t="shared" si="3"/>
        <v>0</v>
      </c>
      <c r="Q25" s="10">
        <f t="shared" si="3"/>
        <v>0</v>
      </c>
      <c r="R25" s="10">
        <f>SUM(B25:Q25)</f>
        <v>345168532.5</v>
      </c>
    </row>
    <row r="26" spans="1:18" x14ac:dyDescent="0.3">
      <c r="A26" s="2" t="s">
        <v>657</v>
      </c>
      <c r="B26" s="10"/>
      <c r="C26" s="10"/>
      <c r="D26" s="10"/>
      <c r="E26" s="10"/>
      <c r="F26" s="10"/>
      <c r="G26" s="10"/>
      <c r="H26" s="10"/>
      <c r="I26" s="10"/>
      <c r="J26" s="10"/>
      <c r="K26" s="10"/>
      <c r="L26" s="10"/>
      <c r="M26" s="10"/>
      <c r="N26" s="10"/>
      <c r="O26" s="10"/>
      <c r="P26" s="10"/>
      <c r="Q26" s="10"/>
      <c r="R26" s="10"/>
    </row>
    <row r="27" spans="1:18" x14ac:dyDescent="0.3">
      <c r="A27" s="3" t="s">
        <v>658</v>
      </c>
      <c r="B27" s="41"/>
      <c r="C27" s="41"/>
      <c r="D27" s="41">
        <v>1</v>
      </c>
      <c r="E27" s="41"/>
      <c r="F27" s="41"/>
      <c r="G27" s="41"/>
      <c r="H27" s="41"/>
      <c r="I27" s="41"/>
      <c r="J27" s="41"/>
      <c r="K27" s="41"/>
      <c r="L27" s="41"/>
      <c r="M27" s="41"/>
      <c r="N27" s="41"/>
      <c r="O27" s="41"/>
      <c r="P27" s="41"/>
      <c r="Q27" s="41"/>
      <c r="R27" s="10">
        <f>'6.2'!E38</f>
        <v>58153</v>
      </c>
    </row>
    <row r="28" spans="1:18" x14ac:dyDescent="0.3">
      <c r="A28" s="3" t="s">
        <v>659</v>
      </c>
      <c r="B28" s="41"/>
      <c r="C28" s="41"/>
      <c r="D28" s="41"/>
      <c r="E28" s="41"/>
      <c r="F28" s="41">
        <f>F33/SUM($F33:$H33)</f>
        <v>0.51163294230768264</v>
      </c>
      <c r="G28" s="41">
        <f>G33/SUM($F33:$H33)</f>
        <v>0.31782274358975637</v>
      </c>
      <c r="H28" s="41">
        <f>H33/SUM($F33:$H33)</f>
        <v>0.17054431410256088</v>
      </c>
      <c r="I28" s="41"/>
      <c r="J28" s="41"/>
      <c r="K28" s="41"/>
      <c r="L28" s="41"/>
      <c r="M28" s="41"/>
      <c r="N28" s="41"/>
      <c r="O28" s="41"/>
      <c r="P28" s="41"/>
      <c r="Q28" s="41"/>
      <c r="R28" s="10">
        <f>'6.2'!E37</f>
        <v>3920</v>
      </c>
    </row>
    <row r="29" spans="1:18" x14ac:dyDescent="0.3">
      <c r="A29" s="3" t="s">
        <v>214</v>
      </c>
      <c r="B29" s="10">
        <f t="shared" ref="B29:Q29" si="4">(B27*$R27)+(B28*$R28)</f>
        <v>0</v>
      </c>
      <c r="C29" s="10">
        <f t="shared" si="4"/>
        <v>0</v>
      </c>
      <c r="D29" s="10">
        <f t="shared" si="4"/>
        <v>58153</v>
      </c>
      <c r="E29" s="10">
        <f t="shared" si="4"/>
        <v>0</v>
      </c>
      <c r="F29" s="10">
        <f t="shared" si="4"/>
        <v>2005.601133846116</v>
      </c>
      <c r="G29" s="10">
        <f t="shared" si="4"/>
        <v>1245.8651548718449</v>
      </c>
      <c r="H29" s="10">
        <f t="shared" si="4"/>
        <v>668.53371128203867</v>
      </c>
      <c r="I29" s="10">
        <f t="shared" si="4"/>
        <v>0</v>
      </c>
      <c r="J29" s="10">
        <f t="shared" si="4"/>
        <v>0</v>
      </c>
      <c r="K29" s="10">
        <f t="shared" si="4"/>
        <v>0</v>
      </c>
      <c r="L29" s="10">
        <f t="shared" si="4"/>
        <v>0</v>
      </c>
      <c r="M29" s="10">
        <f t="shared" si="4"/>
        <v>0</v>
      </c>
      <c r="N29" s="10">
        <f t="shared" si="4"/>
        <v>0</v>
      </c>
      <c r="O29" s="10">
        <f t="shared" si="4"/>
        <v>0</v>
      </c>
      <c r="P29" s="10">
        <f t="shared" si="4"/>
        <v>0</v>
      </c>
      <c r="Q29" s="10">
        <f t="shared" si="4"/>
        <v>0</v>
      </c>
      <c r="R29" s="10">
        <f>SUM(B29:Q29)</f>
        <v>62073.000000000007</v>
      </c>
    </row>
    <row r="30" spans="1:18" x14ac:dyDescent="0.3">
      <c r="A30" s="2" t="s">
        <v>205</v>
      </c>
    </row>
    <row r="31" spans="1:18" x14ac:dyDescent="0.3">
      <c r="A31" s="3" t="s">
        <v>174</v>
      </c>
      <c r="B31" s="1">
        <f>SUMIFS('4.0'!B$6:B$20,GP_Direct,$A31)+SUMIFS('4.0'!B$56:B$70,GP_First,$A31)+SUMIFS('4.0'!B$75:B$89,GP_Second,$A31)</f>
        <v>4338192.0000000009</v>
      </c>
      <c r="C31" s="1">
        <f>SUMIFS('4.0'!C$6:C$20,GP_Direct,$A31)+SUMIFS('4.0'!C$56:C$70,GP_First,$A31)+SUMIFS('4.0'!C$75:C$89,GP_Second,$A31)</f>
        <v>0</v>
      </c>
      <c r="D31" s="1">
        <f>SUMIFS('4.0'!D$6:D$20,GP_Direct,$A31)+SUMIFS('4.0'!D$56:D$70,GP_First,$A31)+SUMIFS('4.0'!D$75:D$89,GP_Second,$A31)</f>
        <v>134979069.495</v>
      </c>
      <c r="E31" s="1">
        <f>SUMIFS('4.0'!E$6:E$20,GP_Direct,$A31)+SUMIFS('4.0'!E$56:E$70,GP_First,$A31)+SUMIFS('4.0'!E$75:E$89,GP_Second,$A31)</f>
        <v>52723568.505000003</v>
      </c>
      <c r="F31" s="1">
        <f>SUMIFS('4.0'!F$6:F$20,GP_Direct,$A31)+SUMIFS('4.0'!F$56:F$70,GP_First,$A31)+SUMIFS('4.0'!F$75:F$89,GP_Second,$A31)</f>
        <v>178045655.875</v>
      </c>
      <c r="G31" s="1">
        <f>SUMIFS('4.0'!G$6:G$20,GP_Direct,$A31)+SUMIFS('4.0'!G$56:G$70,GP_First,$A31)+SUMIFS('4.0'!G$75:G$89,GP_Second,$A31)</f>
        <v>111148474</v>
      </c>
      <c r="H31" s="1">
        <f>SUMIFS('4.0'!H$6:H$20,GP_Direct,$A31)+SUMIFS('4.0'!H$56:H$70,GP_First,$A31)+SUMIFS('4.0'!H$75:H$89,GP_Second,$A31)</f>
        <v>60312594.625</v>
      </c>
      <c r="I31" s="1">
        <f>SUMIFS('4.0'!I$6:I$20,GP_Direct,$A31)+SUMIFS('4.0'!I$56:I$70,GP_First,$A31)+SUMIFS('4.0'!I$75:I$89,GP_Second,$A31)</f>
        <v>89590707</v>
      </c>
      <c r="J31" s="1">
        <f>SUMIFS('4.0'!J$6:J$20,GP_Direct,$A31)+SUMIFS('4.0'!J$56:J$70,GP_First,$A31)+SUMIFS('4.0'!J$75:J$89,GP_Second,$A31)</f>
        <v>18277754.5</v>
      </c>
      <c r="K31" s="1">
        <f>SUMIFS('4.0'!K$6:K$20,GP_Direct,$A31)+SUMIFS('4.0'!K$56:K$70,GP_First,$A31)+SUMIFS('4.0'!K$75:K$89,GP_Second,$A31)</f>
        <v>0</v>
      </c>
      <c r="L31" s="1">
        <f>SUMIFS('4.0'!L$6:L$20,GP_Direct,$A31)+SUMIFS('4.0'!L$56:L$70,GP_First,$A31)+SUMIFS('4.0'!L$75:L$89,GP_Second,$A31)</f>
        <v>0</v>
      </c>
      <c r="M31" s="1">
        <f>SUMIFS('4.0'!M$6:M$20,GP_Direct,$A31)+SUMIFS('4.0'!M$56:M$70,GP_First,$A31)+SUMIFS('4.0'!M$75:M$89,GP_Second,$A31)</f>
        <v>0</v>
      </c>
      <c r="N31" s="1">
        <f>SUMIFS('4.0'!N$6:N$20,GP_Direct,$A31)+SUMIFS('4.0'!N$56:N$70,GP_First,$A31)+SUMIFS('4.0'!N$75:N$89,GP_Second,$A31)</f>
        <v>0</v>
      </c>
      <c r="O31" s="1">
        <f>SUMIFS('4.0'!O$6:O$20,GP_Direct,$A31)+SUMIFS('4.0'!O$56:O$70,GP_First,$A31)+SUMIFS('4.0'!O$75:O$89,GP_Second,$A31)</f>
        <v>0</v>
      </c>
      <c r="P31" s="1">
        <f>SUMIFS('4.0'!P$6:P$20,GP_Direct,$A31)+SUMIFS('4.0'!P$56:P$70,GP_First,$A31)+SUMIFS('4.0'!P$75:P$89,GP_Second,$A31)</f>
        <v>0</v>
      </c>
      <c r="Q31" s="1">
        <f>SUMIFS('4.0'!Q$6:Q$20,GP_Direct,$A31)+SUMIFS('4.0'!Q$56:Q$70,GP_First,$A31)+SUMIFS('4.0'!Q$75:Q$89,GP_Second,$A31)</f>
        <v>10623103</v>
      </c>
      <c r="R31" s="10">
        <f>SUM(B31:Q31)</f>
        <v>660039119</v>
      </c>
    </row>
    <row r="32" spans="1:18" x14ac:dyDescent="0.3">
      <c r="A32" s="3" t="s">
        <v>175</v>
      </c>
      <c r="B32" s="1">
        <f>SUMIFS('4.0'!B$6:B$20,GP_Direct,$A32)+SUMIFS('4.0'!B$56:B$70,GP_First,$A32)+SUMIFS('4.0'!B$75:B$89,GP_Second,$A32)</f>
        <v>114763.45833333337</v>
      </c>
      <c r="C32" s="1">
        <f>SUMIFS('4.0'!C$6:C$20,GP_Direct,$A32)+SUMIFS('4.0'!C$56:C$70,GP_First,$A32)+SUMIFS('4.0'!C$75:C$89,GP_Second,$A32)</f>
        <v>229526.91666666674</v>
      </c>
      <c r="D32" s="1">
        <f>SUMIFS('4.0'!D$6:D$20,GP_Direct,$A32)+SUMIFS('4.0'!D$56:D$70,GP_First,$A32)+SUMIFS('4.0'!D$75:D$89,GP_Second,$A32)</f>
        <v>344290.37500000006</v>
      </c>
      <c r="E32" s="1">
        <f>SUMIFS('4.0'!E$6:E$20,GP_Direct,$A32)+SUMIFS('4.0'!E$56:E$70,GP_First,$A32)+SUMIFS('4.0'!E$75:E$89,GP_Second,$A32)</f>
        <v>344290.37500000006</v>
      </c>
      <c r="F32" s="1">
        <f>SUMIFS('4.0'!F$6:F$20,GP_Direct,$A32)+SUMIFS('4.0'!F$56:F$70,GP_First,$A32)+SUMIFS('4.0'!F$75:F$89,GP_Second,$A32)</f>
        <v>114763.45833333337</v>
      </c>
      <c r="G32" s="1">
        <f>SUMIFS('4.0'!G$6:G$20,GP_Direct,$A32)+SUMIFS('4.0'!G$56:G$70,GP_First,$A32)+SUMIFS('4.0'!G$75:G$89,GP_Second,$A32)</f>
        <v>114763.45833333337</v>
      </c>
      <c r="H32" s="1">
        <f>SUMIFS('4.0'!H$6:H$20,GP_Direct,$A32)+SUMIFS('4.0'!H$56:H$70,GP_First,$A32)+SUMIFS('4.0'!H$75:H$89,GP_Second,$A32)</f>
        <v>114763.45833333337</v>
      </c>
      <c r="I32" s="1">
        <f>SUMIFS('4.0'!I$6:I$20,GP_Direct,$A32)+SUMIFS('4.0'!I$56:I$70,GP_First,$A32)+SUMIFS('4.0'!I$75:I$89,GP_Second,$A32)</f>
        <v>0</v>
      </c>
      <c r="J32" s="1">
        <f>SUMIFS('4.0'!J$6:J$20,GP_Direct,$A32)+SUMIFS('4.0'!J$56:J$70,GP_First,$A32)+SUMIFS('4.0'!J$75:J$89,GP_Second,$A32)</f>
        <v>0</v>
      </c>
      <c r="K32" s="1">
        <f>SUMIFS('4.0'!K$6:K$20,GP_Direct,$A32)+SUMIFS('4.0'!K$56:K$70,GP_First,$A32)+SUMIFS('4.0'!K$75:K$89,GP_Second,$A32)</f>
        <v>0</v>
      </c>
      <c r="L32" s="1">
        <f>SUMIFS('4.0'!L$6:L$20,GP_Direct,$A32)+SUMIFS('4.0'!L$56:L$70,GP_First,$A32)+SUMIFS('4.0'!L$75:L$89,GP_Second,$A32)</f>
        <v>0</v>
      </c>
      <c r="M32" s="1">
        <f>SUMIFS('4.0'!M$6:M$20,GP_Direct,$A32)+SUMIFS('4.0'!M$56:M$70,GP_First,$A32)+SUMIFS('4.0'!M$75:M$89,GP_Second,$A32)</f>
        <v>0</v>
      </c>
      <c r="N32" s="1">
        <f>SUMIFS('4.0'!N$6:N$20,GP_Direct,$A32)+SUMIFS('4.0'!N$56:N$70,GP_First,$A32)+SUMIFS('4.0'!N$75:N$89,GP_Second,$A32)</f>
        <v>0</v>
      </c>
      <c r="O32" s="1">
        <f>SUMIFS('4.0'!O$6:O$20,GP_Direct,$A32)+SUMIFS('4.0'!O$56:O$70,GP_First,$A32)+SUMIFS('4.0'!O$75:O$89,GP_Second,$A32)</f>
        <v>0</v>
      </c>
      <c r="P32" s="1">
        <f>SUMIFS('4.0'!P$6:P$20,GP_Direct,$A32)+SUMIFS('4.0'!P$56:P$70,GP_First,$A32)+SUMIFS('4.0'!P$75:P$89,GP_Second,$A32)</f>
        <v>0</v>
      </c>
      <c r="Q32" s="1">
        <f>SUMIFS('4.0'!Q$6:Q$20,GP_Direct,$A32)+SUMIFS('4.0'!Q$56:Q$70,GP_First,$A32)+SUMIFS('4.0'!Q$75:Q$89,GP_Second,$A32)</f>
        <v>0</v>
      </c>
      <c r="R32" s="10">
        <f>SUM(B32:Q32)</f>
        <v>1377161.5000000005</v>
      </c>
    </row>
    <row r="33" spans="1:18" x14ac:dyDescent="0.3">
      <c r="A33" s="3" t="s">
        <v>238</v>
      </c>
      <c r="B33" s="1">
        <f>SUMIFS('4.0'!B$6:B$20,GP_Direct,$A33)+SUMIFS('4.0'!B$56:B$70,GP_First,$A33)+SUMIFS('4.0'!B$75:B$89,GP_Second,$A33)</f>
        <v>0</v>
      </c>
      <c r="C33" s="1">
        <f>SUMIFS('4.0'!C$6:C$20,GP_Direct,$A33)+SUMIFS('4.0'!C$56:C$70,GP_First,$A33)+SUMIFS('4.0'!C$75:C$89,GP_Second,$A33)</f>
        <v>0</v>
      </c>
      <c r="D33" s="1">
        <f>SUMIFS('4.0'!D$6:D$20,GP_Direct,$A33)+SUMIFS('4.0'!D$56:D$70,GP_First,$A33)+SUMIFS('4.0'!D$75:D$89,GP_Second,$A33)</f>
        <v>4543167.5</v>
      </c>
      <c r="E33" s="1">
        <f>SUMIFS('4.0'!E$6:E$20,GP_Direct,$A33)+SUMIFS('4.0'!E$56:E$70,GP_First,$A33)+SUMIFS('4.0'!E$75:E$89,GP_Second,$A33)</f>
        <v>0</v>
      </c>
      <c r="F33" s="1">
        <f>SUMIFS('4.0'!F$6:F$20,GP_Direct,$A33)+SUMIFS('4.0'!F$56:F$70,GP_First,$A33)+SUMIFS('4.0'!F$75:F$89,GP_Second,$A33)</f>
        <v>144280.48973076654</v>
      </c>
      <c r="G33" s="1">
        <f>SUMIFS('4.0'!G$6:G$20,GP_Direct,$A33)+SUMIFS('4.0'!G$56:G$70,GP_First,$A33)+SUMIFS('4.0'!G$75:G$89,GP_Second,$A33)</f>
        <v>89626.013692311317</v>
      </c>
      <c r="H33" s="1">
        <f>SUMIFS('4.0'!H$6:H$20,GP_Direct,$A33)+SUMIFS('4.0'!H$56:H$70,GP_First,$A33)+SUMIFS('4.0'!H$75:H$89,GP_Second,$A33)</f>
        <v>48093.496576922174</v>
      </c>
      <c r="I33" s="1">
        <f>SUMIFS('4.0'!I$6:I$20,GP_Direct,$A33)+SUMIFS('4.0'!I$56:I$70,GP_First,$A33)+SUMIFS('4.0'!I$75:I$89,GP_Second,$A33)</f>
        <v>0</v>
      </c>
      <c r="J33" s="1">
        <f>SUMIFS('4.0'!J$6:J$20,GP_Direct,$A33)+SUMIFS('4.0'!J$56:J$70,GP_First,$A33)+SUMIFS('4.0'!J$75:J$89,GP_Second,$A33)</f>
        <v>0</v>
      </c>
      <c r="K33" s="1">
        <f>SUMIFS('4.0'!K$6:K$20,GP_Direct,$A33)+SUMIFS('4.0'!K$56:K$70,GP_First,$A33)+SUMIFS('4.0'!K$75:K$89,GP_Second,$A33)</f>
        <v>0</v>
      </c>
      <c r="L33" s="1">
        <f>SUMIFS('4.0'!L$6:L$20,GP_Direct,$A33)+SUMIFS('4.0'!L$56:L$70,GP_First,$A33)+SUMIFS('4.0'!L$75:L$89,GP_Second,$A33)</f>
        <v>0</v>
      </c>
      <c r="M33" s="1">
        <f>SUMIFS('4.0'!M$6:M$20,GP_Direct,$A33)+SUMIFS('4.0'!M$56:M$70,GP_First,$A33)+SUMIFS('4.0'!M$75:M$89,GP_Second,$A33)</f>
        <v>0</v>
      </c>
      <c r="N33" s="1">
        <f>SUMIFS('4.0'!N$6:N$20,GP_Direct,$A33)+SUMIFS('4.0'!N$56:N$70,GP_First,$A33)+SUMIFS('4.0'!N$75:N$89,GP_Second,$A33)</f>
        <v>0</v>
      </c>
      <c r="O33" s="1">
        <f>SUMIFS('4.0'!O$6:O$20,GP_Direct,$A33)+SUMIFS('4.0'!O$56:O$70,GP_First,$A33)+SUMIFS('4.0'!O$75:O$89,GP_Second,$A33)</f>
        <v>0</v>
      </c>
      <c r="P33" s="1">
        <f>SUMIFS('4.0'!P$6:P$20,GP_Direct,$A33)+SUMIFS('4.0'!P$56:P$70,GP_First,$A33)+SUMIFS('4.0'!P$75:P$89,GP_Second,$A33)</f>
        <v>0</v>
      </c>
      <c r="Q33" s="1">
        <f>SUMIFS('4.0'!Q$6:Q$20,GP_Direct,$A33)+SUMIFS('4.0'!Q$56:Q$70,GP_First,$A33)+SUMIFS('4.0'!Q$75:Q$89,GP_Second,$A33)</f>
        <v>0</v>
      </c>
      <c r="R33" s="10">
        <f>SUM(B33:Q33)</f>
        <v>4825167.5</v>
      </c>
    </row>
    <row r="34" spans="1:18" x14ac:dyDescent="0.3">
      <c r="A34" s="3" t="s">
        <v>214</v>
      </c>
      <c r="B34" s="10">
        <f t="shared" ref="B34:Q34" si="5">SUM(B31:B33)</f>
        <v>4452955.458333334</v>
      </c>
      <c r="C34" s="10">
        <f t="shared" si="5"/>
        <v>229526.91666666674</v>
      </c>
      <c r="D34" s="10">
        <f t="shared" si="5"/>
        <v>139866527.37</v>
      </c>
      <c r="E34" s="10">
        <f t="shared" si="5"/>
        <v>53067858.880000003</v>
      </c>
      <c r="F34" s="10">
        <f t="shared" si="5"/>
        <v>178304699.82306412</v>
      </c>
      <c r="G34" s="10">
        <f t="shared" si="5"/>
        <v>111352863.47202563</v>
      </c>
      <c r="H34" s="10">
        <f t="shared" si="5"/>
        <v>60475451.579910256</v>
      </c>
      <c r="I34" s="10">
        <f t="shared" si="5"/>
        <v>89590707</v>
      </c>
      <c r="J34" s="10">
        <f t="shared" si="5"/>
        <v>18277754.5</v>
      </c>
      <c r="K34" s="10">
        <f t="shared" si="5"/>
        <v>0</v>
      </c>
      <c r="L34" s="10">
        <f t="shared" si="5"/>
        <v>0</v>
      </c>
      <c r="M34" s="10">
        <f t="shared" si="5"/>
        <v>0</v>
      </c>
      <c r="N34" s="10">
        <f t="shared" si="5"/>
        <v>0</v>
      </c>
      <c r="O34" s="10">
        <f t="shared" si="5"/>
        <v>0</v>
      </c>
      <c r="P34" s="10">
        <f t="shared" si="5"/>
        <v>0</v>
      </c>
      <c r="Q34" s="10">
        <f t="shared" si="5"/>
        <v>10623103</v>
      </c>
      <c r="R34" s="10">
        <f>SUM(B34:Q34)</f>
        <v>666241448</v>
      </c>
    </row>
    <row r="35" spans="1:18" x14ac:dyDescent="0.3">
      <c r="A35" s="2" t="s">
        <v>206</v>
      </c>
    </row>
    <row r="36" spans="1:18" x14ac:dyDescent="0.3">
      <c r="A36" s="3" t="s">
        <v>13</v>
      </c>
      <c r="B36" s="1">
        <f>SUMIFS('4.0'!B$6:B$20,GP_Direct,$A36)+SUMIFS('4.0'!B$56:B$70,GP_First,$A36)+SUMIFS('4.0'!B$75:B$89,GP_Second,$A36)</f>
        <v>0</v>
      </c>
      <c r="C36" s="1">
        <f>SUMIFS('4.0'!C$6:C$20,GP_Direct,$A36)+SUMIFS('4.0'!C$56:C$70,GP_First,$A36)+SUMIFS('4.0'!C$75:C$89,GP_Second,$A36)</f>
        <v>0</v>
      </c>
      <c r="D36" s="1">
        <f>SUMIFS('4.0'!D$6:D$20,GP_Direct,$A36)+SUMIFS('4.0'!D$56:D$70,GP_First,$A36)+SUMIFS('4.0'!D$75:D$89,GP_Second,$A36)</f>
        <v>42841558.994999997</v>
      </c>
      <c r="E36" s="1">
        <f>SUMIFS('4.0'!E$6:E$20,GP_Direct,$A36)+SUMIFS('4.0'!E$56:E$70,GP_First,$A36)+SUMIFS('4.0'!E$75:E$89,GP_Second,$A36)</f>
        <v>48385376.505000003</v>
      </c>
      <c r="F36" s="1">
        <f>SUMIFS('4.0'!F$6:F$20,GP_Direct,$A36)+SUMIFS('4.0'!F$56:F$70,GP_First,$A36)+SUMIFS('4.0'!F$75:F$89,GP_Second,$A36)</f>
        <v>0</v>
      </c>
      <c r="G36" s="1">
        <f>SUMIFS('4.0'!G$6:G$20,GP_Direct,$A36)+SUMIFS('4.0'!G$56:G$70,GP_First,$A36)+SUMIFS('4.0'!G$75:G$89,GP_Second,$A36)</f>
        <v>0</v>
      </c>
      <c r="H36" s="1">
        <f>SUMIFS('4.0'!H$6:H$20,GP_Direct,$A36)+SUMIFS('4.0'!H$56:H$70,GP_First,$A36)+SUMIFS('4.0'!H$75:H$89,GP_Second,$A36)</f>
        <v>0</v>
      </c>
      <c r="I36" s="1">
        <f>SUMIFS('4.0'!I$6:I$20,GP_Direct,$A36)+SUMIFS('4.0'!I$56:I$70,GP_First,$A36)+SUMIFS('4.0'!I$75:I$89,GP_Second,$A36)</f>
        <v>0</v>
      </c>
      <c r="J36" s="1">
        <f>SUMIFS('4.0'!J$6:J$20,GP_Direct,$A36)+SUMIFS('4.0'!J$56:J$70,GP_First,$A36)+SUMIFS('4.0'!J$75:J$89,GP_Second,$A36)</f>
        <v>0</v>
      </c>
      <c r="K36" s="1">
        <f>SUMIFS('4.0'!K$6:K$20,GP_Direct,$A36)+SUMIFS('4.0'!K$56:K$70,GP_First,$A36)+SUMIFS('4.0'!K$75:K$89,GP_Second,$A36)</f>
        <v>0</v>
      </c>
      <c r="L36" s="1">
        <f>SUMIFS('4.0'!L$6:L$20,GP_Direct,$A36)+SUMIFS('4.0'!L$56:L$70,GP_First,$A36)+SUMIFS('4.0'!L$75:L$89,GP_Second,$A36)</f>
        <v>0</v>
      </c>
      <c r="M36" s="1">
        <f>SUMIFS('4.0'!M$6:M$20,GP_Direct,$A36)+SUMIFS('4.0'!M$56:M$70,GP_First,$A36)+SUMIFS('4.0'!M$75:M$89,GP_Second,$A36)</f>
        <v>0</v>
      </c>
      <c r="N36" s="1">
        <f>SUMIFS('4.0'!N$6:N$20,GP_Direct,$A36)+SUMIFS('4.0'!N$56:N$70,GP_First,$A36)+SUMIFS('4.0'!N$75:N$89,GP_Second,$A36)</f>
        <v>0</v>
      </c>
      <c r="O36" s="1">
        <f>SUMIFS('4.0'!O$6:O$20,GP_Direct,$A36)+SUMIFS('4.0'!O$56:O$70,GP_First,$A36)+SUMIFS('4.0'!O$75:O$89,GP_Second,$A36)</f>
        <v>0</v>
      </c>
      <c r="P36" s="1">
        <f>SUMIFS('4.0'!P$6:P$20,GP_Direct,$A36)+SUMIFS('4.0'!P$56:P$70,GP_First,$A36)+SUMIFS('4.0'!P$75:P$89,GP_Second,$A36)</f>
        <v>0</v>
      </c>
      <c r="Q36" s="1">
        <f>SUMIFS('4.0'!Q$6:Q$20,GP_Direct,$A36)+SUMIFS('4.0'!Q$56:Q$70,GP_First,$A36)+SUMIFS('4.0'!Q$75:Q$89,GP_Second,$A36)</f>
        <v>0</v>
      </c>
      <c r="R36" s="10">
        <f t="shared" ref="R36:R47" si="6">SUM(B36:Q36)</f>
        <v>91226935.5</v>
      </c>
    </row>
    <row r="37" spans="1:18" x14ac:dyDescent="0.3">
      <c r="A37" s="3" t="s">
        <v>140</v>
      </c>
      <c r="B37" s="1">
        <f>SUMIFS('4.0'!B$6:B$20,GP_Direct,$A37)+SUMIFS('4.0'!B$56:B$70,GP_First,$A37)+SUMIFS('4.0'!B$75:B$89,GP_Second,$A37)</f>
        <v>0</v>
      </c>
      <c r="C37" s="1">
        <f>SUMIFS('4.0'!C$6:C$20,GP_Direct,$A37)+SUMIFS('4.0'!C$56:C$70,GP_First,$A37)+SUMIFS('4.0'!C$75:C$89,GP_Second,$A37)</f>
        <v>0</v>
      </c>
      <c r="D37" s="1">
        <f>SUMIFS('4.0'!D$6:D$20,GP_Direct,$A37)+SUMIFS('4.0'!D$56:D$70,GP_First,$A37)+SUMIFS('4.0'!D$75:D$89,GP_Second,$A37)</f>
        <v>87799318.5</v>
      </c>
      <c r="E37" s="1">
        <f>SUMIFS('4.0'!E$6:E$20,GP_Direct,$A37)+SUMIFS('4.0'!E$56:E$70,GP_First,$A37)+SUMIFS('4.0'!E$75:E$89,GP_Second,$A37)</f>
        <v>0</v>
      </c>
      <c r="F37" s="1">
        <f>SUMIFS('4.0'!F$6:F$20,GP_Direct,$A37)+SUMIFS('4.0'!F$56:F$70,GP_First,$A37)+SUMIFS('4.0'!F$75:F$89,GP_Second,$A37)</f>
        <v>176599591.875</v>
      </c>
      <c r="G37" s="1">
        <f>SUMIFS('4.0'!G$6:G$20,GP_Direct,$A37)+SUMIFS('4.0'!G$56:G$70,GP_First,$A37)+SUMIFS('4.0'!G$75:G$89,GP_Second,$A37)</f>
        <v>109702410</v>
      </c>
      <c r="H37" s="1">
        <f>SUMIFS('4.0'!H$6:H$20,GP_Direct,$A37)+SUMIFS('4.0'!H$56:H$70,GP_First,$A37)+SUMIFS('4.0'!H$75:H$89,GP_Second,$A37)</f>
        <v>58866530.625</v>
      </c>
      <c r="I37" s="1">
        <f>SUMIFS('4.0'!I$6:I$20,GP_Direct,$A37)+SUMIFS('4.0'!I$56:I$70,GP_First,$A37)+SUMIFS('4.0'!I$75:I$89,GP_Second,$A37)</f>
        <v>89590707</v>
      </c>
      <c r="J37" s="1">
        <f>SUMIFS('4.0'!J$6:J$20,GP_Direct,$A37)+SUMIFS('4.0'!J$56:J$70,GP_First,$A37)+SUMIFS('4.0'!J$75:J$89,GP_Second,$A37)</f>
        <v>0</v>
      </c>
      <c r="K37" s="1">
        <f>SUMIFS('4.0'!K$6:K$20,GP_Direct,$A37)+SUMIFS('4.0'!K$56:K$70,GP_First,$A37)+SUMIFS('4.0'!K$75:K$89,GP_Second,$A37)</f>
        <v>0</v>
      </c>
      <c r="L37" s="1">
        <f>SUMIFS('4.0'!L$6:L$20,GP_Direct,$A37)+SUMIFS('4.0'!L$56:L$70,GP_First,$A37)+SUMIFS('4.0'!L$75:L$89,GP_Second,$A37)</f>
        <v>0</v>
      </c>
      <c r="M37" s="1">
        <f>SUMIFS('4.0'!M$6:M$20,GP_Direct,$A37)+SUMIFS('4.0'!M$56:M$70,GP_First,$A37)+SUMIFS('4.0'!M$75:M$89,GP_Second,$A37)</f>
        <v>0</v>
      </c>
      <c r="N37" s="1">
        <f>SUMIFS('4.0'!N$6:N$20,GP_Direct,$A37)+SUMIFS('4.0'!N$56:N$70,GP_First,$A37)+SUMIFS('4.0'!N$75:N$89,GP_Second,$A37)</f>
        <v>0</v>
      </c>
      <c r="O37" s="1">
        <f>SUMIFS('4.0'!O$6:O$20,GP_Direct,$A37)+SUMIFS('4.0'!O$56:O$70,GP_First,$A37)+SUMIFS('4.0'!O$75:O$89,GP_Second,$A37)</f>
        <v>0</v>
      </c>
      <c r="P37" s="1">
        <f>SUMIFS('4.0'!P$6:P$20,GP_Direct,$A37)+SUMIFS('4.0'!P$56:P$70,GP_First,$A37)+SUMIFS('4.0'!P$75:P$89,GP_Second,$A37)</f>
        <v>0</v>
      </c>
      <c r="Q37" s="1">
        <f>SUMIFS('4.0'!Q$6:Q$20,GP_Direct,$A37)+SUMIFS('4.0'!Q$56:Q$70,GP_First,$A37)+SUMIFS('4.0'!Q$75:Q$89,GP_Second,$A37)</f>
        <v>0</v>
      </c>
      <c r="R37" s="10">
        <f t="shared" si="6"/>
        <v>522558558</v>
      </c>
    </row>
    <row r="38" spans="1:18" x14ac:dyDescent="0.3">
      <c r="A38" s="3" t="s">
        <v>142</v>
      </c>
      <c r="B38" s="1">
        <f>SUMIFS('4.0'!B$6:B$20,GP_Direct,$A38)+SUMIFS('4.0'!B$56:B$70,GP_First,$A38)+SUMIFS('4.0'!B$75:B$89,GP_Second,$A38)</f>
        <v>0</v>
      </c>
      <c r="C38" s="1">
        <f>SUMIFS('4.0'!C$6:C$20,GP_Direct,$A38)+SUMIFS('4.0'!C$56:C$70,GP_First,$A38)+SUMIFS('4.0'!C$75:C$89,GP_Second,$A38)</f>
        <v>0</v>
      </c>
      <c r="D38" s="1">
        <f>SUMIFS('4.0'!D$6:D$20,GP_Direct,$A38)+SUMIFS('4.0'!D$56:D$70,GP_First,$A38)+SUMIFS('4.0'!D$75:D$89,GP_Second,$A38)</f>
        <v>0</v>
      </c>
      <c r="E38" s="1">
        <f>SUMIFS('4.0'!E$6:E$20,GP_Direct,$A38)+SUMIFS('4.0'!E$56:E$70,GP_First,$A38)+SUMIFS('4.0'!E$75:E$89,GP_Second,$A38)</f>
        <v>0</v>
      </c>
      <c r="F38" s="1">
        <f>SUMIFS('4.0'!F$6:F$20,GP_Direct,$A38)+SUMIFS('4.0'!F$56:F$70,GP_First,$A38)+SUMIFS('4.0'!F$75:F$89,GP_Second,$A38)</f>
        <v>0</v>
      </c>
      <c r="G38" s="1">
        <f>SUMIFS('4.0'!G$6:G$20,GP_Direct,$A38)+SUMIFS('4.0'!G$56:G$70,GP_First,$A38)+SUMIFS('4.0'!G$75:G$89,GP_Second,$A38)</f>
        <v>0</v>
      </c>
      <c r="H38" s="1">
        <f>SUMIFS('4.0'!H$6:H$20,GP_Direct,$A38)+SUMIFS('4.0'!H$56:H$70,GP_First,$A38)+SUMIFS('4.0'!H$75:H$89,GP_Second,$A38)</f>
        <v>0</v>
      </c>
      <c r="I38" s="1">
        <f>SUMIFS('4.0'!I$6:I$20,GP_Direct,$A38)+SUMIFS('4.0'!I$56:I$70,GP_First,$A38)+SUMIFS('4.0'!I$75:I$89,GP_Second,$A38)</f>
        <v>0</v>
      </c>
      <c r="J38" s="1">
        <f>SUMIFS('4.0'!J$6:J$20,GP_Direct,$A38)+SUMIFS('4.0'!J$56:J$70,GP_First,$A38)+SUMIFS('4.0'!J$75:J$89,GP_Second,$A38)</f>
        <v>18277754.5</v>
      </c>
      <c r="K38" s="1">
        <f>SUMIFS('4.0'!K$6:K$20,GP_Direct,$A38)+SUMIFS('4.0'!K$56:K$70,GP_First,$A38)+SUMIFS('4.0'!K$75:K$89,GP_Second,$A38)</f>
        <v>0</v>
      </c>
      <c r="L38" s="1">
        <f>SUMIFS('4.0'!L$6:L$20,GP_Direct,$A38)+SUMIFS('4.0'!L$56:L$70,GP_First,$A38)+SUMIFS('4.0'!L$75:L$89,GP_Second,$A38)</f>
        <v>0</v>
      </c>
      <c r="M38" s="1">
        <f>SUMIFS('4.0'!M$6:M$20,GP_Direct,$A38)+SUMIFS('4.0'!M$56:M$70,GP_First,$A38)+SUMIFS('4.0'!M$75:M$89,GP_Second,$A38)</f>
        <v>0</v>
      </c>
      <c r="N38" s="1">
        <f>SUMIFS('4.0'!N$6:N$20,GP_Direct,$A38)+SUMIFS('4.0'!N$56:N$70,GP_First,$A38)+SUMIFS('4.0'!N$75:N$89,GP_Second,$A38)</f>
        <v>0</v>
      </c>
      <c r="O38" s="1">
        <f>SUMIFS('4.0'!O$6:O$20,GP_Direct,$A38)+SUMIFS('4.0'!O$56:O$70,GP_First,$A38)+SUMIFS('4.0'!O$75:O$89,GP_Second,$A38)</f>
        <v>0</v>
      </c>
      <c r="P38" s="1">
        <f>SUMIFS('4.0'!P$6:P$20,GP_Direct,$A38)+SUMIFS('4.0'!P$56:P$70,GP_First,$A38)+SUMIFS('4.0'!P$75:P$89,GP_Second,$A38)</f>
        <v>0</v>
      </c>
      <c r="Q38" s="1">
        <f>SUMIFS('4.0'!Q$6:Q$20,GP_Direct,$A38)+SUMIFS('4.0'!Q$56:Q$70,GP_First,$A38)+SUMIFS('4.0'!Q$75:Q$89,GP_Second,$A38)</f>
        <v>0</v>
      </c>
      <c r="R38" s="10">
        <f t="shared" si="6"/>
        <v>18277754.5</v>
      </c>
    </row>
    <row r="39" spans="1:18" x14ac:dyDescent="0.3">
      <c r="A39" s="3" t="s">
        <v>143</v>
      </c>
      <c r="B39" s="1">
        <f>SUMIFS('4.0'!B$6:B$20,GP_Direct,$A39)+SUMIFS('4.0'!B$56:B$70,GP_First,$A39)+SUMIFS('4.0'!B$75:B$89,GP_Second,$A39)</f>
        <v>0</v>
      </c>
      <c r="C39" s="1">
        <f>SUMIFS('4.0'!C$6:C$20,GP_Direct,$A39)+SUMIFS('4.0'!C$56:C$70,GP_First,$A39)+SUMIFS('4.0'!C$75:C$89,GP_Second,$A39)</f>
        <v>0</v>
      </c>
      <c r="D39" s="1">
        <f>SUMIFS('4.0'!D$6:D$20,GP_Direct,$A39)+SUMIFS('4.0'!D$56:D$70,GP_First,$A39)+SUMIFS('4.0'!D$75:D$89,GP_Second,$A39)</f>
        <v>0</v>
      </c>
      <c r="E39" s="1">
        <f>SUMIFS('4.0'!E$6:E$20,GP_Direct,$A39)+SUMIFS('4.0'!E$56:E$70,GP_First,$A39)+SUMIFS('4.0'!E$75:E$89,GP_Second,$A39)</f>
        <v>0</v>
      </c>
      <c r="F39" s="1">
        <f>SUMIFS('4.0'!F$6:F$20,GP_Direct,$A39)+SUMIFS('4.0'!F$56:F$70,GP_First,$A39)+SUMIFS('4.0'!F$75:F$89,GP_Second,$A39)</f>
        <v>0</v>
      </c>
      <c r="G39" s="1">
        <f>SUMIFS('4.0'!G$6:G$20,GP_Direct,$A39)+SUMIFS('4.0'!G$56:G$70,GP_First,$A39)+SUMIFS('4.0'!G$75:G$89,GP_Second,$A39)</f>
        <v>0</v>
      </c>
      <c r="H39" s="1">
        <f>SUMIFS('4.0'!H$6:H$20,GP_Direct,$A39)+SUMIFS('4.0'!H$56:H$70,GP_First,$A39)+SUMIFS('4.0'!H$75:H$89,GP_Second,$A39)</f>
        <v>0</v>
      </c>
      <c r="I39" s="1">
        <f>SUMIFS('4.0'!I$6:I$20,GP_Direct,$A39)+SUMIFS('4.0'!I$56:I$70,GP_First,$A39)+SUMIFS('4.0'!I$75:I$89,GP_Second,$A39)</f>
        <v>0</v>
      </c>
      <c r="J39" s="1">
        <f>SUMIFS('4.0'!J$6:J$20,GP_Direct,$A39)+SUMIFS('4.0'!J$56:J$70,GP_First,$A39)+SUMIFS('4.0'!J$75:J$89,GP_Second,$A39)</f>
        <v>0</v>
      </c>
      <c r="K39" s="1">
        <f>SUMIFS('4.0'!K$6:K$20,GP_Direct,$A39)+SUMIFS('4.0'!K$56:K$70,GP_First,$A39)+SUMIFS('4.0'!K$75:K$89,GP_Second,$A39)</f>
        <v>0</v>
      </c>
      <c r="L39" s="1">
        <f>SUMIFS('4.0'!L$6:L$20,GP_Direct,$A39)+SUMIFS('4.0'!L$56:L$70,GP_First,$A39)+SUMIFS('4.0'!L$75:L$89,GP_Second,$A39)</f>
        <v>0</v>
      </c>
      <c r="M39" s="1">
        <f>SUMIFS('4.0'!M$6:M$20,GP_Direct,$A39)+SUMIFS('4.0'!M$56:M$70,GP_First,$A39)+SUMIFS('4.0'!M$75:M$89,GP_Second,$A39)</f>
        <v>0</v>
      </c>
      <c r="N39" s="1">
        <f>SUMIFS('4.0'!N$6:N$20,GP_Direct,$A39)+SUMIFS('4.0'!N$56:N$70,GP_First,$A39)+SUMIFS('4.0'!N$75:N$89,GP_Second,$A39)</f>
        <v>0</v>
      </c>
      <c r="O39" s="1">
        <f>SUMIFS('4.0'!O$6:O$20,GP_Direct,$A39)+SUMIFS('4.0'!O$56:O$70,GP_First,$A39)+SUMIFS('4.0'!O$75:O$89,GP_Second,$A39)</f>
        <v>0</v>
      </c>
      <c r="P39" s="1">
        <f>SUMIFS('4.0'!P$6:P$20,GP_Direct,$A39)+SUMIFS('4.0'!P$56:P$70,GP_First,$A39)+SUMIFS('4.0'!P$75:P$89,GP_Second,$A39)</f>
        <v>0</v>
      </c>
      <c r="Q39" s="1">
        <f>SUMIFS('4.0'!Q$6:Q$20,GP_Direct,$A39)+SUMIFS('4.0'!Q$56:Q$70,GP_First,$A39)+SUMIFS('4.0'!Q$75:Q$89,GP_Second,$A39)</f>
        <v>10623103</v>
      </c>
      <c r="R39" s="10">
        <f t="shared" si="6"/>
        <v>10623103</v>
      </c>
    </row>
    <row r="40" spans="1:18" x14ac:dyDescent="0.3">
      <c r="A40" s="3" t="s">
        <v>238</v>
      </c>
      <c r="B40" s="1">
        <f>SUMIFS('4.0'!B$6:B$20,GP_Direct,$A40)+SUMIFS('4.0'!B$56:B$70,GP_First,$A40)+SUMIFS('4.0'!B$75:B$89,GP_Second,$A40)</f>
        <v>0</v>
      </c>
      <c r="C40" s="1">
        <f>SUMIFS('4.0'!C$6:C$20,GP_Direct,$A40)+SUMIFS('4.0'!C$56:C$70,GP_First,$A40)+SUMIFS('4.0'!C$75:C$89,GP_Second,$A40)</f>
        <v>0</v>
      </c>
      <c r="D40" s="1">
        <f>SUMIFS('4.0'!D$6:D$20,GP_Direct,$A40)+SUMIFS('4.0'!D$56:D$70,GP_First,$A40)+SUMIFS('4.0'!D$75:D$89,GP_Second,$A40)</f>
        <v>4543167.5</v>
      </c>
      <c r="E40" s="1">
        <f>SUMIFS('4.0'!E$6:E$20,GP_Direct,$A40)+SUMIFS('4.0'!E$56:E$70,GP_First,$A40)+SUMIFS('4.0'!E$75:E$89,GP_Second,$A40)</f>
        <v>0</v>
      </c>
      <c r="F40" s="1">
        <f>SUMIFS('4.0'!F$6:F$20,GP_Direct,$A40)+SUMIFS('4.0'!F$56:F$70,GP_First,$A40)+SUMIFS('4.0'!F$75:F$89,GP_Second,$A40)</f>
        <v>144280.48973076654</v>
      </c>
      <c r="G40" s="1">
        <f>SUMIFS('4.0'!G$6:G$20,GP_Direct,$A40)+SUMIFS('4.0'!G$56:G$70,GP_First,$A40)+SUMIFS('4.0'!G$75:G$89,GP_Second,$A40)</f>
        <v>89626.013692311317</v>
      </c>
      <c r="H40" s="1">
        <f>SUMIFS('4.0'!H$6:H$20,GP_Direct,$A40)+SUMIFS('4.0'!H$56:H$70,GP_First,$A40)+SUMIFS('4.0'!H$75:H$89,GP_Second,$A40)</f>
        <v>48093.496576922174</v>
      </c>
      <c r="I40" s="1">
        <f>SUMIFS('4.0'!I$6:I$20,GP_Direct,$A40)+SUMIFS('4.0'!I$56:I$70,GP_First,$A40)+SUMIFS('4.0'!I$75:I$89,GP_Second,$A40)</f>
        <v>0</v>
      </c>
      <c r="J40" s="1">
        <f>SUMIFS('4.0'!J$6:J$20,GP_Direct,$A40)+SUMIFS('4.0'!J$56:J$70,GP_First,$A40)+SUMIFS('4.0'!J$75:J$89,GP_Second,$A40)</f>
        <v>0</v>
      </c>
      <c r="K40" s="1">
        <f>SUMIFS('4.0'!K$6:K$20,GP_Direct,$A40)+SUMIFS('4.0'!K$56:K$70,GP_First,$A40)+SUMIFS('4.0'!K$75:K$89,GP_Second,$A40)</f>
        <v>0</v>
      </c>
      <c r="L40" s="1">
        <f>SUMIFS('4.0'!L$6:L$20,GP_Direct,$A40)+SUMIFS('4.0'!L$56:L$70,GP_First,$A40)+SUMIFS('4.0'!L$75:L$89,GP_Second,$A40)</f>
        <v>0</v>
      </c>
      <c r="M40" s="1">
        <f>SUMIFS('4.0'!M$6:M$20,GP_Direct,$A40)+SUMIFS('4.0'!M$56:M$70,GP_First,$A40)+SUMIFS('4.0'!M$75:M$89,GP_Second,$A40)</f>
        <v>0</v>
      </c>
      <c r="N40" s="1">
        <f>SUMIFS('4.0'!N$6:N$20,GP_Direct,$A40)+SUMIFS('4.0'!N$56:N$70,GP_First,$A40)+SUMIFS('4.0'!N$75:N$89,GP_Second,$A40)</f>
        <v>0</v>
      </c>
      <c r="O40" s="1">
        <f>SUMIFS('4.0'!O$6:O$20,GP_Direct,$A40)+SUMIFS('4.0'!O$56:O$70,GP_First,$A40)+SUMIFS('4.0'!O$75:O$89,GP_Second,$A40)</f>
        <v>0</v>
      </c>
      <c r="P40" s="1">
        <f>SUMIFS('4.0'!P$6:P$20,GP_Direct,$A40)+SUMIFS('4.0'!P$56:P$70,GP_First,$A40)+SUMIFS('4.0'!P$75:P$89,GP_Second,$A40)</f>
        <v>0</v>
      </c>
      <c r="Q40" s="1">
        <f>SUMIFS('4.0'!Q$6:Q$20,GP_Direct,$A40)+SUMIFS('4.0'!Q$56:Q$70,GP_First,$A40)+SUMIFS('4.0'!Q$75:Q$89,GP_Second,$A40)</f>
        <v>0</v>
      </c>
      <c r="R40" s="10">
        <f t="shared" si="6"/>
        <v>4825167.5</v>
      </c>
    </row>
    <row r="41" spans="1:18" x14ac:dyDescent="0.3">
      <c r="A41" s="3" t="s">
        <v>214</v>
      </c>
      <c r="B41" s="10">
        <f t="shared" ref="B41:Q41" si="7">SUM(B36:B40)</f>
        <v>0</v>
      </c>
      <c r="C41" s="10">
        <f t="shared" si="7"/>
        <v>0</v>
      </c>
      <c r="D41" s="10">
        <f t="shared" si="7"/>
        <v>135184044.995</v>
      </c>
      <c r="E41" s="10">
        <f t="shared" si="7"/>
        <v>48385376.505000003</v>
      </c>
      <c r="F41" s="10">
        <f t="shared" si="7"/>
        <v>176743872.36473078</v>
      </c>
      <c r="G41" s="10">
        <f t="shared" si="7"/>
        <v>109792036.0136923</v>
      </c>
      <c r="H41" s="10">
        <f t="shared" si="7"/>
        <v>58914624.12157692</v>
      </c>
      <c r="I41" s="10">
        <f t="shared" si="7"/>
        <v>89590707</v>
      </c>
      <c r="J41" s="10">
        <f t="shared" si="7"/>
        <v>18277754.5</v>
      </c>
      <c r="K41" s="10">
        <f t="shared" si="7"/>
        <v>0</v>
      </c>
      <c r="L41" s="10">
        <f t="shared" si="7"/>
        <v>0</v>
      </c>
      <c r="M41" s="10">
        <f t="shared" si="7"/>
        <v>0</v>
      </c>
      <c r="N41" s="10">
        <f t="shared" si="7"/>
        <v>0</v>
      </c>
      <c r="O41" s="10">
        <f t="shared" si="7"/>
        <v>0</v>
      </c>
      <c r="P41" s="10">
        <f t="shared" si="7"/>
        <v>0</v>
      </c>
      <c r="Q41" s="10">
        <f t="shared" si="7"/>
        <v>10623103</v>
      </c>
      <c r="R41" s="10">
        <f t="shared" si="6"/>
        <v>647511518.5</v>
      </c>
    </row>
    <row r="42" spans="1:18" x14ac:dyDescent="0.3">
      <c r="A42" s="2" t="s">
        <v>191</v>
      </c>
      <c r="F42" s="1">
        <f>F41</f>
        <v>176743872.36473078</v>
      </c>
      <c r="H42" s="1">
        <f>H41</f>
        <v>58914624.12157692</v>
      </c>
      <c r="I42" s="1">
        <f>I41</f>
        <v>89590707</v>
      </c>
      <c r="Q42" s="1">
        <f>Q41</f>
        <v>10623103</v>
      </c>
      <c r="R42" s="10">
        <f t="shared" si="6"/>
        <v>335872306.48630768</v>
      </c>
    </row>
    <row r="43" spans="1:18" x14ac:dyDescent="0.3">
      <c r="A43" s="2" t="s">
        <v>207</v>
      </c>
      <c r="E43" s="1">
        <f>E41</f>
        <v>48385376.505000003</v>
      </c>
      <c r="F43" s="1">
        <f>F41</f>
        <v>176743872.36473078</v>
      </c>
      <c r="G43" s="1">
        <f>G41</f>
        <v>109792036.0136923</v>
      </c>
      <c r="H43" s="1">
        <f>H41</f>
        <v>58914624.12157692</v>
      </c>
      <c r="R43" s="10">
        <f t="shared" si="6"/>
        <v>393835909.005</v>
      </c>
    </row>
    <row r="44" spans="1:18" x14ac:dyDescent="0.3">
      <c r="A44" s="2" t="s">
        <v>208</v>
      </c>
      <c r="D44" s="1">
        <f t="shared" ref="D44:Q44" si="8">D34</f>
        <v>139866527.37</v>
      </c>
      <c r="E44" s="1">
        <f t="shared" si="8"/>
        <v>53067858.880000003</v>
      </c>
      <c r="F44" s="1">
        <f t="shared" si="8"/>
        <v>178304699.82306412</v>
      </c>
      <c r="G44" s="1">
        <f t="shared" si="8"/>
        <v>111352863.47202563</v>
      </c>
      <c r="H44" s="1">
        <f t="shared" si="8"/>
        <v>60475451.579910256</v>
      </c>
      <c r="I44" s="1">
        <f t="shared" si="8"/>
        <v>89590707</v>
      </c>
      <c r="J44" s="1">
        <f t="shared" si="8"/>
        <v>18277754.5</v>
      </c>
      <c r="K44" s="1">
        <f t="shared" si="8"/>
        <v>0</v>
      </c>
      <c r="L44" s="1">
        <f t="shared" si="8"/>
        <v>0</v>
      </c>
      <c r="M44" s="1">
        <f t="shared" si="8"/>
        <v>0</v>
      </c>
      <c r="N44" s="1">
        <f t="shared" si="8"/>
        <v>0</v>
      </c>
      <c r="O44" s="1">
        <f t="shared" si="8"/>
        <v>0</v>
      </c>
      <c r="P44" s="1">
        <f t="shared" si="8"/>
        <v>0</v>
      </c>
      <c r="Q44" s="1">
        <f t="shared" si="8"/>
        <v>10623103</v>
      </c>
      <c r="R44" s="10">
        <f t="shared" si="6"/>
        <v>661558965.625</v>
      </c>
    </row>
    <row r="45" spans="1:18" x14ac:dyDescent="0.3">
      <c r="A45" s="2" t="s">
        <v>209</v>
      </c>
      <c r="B45" s="1">
        <f>SUBTOTAL(9,'4.0'!B113:B127)</f>
        <v>65646541.998303093</v>
      </c>
      <c r="C45" s="1">
        <f>SUBTOTAL(9,'4.0'!C113:C127)</f>
        <v>955120.89857055643</v>
      </c>
      <c r="D45" s="1">
        <f>SUBTOTAL(9,'4.0'!D113:D127)</f>
        <v>147185825.26733458</v>
      </c>
      <c r="E45" s="1">
        <f>SUBTOTAL(9,'4.0'!E113:E127)</f>
        <v>58214948.580080606</v>
      </c>
      <c r="F45" s="1">
        <f>SUBTOTAL(9,'4.0'!F113:F127)</f>
        <v>192044053.00839376</v>
      </c>
      <c r="G45" s="1">
        <f>SUBTOTAL(9,'4.0'!G113:G127)</f>
        <v>125649924.43994193</v>
      </c>
      <c r="H45" s="1">
        <f>SUBTOTAL(9,'4.0'!H113:H127)</f>
        <v>65439106.458735168</v>
      </c>
      <c r="I45" s="1">
        <f>SUBTOTAL(9,'4.0'!I113:I127)</f>
        <v>89982698.544107601</v>
      </c>
      <c r="J45" s="1">
        <f>SUBTOTAL(9,'4.0'!J113:J127)</f>
        <v>19192962.912343629</v>
      </c>
      <c r="K45" s="1">
        <f>SUBTOTAL(9,'4.0'!K113:K127)</f>
        <v>1450277.3265072191</v>
      </c>
      <c r="L45" s="1">
        <f>SUBTOTAL(9,'4.0'!L113:L127)</f>
        <v>900154.7393042919</v>
      </c>
      <c r="M45" s="1">
        <f>SUBTOTAL(9,'4.0'!M113:M127)</f>
        <v>1259012.2963955184</v>
      </c>
      <c r="N45" s="1">
        <f>SUBTOTAL(9,'4.0'!N113:N127)</f>
        <v>293927.66439551825</v>
      </c>
      <c r="O45" s="1">
        <f>SUBTOTAL(9,'4.0'!O113:O127)</f>
        <v>293927.66439551825</v>
      </c>
      <c r="P45" s="1">
        <f>SUBTOTAL(9,'4.0'!P113:P127)</f>
        <v>39958.024395518187</v>
      </c>
      <c r="Q45" s="1">
        <f>SUBTOTAL(9,'4.0'!Q113:Q127)</f>
        <v>10704802.946795505</v>
      </c>
      <c r="R45" s="10">
        <f t="shared" si="6"/>
        <v>779253242.7700001</v>
      </c>
    </row>
    <row r="46" spans="1:18" x14ac:dyDescent="0.3">
      <c r="A46" s="25" t="s">
        <v>236</v>
      </c>
      <c r="B46" s="1">
        <f>'3.5'!B83</f>
        <v>0</v>
      </c>
      <c r="C46" s="1">
        <f>'3.5'!C83</f>
        <v>0</v>
      </c>
      <c r="D46" s="1">
        <f>'3.5'!D83</f>
        <v>0</v>
      </c>
      <c r="E46" s="1">
        <f>'3.5'!E83</f>
        <v>0</v>
      </c>
      <c r="F46" s="1">
        <f>'3.5'!F83</f>
        <v>176743872.36473078</v>
      </c>
      <c r="G46" s="1">
        <f>'3.5'!G83</f>
        <v>109792036.0136923</v>
      </c>
      <c r="H46" s="1">
        <f>'3.5'!H83</f>
        <v>58914624.12157692</v>
      </c>
      <c r="I46" s="1">
        <f>'3.5'!I83</f>
        <v>89590707</v>
      </c>
      <c r="J46" s="1">
        <f>'3.5'!J83</f>
        <v>18277754.5</v>
      </c>
      <c r="K46" s="1">
        <f>'3.5'!K83</f>
        <v>0</v>
      </c>
      <c r="L46" s="1">
        <f>'3.5'!L83</f>
        <v>0</v>
      </c>
      <c r="M46" s="1">
        <f>'3.5'!M83</f>
        <v>0</v>
      </c>
      <c r="N46" s="1">
        <f>'3.5'!N83</f>
        <v>0</v>
      </c>
      <c r="O46" s="1">
        <f>'3.5'!O83</f>
        <v>0</v>
      </c>
      <c r="P46" s="1">
        <f>'3.5'!P83</f>
        <v>0</v>
      </c>
      <c r="Q46" s="1">
        <f>'3.5'!Q83</f>
        <v>10623103</v>
      </c>
      <c r="R46" s="10">
        <f t="shared" si="6"/>
        <v>463942097</v>
      </c>
    </row>
    <row r="47" spans="1:18" x14ac:dyDescent="0.3">
      <c r="A47" s="25" t="s">
        <v>138</v>
      </c>
      <c r="B47" s="1">
        <f>'3.6'!B80</f>
        <v>2498060.3540943526</v>
      </c>
      <c r="C47" s="1">
        <f>'3.6'!C80</f>
        <v>76664.168248472502</v>
      </c>
      <c r="D47" s="1">
        <f>'3.6'!D80</f>
        <v>3940498.6155117769</v>
      </c>
      <c r="E47" s="1">
        <f>'3.6'!E80</f>
        <v>1439464.7998733614</v>
      </c>
      <c r="F47" s="1">
        <f>'3.6'!F80</f>
        <v>6699363.4859365933</v>
      </c>
      <c r="G47" s="1">
        <f>'3.6'!G80</f>
        <v>5058308.0558390571</v>
      </c>
      <c r="H47" s="1">
        <f>'3.6'!H80</f>
        <v>2310581.0578070334</v>
      </c>
      <c r="I47" s="1">
        <f>'3.6'!I80</f>
        <v>2964133.5313261421</v>
      </c>
      <c r="J47" s="1">
        <f>'3.6'!J80</f>
        <v>1254111.9746283956</v>
      </c>
      <c r="K47" s="1">
        <f>'3.6'!K80</f>
        <v>137440.88836610111</v>
      </c>
      <c r="L47" s="1">
        <f>'3.6'!L80</f>
        <v>52501.039864766033</v>
      </c>
      <c r="M47" s="1">
        <f>'3.6'!M80</f>
        <v>34483.620111271404</v>
      </c>
      <c r="N47" s="1">
        <f>'3.6'!N80</f>
        <v>10452.724111271398</v>
      </c>
      <c r="O47" s="1">
        <f>'3.6'!O80</f>
        <v>10452.724111271398</v>
      </c>
      <c r="P47" s="1">
        <f>'3.6'!P80</f>
        <v>4128.8041112713981</v>
      </c>
      <c r="Q47" s="1">
        <f>'3.6'!Q80</f>
        <v>510708.15605886205</v>
      </c>
      <c r="R47" s="10">
        <f t="shared" si="6"/>
        <v>27001353.999999996</v>
      </c>
    </row>
    <row r="48" spans="1:18" x14ac:dyDescent="0.3">
      <c r="A48" s="1" t="s">
        <v>240</v>
      </c>
    </row>
    <row r="49" spans="1:18" x14ac:dyDescent="0.3">
      <c r="A49" s="3" t="s">
        <v>213</v>
      </c>
      <c r="B49" s="1">
        <f>SUM('3.4'!B16,'3.4'!B121)</f>
        <v>35648178.005141824</v>
      </c>
      <c r="C49" s="1">
        <f>SUM('3.4'!C16,'3.4'!C121)</f>
        <v>588162.14221297333</v>
      </c>
      <c r="D49" s="1">
        <f>SUM('3.4'!D16,'3.4'!D121)</f>
        <v>92668349.805432364</v>
      </c>
      <c r="E49" s="1">
        <f>SUM('3.4'!E16,'3.4'!E121)</f>
        <v>38196889.112741552</v>
      </c>
      <c r="F49" s="1">
        <f>SUM('3.4'!F16,'3.4'!F121)</f>
        <v>142520393.80634743</v>
      </c>
      <c r="G49" s="1">
        <f>SUM('3.4'!G16,'3.4'!G121)</f>
        <v>85530462.028838485</v>
      </c>
      <c r="H49" s="1">
        <f>SUM('3.4'!H16,'3.4'!H121)</f>
        <v>48137056.627893902</v>
      </c>
      <c r="I49" s="1">
        <f>SUM('3.4'!I16,'3.4'!I121)</f>
        <v>44535183.705322087</v>
      </c>
      <c r="J49" s="1">
        <f>SUM('3.4'!J16,'3.4'!J121)</f>
        <v>12801887.524200939</v>
      </c>
      <c r="K49" s="1">
        <f>SUM('3.4'!K16,'3.4'!K121)</f>
        <v>780768.25556490815</v>
      </c>
      <c r="L49" s="1">
        <f>SUM('3.4'!L16,'3.4'!L121)</f>
        <v>493932.06062503089</v>
      </c>
      <c r="M49" s="1">
        <f>SUM('3.4'!M16,'3.4'!M121)</f>
        <v>701916.9091462479</v>
      </c>
      <c r="N49" s="1">
        <f>SUM('3.4'!N16,'3.4'!N121)</f>
        <v>163185.81714624783</v>
      </c>
      <c r="O49" s="1">
        <f>SUM('3.4'!O16,'3.4'!O121)</f>
        <v>163185.81714624783</v>
      </c>
      <c r="P49" s="1">
        <f>SUM('3.4'!P16,'3.4'!P121)</f>
        <v>21414.477146247817</v>
      </c>
      <c r="Q49" s="1">
        <f>SUM('3.4'!Q16,'3.4'!Q121)</f>
        <v>8221168.6480935086</v>
      </c>
      <c r="R49" s="1">
        <f>SUM(B49:Q49)</f>
        <v>511172134.74300003</v>
      </c>
    </row>
    <row r="50" spans="1:18" x14ac:dyDescent="0.3">
      <c r="A50" s="3" t="s">
        <v>176</v>
      </c>
      <c r="B50" s="1">
        <f>SUM('3.4'!B17,'3.4'!B122)</f>
        <v>0</v>
      </c>
      <c r="C50" s="1">
        <f>SUM('3.4'!C17,'3.4'!C122)</f>
        <v>0</v>
      </c>
      <c r="D50" s="1">
        <f>SUM('3.4'!D17,'3.4'!D122)</f>
        <v>-10289012.5</v>
      </c>
      <c r="E50" s="1">
        <f>SUM('3.4'!E17,'3.4'!E122)</f>
        <v>0</v>
      </c>
      <c r="F50" s="1">
        <f>SUM('3.4'!F17,'3.4'!F122)</f>
        <v>-5956731.3501308486</v>
      </c>
      <c r="G50" s="1">
        <f>SUM('3.4'!G17,'3.4'!G122)</f>
        <v>-3700279.1336824982</v>
      </c>
      <c r="H50" s="1">
        <f>SUM('3.4'!H17,'3.4'!H122)</f>
        <v>-1985577.1167102826</v>
      </c>
      <c r="I50" s="1">
        <f>SUM('3.4'!I17,'3.4'!I122)</f>
        <v>-2936623.3975331718</v>
      </c>
      <c r="J50" s="1">
        <f>SUM('3.4'!J17,'3.4'!J122)</f>
        <v>-599112.15478037507</v>
      </c>
      <c r="K50" s="1">
        <f>SUM('3.4'!K17,'3.4'!K122)</f>
        <v>0</v>
      </c>
      <c r="L50" s="1">
        <f>SUM('3.4'!L17,'3.4'!L122)</f>
        <v>0</v>
      </c>
      <c r="M50" s="1">
        <f>SUM('3.4'!M17,'3.4'!M122)</f>
        <v>0</v>
      </c>
      <c r="N50" s="1">
        <f>SUM('3.4'!N17,'3.4'!N122)</f>
        <v>0</v>
      </c>
      <c r="O50" s="1">
        <f>SUM('3.4'!O17,'3.4'!O122)</f>
        <v>0</v>
      </c>
      <c r="P50" s="1">
        <f>SUM('3.4'!P17,'3.4'!P122)</f>
        <v>0</v>
      </c>
      <c r="Q50" s="1">
        <f>SUM('3.4'!Q17,'3.4'!Q122)</f>
        <v>-348206.34716282383</v>
      </c>
      <c r="R50" s="1">
        <f>SUM(B50:Q50)</f>
        <v>-25815542</v>
      </c>
    </row>
    <row r="51" spans="1:18" x14ac:dyDescent="0.3">
      <c r="A51" s="3" t="s">
        <v>187</v>
      </c>
      <c r="B51" s="1">
        <f>SUM('3.4'!B39,'3.4'!B144)</f>
        <v>123737.01743688658</v>
      </c>
      <c r="C51" s="1">
        <f>SUM('3.4'!C39,'3.4'!C144)</f>
        <v>35111.870400363485</v>
      </c>
      <c r="D51" s="1">
        <f>SUM('3.4'!D39,'3.4'!D144)</f>
        <v>3032488.4380814219</v>
      </c>
      <c r="E51" s="1">
        <f>SUM('3.4'!E39,'3.4'!E144)</f>
        <v>98737.217713589329</v>
      </c>
      <c r="F51" s="1">
        <f>SUM('3.4'!F39,'3.4'!F144)</f>
        <v>239809.10018402047</v>
      </c>
      <c r="G51" s="1">
        <f>SUM('3.4'!G39,'3.4'!G144)</f>
        <v>256351.93703794767</v>
      </c>
      <c r="H51" s="1">
        <f>SUM('3.4'!H39,'3.4'!H144)</f>
        <v>94519.305445878621</v>
      </c>
      <c r="I51" s="1">
        <f>SUM('3.4'!I39,'3.4'!I144)</f>
        <v>6362.6649279635258</v>
      </c>
      <c r="J51" s="1">
        <f>SUM('3.4'!J39,'3.4'!J144)</f>
        <v>19677.934076107162</v>
      </c>
      <c r="K51" s="1">
        <f>SUM('3.4'!K39,'3.4'!K144)</f>
        <v>78125.898848980869</v>
      </c>
      <c r="L51" s="1">
        <f>SUM('3.4'!L39,'3.4'!L144)</f>
        <v>23197.484834524039</v>
      </c>
      <c r="M51" s="1">
        <f>SUM('3.4'!M39,'3.4'!M144)</f>
        <v>2416.2376944872854</v>
      </c>
      <c r="N51" s="1">
        <f>SUM('3.4'!N39,'3.4'!N144)</f>
        <v>2416.2376944872854</v>
      </c>
      <c r="O51" s="1">
        <f>SUM('3.4'!O39,'3.4'!O144)</f>
        <v>2416.2376944872854</v>
      </c>
      <c r="P51" s="1">
        <f>SUM('3.4'!P39,'3.4'!P144)</f>
        <v>2416.2376944872854</v>
      </c>
      <c r="Q51" s="1">
        <f>SUM('3.4'!Q39,'3.4'!Q144)</f>
        <v>2884.1802343672657</v>
      </c>
      <c r="R51" s="1">
        <f>SUM(B51:Q51)</f>
        <v>4020668.0000000009</v>
      </c>
    </row>
    <row r="52" spans="1:18" x14ac:dyDescent="0.3">
      <c r="A52" s="3" t="s">
        <v>214</v>
      </c>
      <c r="B52" s="1">
        <f>SUBTOTAL(9,B49:B51)</f>
        <v>35771915.022578709</v>
      </c>
      <c r="C52" s="1">
        <f t="shared" ref="C52:R52" si="9">SUBTOTAL(9,C49:C51)</f>
        <v>623274.01261333679</v>
      </c>
      <c r="D52" s="1">
        <f t="shared" si="9"/>
        <v>85411825.743513793</v>
      </c>
      <c r="E52" s="1">
        <f t="shared" si="9"/>
        <v>38295626.330455139</v>
      </c>
      <c r="F52" s="1">
        <f t="shared" si="9"/>
        <v>136803471.5564006</v>
      </c>
      <c r="G52" s="1">
        <f t="shared" si="9"/>
        <v>82086534.832193926</v>
      </c>
      <c r="H52" s="1">
        <f t="shared" si="9"/>
        <v>46245998.816629499</v>
      </c>
      <c r="I52" s="1">
        <f t="shared" si="9"/>
        <v>41604922.972716883</v>
      </c>
      <c r="J52" s="1">
        <f t="shared" si="9"/>
        <v>12222453.303496672</v>
      </c>
      <c r="K52" s="1">
        <f t="shared" si="9"/>
        <v>858894.15441388905</v>
      </c>
      <c r="L52" s="1">
        <f t="shared" si="9"/>
        <v>517129.54545955494</v>
      </c>
      <c r="M52" s="1">
        <f t="shared" si="9"/>
        <v>704333.14684073522</v>
      </c>
      <c r="N52" s="1">
        <f t="shared" si="9"/>
        <v>165602.05484073513</v>
      </c>
      <c r="O52" s="1">
        <f t="shared" si="9"/>
        <v>165602.05484073513</v>
      </c>
      <c r="P52" s="1">
        <f t="shared" si="9"/>
        <v>23830.714840735101</v>
      </c>
      <c r="Q52" s="1">
        <f t="shared" si="9"/>
        <v>7875846.4811650515</v>
      </c>
      <c r="R52" s="1">
        <f t="shared" si="9"/>
        <v>489377260.74300003</v>
      </c>
    </row>
    <row r="53" spans="1:18" x14ac:dyDescent="0.3">
      <c r="A53" s="2" t="s">
        <v>490</v>
      </c>
      <c r="B53" s="1">
        <f>SUM('3.4'!B46,'3.4'!B151,'3.4'!B195)</f>
        <v>43979442.573047556</v>
      </c>
      <c r="C53" s="1">
        <f>SUM('3.4'!C46,'3.4'!C151,'3.4'!C195)</f>
        <v>8528515.270773299</v>
      </c>
      <c r="D53" s="1">
        <f>SUM('3.4'!D46,'3.4'!D151,'3.4'!D195)</f>
        <v>80367288.392627627</v>
      </c>
      <c r="E53" s="1">
        <f>SUM('3.4'!E46,'3.4'!E151,'3.4'!E195)</f>
        <v>36050297.166691646</v>
      </c>
      <c r="F53" s="1">
        <f>SUM('3.4'!F46,'3.4'!F151,'3.4'!F195)</f>
        <v>131030078.73559679</v>
      </c>
      <c r="G53" s="1">
        <f>SUM('3.4'!G46,'3.4'!G151,'3.4'!G195)</f>
        <v>77333892.829908893</v>
      </c>
      <c r="H53" s="1">
        <f>SUM('3.4'!H46,'3.4'!H151,'3.4'!H195)</f>
        <v>44241031.861132659</v>
      </c>
      <c r="I53" s="1">
        <f>SUM('3.4'!I46,'3.4'!I151,'3.4'!I195)</f>
        <v>40279489.045502231</v>
      </c>
      <c r="J53" s="1">
        <f>SUM('3.4'!J46,'3.4'!J151,'3.4'!J195)</f>
        <v>11544941.282651737</v>
      </c>
      <c r="K53" s="1">
        <f>SUM('3.4'!K46,'3.4'!K151,'3.4'!K195)</f>
        <v>557690.35018091393</v>
      </c>
      <c r="L53" s="1">
        <f>SUM('3.4'!L46,'3.4'!L151,'3.4'!L195)</f>
        <v>414560.3808576974</v>
      </c>
      <c r="M53" s="1">
        <f>SUM('3.4'!M46,'3.4'!M151,'3.4'!M195)</f>
        <v>661053.51452976733</v>
      </c>
      <c r="N53" s="1">
        <f>SUM('3.4'!N46,'3.4'!N151,'3.4'!N195)</f>
        <v>149319.12424533829</v>
      </c>
      <c r="O53" s="1">
        <f>SUM('3.4'!O46,'3.4'!O151,'3.4'!O195)</f>
        <v>149319.12424533829</v>
      </c>
      <c r="P53" s="1">
        <f>SUM('3.4'!P46,'3.4'!P151,'3.4'!P195)</f>
        <v>14652.179433646408</v>
      </c>
      <c r="Q53" s="1">
        <f>SUM('3.4'!Q46,'3.4'!Q151,'3.4'!Q195)</f>
        <v>7564188.9115748452</v>
      </c>
      <c r="R53" s="10">
        <f>SUM(B53:Q53)</f>
        <v>482865760.74300003</v>
      </c>
    </row>
    <row r="54" spans="1:18" x14ac:dyDescent="0.3">
      <c r="A54" s="2" t="s">
        <v>463</v>
      </c>
      <c r="B54" s="1">
        <f>B55</f>
        <v>44098433.152041823</v>
      </c>
      <c r="D54" s="1">
        <f>D55</f>
        <v>80853147.926716626</v>
      </c>
      <c r="R54" s="10">
        <f>SUM(B54:Q54)</f>
        <v>124951581.07875845</v>
      </c>
    </row>
    <row r="55" spans="1:18" x14ac:dyDescent="0.3">
      <c r="A55" s="1" t="s">
        <v>179</v>
      </c>
      <c r="B55" s="1">
        <f>'3.4'!B283</f>
        <v>44098433.152041823</v>
      </c>
      <c r="C55" s="1">
        <f>'3.4'!C283</f>
        <v>14029662.252497241</v>
      </c>
      <c r="D55" s="1">
        <f>'3.4'!D283</f>
        <v>80853147.926716626</v>
      </c>
      <c r="E55" s="1">
        <f>'3.4'!E283</f>
        <v>36161719.008953005</v>
      </c>
      <c r="F55" s="1">
        <f>'3.4'!F283</f>
        <v>131293635.3244143</v>
      </c>
      <c r="G55" s="1">
        <f>'3.4'!G283</f>
        <v>77531376.300952375</v>
      </c>
      <c r="H55" s="1">
        <f>'3.4'!H283</f>
        <v>44337434.62516512</v>
      </c>
      <c r="I55" s="1">
        <f>'3.4'!I283</f>
        <v>40320161.135949597</v>
      </c>
      <c r="J55" s="1">
        <f>'3.4'!J283</f>
        <v>11562923.464170767</v>
      </c>
      <c r="K55" s="1">
        <f>'3.4'!K283</f>
        <v>605540.62292754173</v>
      </c>
      <c r="L55" s="1">
        <f>'3.4'!L283</f>
        <v>453529.28470380459</v>
      </c>
      <c r="M55" s="1">
        <f>'3.4'!M283</f>
        <v>690555.99139233225</v>
      </c>
      <c r="N55" s="1">
        <f>'3.4'!N283</f>
        <v>165162.6919671465</v>
      </c>
      <c r="O55" s="1">
        <f>'3.4'!O283</f>
        <v>155606.55896451187</v>
      </c>
      <c r="P55" s="1">
        <f>'3.4'!P283</f>
        <v>15288.483162932636</v>
      </c>
      <c r="Q55" s="1">
        <f>'3.4'!Q283</f>
        <v>7570083.9190208586</v>
      </c>
      <c r="R55" s="10">
        <f>SUM(B55:Q55)</f>
        <v>489844260.74299985</v>
      </c>
    </row>
    <row r="57" spans="1:18" x14ac:dyDescent="0.3">
      <c r="A57" s="1" t="s">
        <v>487</v>
      </c>
    </row>
    <row r="58" spans="1:18" s="9" customFormat="1" ht="54" x14ac:dyDescent="0.25">
      <c r="A58" s="9" t="s">
        <v>196</v>
      </c>
      <c r="B58" s="17" t="str">
        <f t="array" ref="B58:Q58">TRANSPOSE(List_Functions)</f>
        <v>Generation</v>
      </c>
      <c r="C58" s="17" t="str">
        <v>Purchased Power</v>
      </c>
      <c r="D58" s="17" t="str">
        <v>Transmission</v>
      </c>
      <c r="E58" s="17" t="str">
        <v>Substations</v>
      </c>
      <c r="F58" s="17" t="str">
        <v>Primary Lines</v>
      </c>
      <c r="G58" s="17" t="str">
        <v>Transformers</v>
      </c>
      <c r="H58" s="17" t="str">
        <v>Secondary Lines</v>
      </c>
      <c r="I58" s="17" t="str">
        <v>Service Lines</v>
      </c>
      <c r="J58" s="17" t="str">
        <v>Meter Assets</v>
      </c>
      <c r="K58" s="17" t="str">
        <v>Meter Reading</v>
      </c>
      <c r="L58" s="17" t="str">
        <v>Billing</v>
      </c>
      <c r="M58" s="17" t="str">
        <v>Remittance &amp; Collection</v>
      </c>
      <c r="N58" s="17" t="str">
        <v>Uncollectibles &amp; Damage Claims</v>
      </c>
      <c r="O58" s="17" t="str">
        <v>Service Connections</v>
      </c>
      <c r="P58" s="17" t="str">
        <v>Late Payments</v>
      </c>
      <c r="Q58" s="17" t="str">
        <v>Lighting</v>
      </c>
      <c r="R58" s="17" t="s">
        <v>214</v>
      </c>
    </row>
    <row r="59" spans="1:18" x14ac:dyDescent="0.3">
      <c r="A59" s="2" t="s">
        <v>144</v>
      </c>
      <c r="B59" s="1">
        <f>'3.3'!B134</f>
        <v>33751.25</v>
      </c>
      <c r="C59" s="1">
        <f>'3.3'!C134</f>
        <v>3895.0000000000009</v>
      </c>
      <c r="D59" s="1">
        <f>'3.3'!D134</f>
        <v>90359.25</v>
      </c>
      <c r="E59" s="1">
        <f>'3.3'!E134</f>
        <v>39108.567394346857</v>
      </c>
      <c r="F59" s="1">
        <f>'3.3'!F134</f>
        <v>102100.56512077493</v>
      </c>
      <c r="G59" s="1">
        <f>'3.3'!G134</f>
        <v>179434.83341016783</v>
      </c>
      <c r="H59" s="1">
        <f>'3.3'!H134</f>
        <v>36414.466151369423</v>
      </c>
      <c r="I59" s="1">
        <f>'3.3'!I134</f>
        <v>4060.588819985368</v>
      </c>
      <c r="J59" s="1">
        <f>'3.3'!J134</f>
        <v>16390</v>
      </c>
      <c r="K59" s="1">
        <f>'3.3'!K134</f>
        <v>0</v>
      </c>
      <c r="L59" s="1">
        <f>'3.3'!L134</f>
        <v>0</v>
      </c>
      <c r="M59" s="1">
        <f>'3.3'!M134</f>
        <v>0</v>
      </c>
      <c r="N59" s="1">
        <f>'3.3'!N134</f>
        <v>0</v>
      </c>
      <c r="O59" s="1">
        <f>'3.3'!O134</f>
        <v>0</v>
      </c>
      <c r="P59" s="1">
        <f>'3.3'!P134</f>
        <v>0</v>
      </c>
      <c r="Q59" s="1">
        <f>'3.3'!Q134</f>
        <v>481.47910335558601</v>
      </c>
      <c r="R59" s="1">
        <f>SUM(B59:Q59)</f>
        <v>505996.00000000012</v>
      </c>
    </row>
    <row r="60" spans="1:18" x14ac:dyDescent="0.3">
      <c r="A60" s="2" t="s">
        <v>729</v>
      </c>
      <c r="B60" s="1">
        <f>'3.2'!B175-'3.2'!B143</f>
        <v>643323.5</v>
      </c>
      <c r="C60" s="1">
        <f>'3.2'!C175-'3.2'!C143</f>
        <v>173374.00000000006</v>
      </c>
      <c r="D60" s="1">
        <f>'3.2'!D175-'3.2'!D143</f>
        <v>1213839.5</v>
      </c>
      <c r="E60" s="1">
        <f>'3.2'!E175-'3.2'!E143</f>
        <v>510757.9272148629</v>
      </c>
      <c r="F60" s="1">
        <f>'3.2'!F175-'3.2'!F143</f>
        <v>721621.01531897788</v>
      </c>
      <c r="G60" s="1">
        <f>'3.2'!G175-'3.2'!G143</f>
        <v>1012835.0154266197</v>
      </c>
      <c r="H60" s="1">
        <f>'3.2'!H175-'3.2'!H143</f>
        <v>309327.11621743708</v>
      </c>
      <c r="I60" s="1">
        <f>'3.2'!I175-'3.2'!I143</f>
        <v>20926.583110708278</v>
      </c>
      <c r="J60" s="1">
        <f>'3.2'!J175-'3.2'!J143</f>
        <v>91533</v>
      </c>
      <c r="K60" s="1">
        <f>'3.2'!K175-'3.2'!K143</f>
        <v>401463</v>
      </c>
      <c r="L60" s="1">
        <f>'3.2'!L175-'3.2'!L143</f>
        <v>110196</v>
      </c>
      <c r="M60" s="1">
        <f>'3.2'!M175-'3.2'!M143</f>
        <v>0</v>
      </c>
      <c r="N60" s="1">
        <f>'3.2'!N175-'3.2'!N143</f>
        <v>0</v>
      </c>
      <c r="O60" s="1">
        <f>'3.2'!O175-'3.2'!O143</f>
        <v>0</v>
      </c>
      <c r="P60" s="1">
        <f>'3.2'!P175-'3.2'!P143</f>
        <v>0</v>
      </c>
      <c r="Q60" s="1">
        <f>'3.2'!Q175-'3.2'!Q143</f>
        <v>2481.3427113943235</v>
      </c>
      <c r="R60" s="1">
        <f>SUM(B60:Q60)</f>
        <v>5211678</v>
      </c>
    </row>
    <row r="61" spans="1:18" x14ac:dyDescent="0.3">
      <c r="A61" s="2" t="s">
        <v>156</v>
      </c>
      <c r="B61" s="1">
        <f>'3.2'!B175</f>
        <v>656136</v>
      </c>
      <c r="C61" s="1">
        <f>'3.2'!C175</f>
        <v>186186.50000000006</v>
      </c>
      <c r="D61" s="1">
        <f>'3.2'!D175</f>
        <v>1226652</v>
      </c>
      <c r="E61" s="1">
        <f>'3.2'!E175</f>
        <v>523570.4272148629</v>
      </c>
      <c r="F61" s="1">
        <f>'3.2'!F175</f>
        <v>734433.51531897788</v>
      </c>
      <c r="G61" s="1">
        <f>'3.2'!G175</f>
        <v>1025647.5154266197</v>
      </c>
      <c r="H61" s="1">
        <f>'3.2'!H175</f>
        <v>322139.61621743708</v>
      </c>
      <c r="I61" s="1">
        <f>'3.2'!I175</f>
        <v>33739.083110708278</v>
      </c>
      <c r="J61" s="1">
        <f>'3.2'!J175</f>
        <v>104345.5</v>
      </c>
      <c r="K61" s="1">
        <f>'3.2'!K175</f>
        <v>414275.5</v>
      </c>
      <c r="L61" s="1">
        <f>'3.2'!L175</f>
        <v>123008.5</v>
      </c>
      <c r="M61" s="1">
        <f>'3.2'!M175</f>
        <v>12812.5</v>
      </c>
      <c r="N61" s="1">
        <f>'3.2'!N175</f>
        <v>12812.5</v>
      </c>
      <c r="O61" s="1">
        <f>'3.2'!O175</f>
        <v>12812.5</v>
      </c>
      <c r="P61" s="1">
        <f>'3.2'!P175</f>
        <v>12812.5</v>
      </c>
      <c r="Q61" s="1">
        <f>'3.2'!Q175</f>
        <v>15293.842711394323</v>
      </c>
      <c r="R61" s="1">
        <f>SUM(B61:Q61)</f>
        <v>5416678</v>
      </c>
    </row>
    <row r="62" spans="1:18" x14ac:dyDescent="0.3">
      <c r="A62" s="2" t="s">
        <v>192</v>
      </c>
      <c r="B62" s="1">
        <f>SUM('3.1'!B15,'3.1'!B136)</f>
        <v>2822120.9134513969</v>
      </c>
      <c r="C62" s="1">
        <f>SUM('3.1'!C15,'3.1'!C136)</f>
        <v>139969718.21495435</v>
      </c>
      <c r="D62" s="1">
        <f>SUM('3.1'!D15,'3.1'!D136)</f>
        <v>11988608.342243906</v>
      </c>
      <c r="E62" s="1">
        <f>SUM('3.1'!E15,'3.1'!E136)</f>
        <v>2666684.8363672141</v>
      </c>
      <c r="F62" s="1">
        <f>SUM('3.1'!F15,'3.1'!F136)</f>
        <v>6093113.8547150483</v>
      </c>
      <c r="G62" s="1">
        <f>SUM('3.1'!G15,'3.1'!G136)</f>
        <v>4663377.1435000673</v>
      </c>
      <c r="H62" s="1">
        <f>SUM('3.1'!H15,'3.1'!H136)</f>
        <v>2246011.1713566147</v>
      </c>
      <c r="I62" s="1">
        <f>SUM('3.1'!I15,'3.1'!I136)</f>
        <v>846193.18494352209</v>
      </c>
      <c r="J62" s="1">
        <f>SUM('3.1'!J15,'3.1'!J136)</f>
        <v>403506.90432010393</v>
      </c>
      <c r="K62" s="1">
        <f>SUM('3.1'!K15,'3.1'!K136)</f>
        <v>1215221.442634997</v>
      </c>
      <c r="L62" s="1">
        <f>SUM('3.1'!L15,'3.1'!L136)</f>
        <v>989853.09546783485</v>
      </c>
      <c r="M62" s="1">
        <f>SUM('3.1'!M15,'3.1'!M136)</f>
        <v>747766.69631993701</v>
      </c>
      <c r="N62" s="1">
        <f>SUM('3.1'!N15,'3.1'!N136)</f>
        <v>402534.27878199931</v>
      </c>
      <c r="O62" s="1">
        <f>SUM('3.1'!O15,'3.1'!O136)</f>
        <v>159321.07878199933</v>
      </c>
      <c r="P62" s="1">
        <f>SUM('3.1'!P15,'3.1'!P136)</f>
        <v>16125.83627201574</v>
      </c>
      <c r="Q62" s="1">
        <f>SUM('3.1'!Q15,'3.1'!Q136)</f>
        <v>114550.00588900877</v>
      </c>
      <c r="R62" s="1">
        <f>SUM(B62:Q62)</f>
        <v>175344707</v>
      </c>
    </row>
  </sheetData>
  <printOptions horizontalCentered="1" gridLines="1"/>
  <pageMargins left="0.19685039370078741" right="0.19685039370078741" top="0.98425196850393704" bottom="0.59055118110236227" header="0.19685039370078741" footer="0.19685039370078741"/>
  <pageSetup scale="60" pageOrder="overThenDown" orientation="landscape" r:id="rId1"/>
  <headerFooter scaleWithDoc="0">
    <oddHeader xml:space="preserve">&amp;C2023 "Status Quo Methods" Cost Allocation Model for MECL </oddHeader>
    <oddFooter>&amp;LPage &amp;P of &amp;N&amp;RJune 27, 2025</oddFooter>
  </headerFooter>
  <rowBreaks count="1" manualBreakCount="1">
    <brk id="47"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R78"/>
  <sheetViews>
    <sheetView view="pageBreakPreview" topLeftCell="A19" zoomScale="40" zoomScaleNormal="100" zoomScaleSheetLayoutView="40" workbookViewId="0">
      <selection activeCell="E21" sqref="E21"/>
    </sheetView>
  </sheetViews>
  <sheetFormatPr defaultColWidth="8.7109375" defaultRowHeight="13.5" x14ac:dyDescent="0.3"/>
  <cols>
    <col min="1" max="1" width="25.7109375" style="1" customWidth="1"/>
    <col min="2" max="18" width="7.7109375" style="1" customWidth="1"/>
    <col min="19" max="16384" width="8.7109375" style="1"/>
  </cols>
  <sheetData>
    <row r="1" spans="1:18" x14ac:dyDescent="0.3">
      <c r="A1" s="1" t="s">
        <v>587</v>
      </c>
    </row>
    <row r="2" spans="1:18" x14ac:dyDescent="0.3">
      <c r="A2" s="46" t="s">
        <v>703</v>
      </c>
    </row>
    <row r="4" spans="1:18" x14ac:dyDescent="0.3">
      <c r="A4" s="1" t="s">
        <v>577</v>
      </c>
    </row>
    <row r="5" spans="1:18" x14ac:dyDescent="0.3">
      <c r="A5" s="1" t="s">
        <v>578</v>
      </c>
    </row>
    <row r="6" spans="1:18" x14ac:dyDescent="0.3">
      <c r="A6" s="3" t="s">
        <v>20</v>
      </c>
      <c r="B6" s="21"/>
      <c r="C6" s="1" t="s">
        <v>20</v>
      </c>
    </row>
    <row r="7" spans="1:18" x14ac:dyDescent="0.3">
      <c r="A7" s="3" t="s">
        <v>579</v>
      </c>
      <c r="B7" s="21">
        <v>1</v>
      </c>
      <c r="C7" s="1" t="s">
        <v>21</v>
      </c>
    </row>
    <row r="8" spans="1:18" x14ac:dyDescent="0.3">
      <c r="A8" s="3" t="s">
        <v>584</v>
      </c>
      <c r="B8" s="21">
        <v>0</v>
      </c>
      <c r="C8" s="1" t="s">
        <v>21</v>
      </c>
    </row>
    <row r="9" spans="1:18" x14ac:dyDescent="0.3">
      <c r="A9" s="3" t="s">
        <v>580</v>
      </c>
      <c r="B9" s="21">
        <v>1</v>
      </c>
      <c r="C9" s="1" t="s">
        <v>206</v>
      </c>
    </row>
    <row r="10" spans="1:18" x14ac:dyDescent="0.3">
      <c r="A10" s="3" t="s">
        <v>581</v>
      </c>
      <c r="B10" s="21">
        <v>1</v>
      </c>
      <c r="C10" s="1" t="s">
        <v>156</v>
      </c>
    </row>
    <row r="11" spans="1:18" x14ac:dyDescent="0.3">
      <c r="A11" s="3" t="s">
        <v>582</v>
      </c>
      <c r="B11" s="21">
        <v>1</v>
      </c>
      <c r="C11" s="2" t="s">
        <v>156</v>
      </c>
    </row>
    <row r="12" spans="1:18" x14ac:dyDescent="0.3">
      <c r="A12" s="3" t="s">
        <v>583</v>
      </c>
      <c r="B12" s="21">
        <v>1</v>
      </c>
      <c r="C12" s="1" t="s">
        <v>206</v>
      </c>
    </row>
    <row r="13" spans="1:18" x14ac:dyDescent="0.3">
      <c r="A13" s="3" t="s">
        <v>214</v>
      </c>
      <c r="B13" s="22">
        <f>SUM(B6:B12)</f>
        <v>5</v>
      </c>
    </row>
    <row r="14" spans="1:18" x14ac:dyDescent="0.3">
      <c r="A14" s="2" t="s">
        <v>586</v>
      </c>
    </row>
    <row r="15" spans="1:18" s="9" customFormat="1" x14ac:dyDescent="0.25">
      <c r="A15" s="23" t="s">
        <v>495</v>
      </c>
      <c r="B15" s="17" t="s">
        <v>501</v>
      </c>
      <c r="C15" s="17"/>
      <c r="D15" s="17"/>
      <c r="E15" s="17"/>
      <c r="F15" s="17"/>
      <c r="G15" s="17"/>
      <c r="H15" s="17"/>
      <c r="I15" s="17"/>
      <c r="J15" s="17"/>
      <c r="K15" s="17"/>
      <c r="L15" s="17"/>
      <c r="M15" s="17"/>
      <c r="N15" s="17"/>
      <c r="O15" s="17"/>
      <c r="P15" s="17"/>
      <c r="Q15" s="17"/>
      <c r="R15" s="17"/>
    </row>
    <row r="16" spans="1:18" x14ac:dyDescent="0.3">
      <c r="A16" s="3" t="s">
        <v>20</v>
      </c>
      <c r="B16" s="18">
        <f>SUMIFS($B$6:$B$12,$C$6:$C$12,A16)/$B$13</f>
        <v>0</v>
      </c>
    </row>
    <row r="17" spans="1:18" x14ac:dyDescent="0.3">
      <c r="A17" s="3" t="s">
        <v>21</v>
      </c>
      <c r="B17" s="18">
        <f>SUMIFS($B$6:$B$12,$C$6:$C$12,A17)/$B$13</f>
        <v>0.2</v>
      </c>
    </row>
    <row r="18" spans="1:18" x14ac:dyDescent="0.3">
      <c r="A18" s="3" t="s">
        <v>206</v>
      </c>
      <c r="B18" s="18">
        <f>SUMIFS($B$6:$B$12,$C$6:$C$12,A18)/$B$13</f>
        <v>0.4</v>
      </c>
    </row>
    <row r="19" spans="1:18" x14ac:dyDescent="0.3">
      <c r="A19" s="3" t="s">
        <v>156</v>
      </c>
      <c r="B19" s="18">
        <f>SUMIFS($B$6:$B$12,$C$6:$C$12,A19)/$B$13</f>
        <v>0.4</v>
      </c>
    </row>
    <row r="20" spans="1:18" x14ac:dyDescent="0.3">
      <c r="A20" s="3" t="s">
        <v>214</v>
      </c>
      <c r="B20" s="18">
        <f>SUM(B16:B19)</f>
        <v>1</v>
      </c>
    </row>
    <row r="21" spans="1:18" x14ac:dyDescent="0.3">
      <c r="A21" s="2" t="s">
        <v>500</v>
      </c>
      <c r="B21" s="18"/>
    </row>
    <row r="22" spans="1:18" s="9" customFormat="1" ht="54" x14ac:dyDescent="0.25">
      <c r="A22" s="23" t="s">
        <v>196</v>
      </c>
      <c r="B22" s="17" t="str">
        <f t="array" ref="B22:Q22">TRANSPOSE(List_Functions)</f>
        <v>Generation</v>
      </c>
      <c r="C22" s="17" t="str">
        <v>Purchased Power</v>
      </c>
      <c r="D22" s="17" t="str">
        <v>Transmission</v>
      </c>
      <c r="E22" s="17" t="str">
        <v>Substations</v>
      </c>
      <c r="F22" s="17" t="str">
        <v>Primary Lines</v>
      </c>
      <c r="G22" s="17" t="str">
        <v>Transformers</v>
      </c>
      <c r="H22" s="17" t="str">
        <v>Secondary Lines</v>
      </c>
      <c r="I22" s="17" t="str">
        <v>Service Lines</v>
      </c>
      <c r="J22" s="17" t="str">
        <v>Meter Assets</v>
      </c>
      <c r="K22" s="17" t="str">
        <v>Meter Reading</v>
      </c>
      <c r="L22" s="17" t="str">
        <v>Billing</v>
      </c>
      <c r="M22" s="17" t="str">
        <v>Remittance &amp; Collection</v>
      </c>
      <c r="N22" s="17" t="str">
        <v>Uncollectibles &amp; Damage Claims</v>
      </c>
      <c r="O22" s="17" t="str">
        <v>Service Connections</v>
      </c>
      <c r="P22" s="17" t="str">
        <v>Late Payments</v>
      </c>
      <c r="Q22" s="17" t="str">
        <v>Lighting</v>
      </c>
      <c r="R22" s="17" t="s">
        <v>214</v>
      </c>
    </row>
    <row r="23" spans="1:18" x14ac:dyDescent="0.3">
      <c r="A23" s="3" t="s">
        <v>20</v>
      </c>
      <c r="B23" s="30"/>
      <c r="C23" s="30"/>
      <c r="D23" s="30"/>
      <c r="E23" s="30"/>
      <c r="F23" s="30"/>
      <c r="G23" s="30"/>
      <c r="H23" s="30"/>
      <c r="I23" s="30"/>
      <c r="J23" s="30"/>
      <c r="K23" s="30"/>
      <c r="L23" s="41">
        <v>1</v>
      </c>
      <c r="M23" s="30"/>
      <c r="N23" s="30"/>
      <c r="O23" s="30"/>
      <c r="P23" s="30"/>
      <c r="Q23" s="30"/>
      <c r="R23" s="30">
        <f>SUM(B23:Q23)</f>
        <v>1</v>
      </c>
    </row>
    <row r="24" spans="1:18" x14ac:dyDescent="0.3">
      <c r="A24" s="3" t="s">
        <v>21</v>
      </c>
      <c r="B24" s="30"/>
      <c r="C24" s="30"/>
      <c r="D24" s="30"/>
      <c r="E24" s="30"/>
      <c r="F24" s="30"/>
      <c r="G24" s="30"/>
      <c r="H24" s="30"/>
      <c r="I24" s="30"/>
      <c r="J24" s="30"/>
      <c r="K24" s="30"/>
      <c r="L24" s="30"/>
      <c r="M24" s="41">
        <v>1</v>
      </c>
      <c r="N24" s="30"/>
      <c r="O24" s="30"/>
      <c r="P24" s="30"/>
      <c r="Q24" s="30"/>
      <c r="R24" s="30">
        <f>SUM(B24:Q24)</f>
        <v>1</v>
      </c>
    </row>
    <row r="25" spans="1:18" x14ac:dyDescent="0.3">
      <c r="A25" s="3" t="s">
        <v>206</v>
      </c>
      <c r="B25" s="30">
        <f t="shared" ref="B25:K26" si="0">VLOOKUP($A25,Table_FunctionAllocators,COLUMN(),FALSE)</f>
        <v>0</v>
      </c>
      <c r="C25" s="30">
        <f t="shared" si="0"/>
        <v>0</v>
      </c>
      <c r="D25" s="30">
        <f t="shared" si="0"/>
        <v>0.20877473393548598</v>
      </c>
      <c r="E25" s="30">
        <f t="shared" si="0"/>
        <v>7.4725120901459302E-2</v>
      </c>
      <c r="F25" s="30">
        <f t="shared" si="0"/>
        <v>0.27295865373046763</v>
      </c>
      <c r="G25" s="30">
        <f t="shared" si="0"/>
        <v>0.16955997364808623</v>
      </c>
      <c r="H25" s="30">
        <f t="shared" si="0"/>
        <v>9.0986217910155862E-2</v>
      </c>
      <c r="I25" s="30">
        <f t="shared" si="0"/>
        <v>0.13836156491477147</v>
      </c>
      <c r="J25" s="30">
        <f t="shared" si="0"/>
        <v>2.8227690130272178E-2</v>
      </c>
      <c r="K25" s="30">
        <f t="shared" si="0"/>
        <v>0</v>
      </c>
      <c r="L25" s="30">
        <f t="shared" ref="L25:Q26" si="1">VLOOKUP($A25,Table_FunctionAllocators,COLUMN(),FALSE)</f>
        <v>0</v>
      </c>
      <c r="M25" s="30">
        <f t="shared" si="1"/>
        <v>0</v>
      </c>
      <c r="N25" s="30">
        <f t="shared" si="1"/>
        <v>0</v>
      </c>
      <c r="O25" s="30">
        <f t="shared" si="1"/>
        <v>0</v>
      </c>
      <c r="P25" s="30">
        <f t="shared" si="1"/>
        <v>0</v>
      </c>
      <c r="Q25" s="30">
        <f t="shared" si="1"/>
        <v>1.6406044829301365E-2</v>
      </c>
      <c r="R25" s="30">
        <f>SUM(B25:Q25)</f>
        <v>1</v>
      </c>
    </row>
    <row r="26" spans="1:18" x14ac:dyDescent="0.3">
      <c r="A26" s="3" t="s">
        <v>729</v>
      </c>
      <c r="B26" s="30">
        <f t="shared" si="0"/>
        <v>0.12343884253785441</v>
      </c>
      <c r="C26" s="30">
        <f t="shared" si="0"/>
        <v>3.326644508735959E-2</v>
      </c>
      <c r="D26" s="30">
        <f t="shared" si="0"/>
        <v>0.23290761631858301</v>
      </c>
      <c r="E26" s="30">
        <f t="shared" si="0"/>
        <v>9.8002587115869955E-2</v>
      </c>
      <c r="F26" s="30">
        <f t="shared" si="0"/>
        <v>0.13846231776387141</v>
      </c>
      <c r="G26" s="30">
        <f t="shared" si="0"/>
        <v>0.19433952278452729</v>
      </c>
      <c r="H26" s="30">
        <f t="shared" si="0"/>
        <v>5.9352691439769893E-2</v>
      </c>
      <c r="I26" s="30">
        <f t="shared" si="0"/>
        <v>4.0153254116444409E-3</v>
      </c>
      <c r="J26" s="30">
        <f t="shared" si="0"/>
        <v>1.7563057426034378E-2</v>
      </c>
      <c r="K26" s="30">
        <f t="shared" si="0"/>
        <v>7.7031428265522159E-2</v>
      </c>
      <c r="L26" s="30">
        <f t="shared" si="1"/>
        <v>2.1144053796109431E-2</v>
      </c>
      <c r="M26" s="30">
        <f t="shared" si="1"/>
        <v>0</v>
      </c>
      <c r="N26" s="30">
        <f t="shared" si="1"/>
        <v>0</v>
      </c>
      <c r="O26" s="30">
        <f t="shared" si="1"/>
        <v>0</v>
      </c>
      <c r="P26" s="30">
        <f t="shared" si="1"/>
        <v>0</v>
      </c>
      <c r="Q26" s="30">
        <f t="shared" si="1"/>
        <v>4.7611205285405652E-4</v>
      </c>
      <c r="R26" s="30">
        <f>SUM(B26:Q26)</f>
        <v>0.99999999999999978</v>
      </c>
    </row>
    <row r="27" spans="1:18" x14ac:dyDescent="0.3">
      <c r="A27" s="3" t="s">
        <v>498</v>
      </c>
      <c r="B27" s="30">
        <f>SUMPRODUCT(B23:B26,$B$16:$B$19)</f>
        <v>4.9375537015141767E-2</v>
      </c>
      <c r="C27" s="30">
        <f>SUMPRODUCT(C23:C26,$B$16:$B$19)</f>
        <v>1.3306578034943837E-2</v>
      </c>
      <c r="D27" s="30">
        <f>SUMPRODUCT(D23:D26,$B$16:$B$19)</f>
        <v>0.1766729401016276</v>
      </c>
      <c r="E27" s="30">
        <f>SUMPRODUCT(E23:E26,$B$16:$B$19)</f>
        <v>6.9091083206931705E-2</v>
      </c>
      <c r="F27" s="30">
        <f>SUMPRODUCT(F23:F26,$B$16:$B$19)</f>
        <v>0.16456838859773562</v>
      </c>
      <c r="G27" s="30">
        <f>SUMPRODUCT(G23:G26,$B$16:$B$19)</f>
        <v>0.14555979857304541</v>
      </c>
      <c r="H27" s="30">
        <f>SUMPRODUCT(H23:H26,$B$16:$B$19)</f>
        <v>6.0135563739970303E-2</v>
      </c>
      <c r="I27" s="30">
        <f>SUMPRODUCT(I23:I26,$B$16:$B$19)</f>
        <v>5.6950756130566368E-2</v>
      </c>
      <c r="J27" s="30">
        <f>SUMPRODUCT(J23:J26,$B$16:$B$19)</f>
        <v>1.8316299022522624E-2</v>
      </c>
      <c r="K27" s="30">
        <f>SUMPRODUCT(K23:K26,$B$16:$B$19)</f>
        <v>3.0812571306208864E-2</v>
      </c>
      <c r="L27" s="30">
        <f>SUMPRODUCT(L23:L26,$B$16:$B$19)</f>
        <v>8.4576215184437725E-3</v>
      </c>
      <c r="M27" s="30">
        <f>SUMPRODUCT(M23:M26,$B$16:$B$19)</f>
        <v>0.2</v>
      </c>
      <c r="N27" s="30">
        <f>SUMPRODUCT(N23:N26,$B$16:$B$19)</f>
        <v>0</v>
      </c>
      <c r="O27" s="30">
        <f>SUMPRODUCT(O23:O26,$B$16:$B$19)</f>
        <v>0</v>
      </c>
      <c r="P27" s="30">
        <f>SUMPRODUCT(P23:P26,$B$16:$B$19)</f>
        <v>0</v>
      </c>
      <c r="Q27" s="30">
        <f>SUMPRODUCT(Q23:Q26,$B$16:$B$19)</f>
        <v>6.7528627528621685E-3</v>
      </c>
      <c r="R27" s="30">
        <f>SUM(B27:Q27)</f>
        <v>0.99999999999999978</v>
      </c>
    </row>
    <row r="29" spans="1:18" x14ac:dyDescent="0.3">
      <c r="A29" s="1" t="s">
        <v>585</v>
      </c>
    </row>
    <row r="30" spans="1:18" x14ac:dyDescent="0.3">
      <c r="A30" s="2" t="s">
        <v>586</v>
      </c>
      <c r="B30" s="79"/>
    </row>
    <row r="31" spans="1:18" x14ac:dyDescent="0.3">
      <c r="A31" s="3" t="s">
        <v>577</v>
      </c>
      <c r="B31" s="99">
        <v>0.5</v>
      </c>
    </row>
    <row r="32" spans="1:18" x14ac:dyDescent="0.3">
      <c r="A32" s="3" t="s">
        <v>20</v>
      </c>
      <c r="B32" s="99">
        <v>0.5</v>
      </c>
    </row>
    <row r="33" spans="1:18" x14ac:dyDescent="0.3">
      <c r="A33" s="3" t="s">
        <v>214</v>
      </c>
      <c r="B33" s="80">
        <f>SUM(B31:B32)</f>
        <v>1</v>
      </c>
    </row>
    <row r="34" spans="1:18" x14ac:dyDescent="0.3">
      <c r="A34" s="2" t="s">
        <v>500</v>
      </c>
      <c r="B34" s="79"/>
    </row>
    <row r="35" spans="1:18" s="9" customFormat="1" ht="54" x14ac:dyDescent="0.25">
      <c r="A35" s="23" t="s">
        <v>196</v>
      </c>
      <c r="B35" s="17" t="str">
        <f t="array" ref="B35:Q35">TRANSPOSE(List_Functions)</f>
        <v>Generation</v>
      </c>
      <c r="C35" s="17" t="str">
        <v>Purchased Power</v>
      </c>
      <c r="D35" s="17" t="str">
        <v>Transmission</v>
      </c>
      <c r="E35" s="17" t="str">
        <v>Substations</v>
      </c>
      <c r="F35" s="17" t="str">
        <v>Primary Lines</v>
      </c>
      <c r="G35" s="17" t="str">
        <v>Transformers</v>
      </c>
      <c r="H35" s="17" t="str">
        <v>Secondary Lines</v>
      </c>
      <c r="I35" s="17" t="str">
        <v>Service Lines</v>
      </c>
      <c r="J35" s="17" t="str">
        <v>Meter Assets</v>
      </c>
      <c r="K35" s="17" t="str">
        <v>Meter Reading</v>
      </c>
      <c r="L35" s="17" t="str">
        <v>Billing</v>
      </c>
      <c r="M35" s="17" t="str">
        <v>Remittance &amp; Collection</v>
      </c>
      <c r="N35" s="17" t="str">
        <v>Uncollectibles &amp; Damage Claims</v>
      </c>
      <c r="O35" s="17" t="str">
        <v>Service Connections</v>
      </c>
      <c r="P35" s="17" t="str">
        <v>Late Payments</v>
      </c>
      <c r="Q35" s="17" t="str">
        <v>Lighting</v>
      </c>
      <c r="R35" s="17" t="s">
        <v>214</v>
      </c>
    </row>
    <row r="36" spans="1:18" x14ac:dyDescent="0.3">
      <c r="A36" s="3" t="s">
        <v>577</v>
      </c>
      <c r="B36" s="30">
        <f t="shared" ref="B36:Q36" si="2">B27</f>
        <v>4.9375537015141767E-2</v>
      </c>
      <c r="C36" s="30">
        <f>C27</f>
        <v>1.3306578034943837E-2</v>
      </c>
      <c r="D36" s="30">
        <f t="shared" si="2"/>
        <v>0.1766729401016276</v>
      </c>
      <c r="E36" s="30">
        <f t="shared" si="2"/>
        <v>6.9091083206931705E-2</v>
      </c>
      <c r="F36" s="30">
        <f t="shared" si="2"/>
        <v>0.16456838859773562</v>
      </c>
      <c r="G36" s="30">
        <f t="shared" si="2"/>
        <v>0.14555979857304541</v>
      </c>
      <c r="H36" s="30">
        <f t="shared" si="2"/>
        <v>6.0135563739970303E-2</v>
      </c>
      <c r="I36" s="30">
        <f t="shared" si="2"/>
        <v>5.6950756130566368E-2</v>
      </c>
      <c r="J36" s="30">
        <f t="shared" si="2"/>
        <v>1.8316299022522624E-2</v>
      </c>
      <c r="K36" s="30">
        <f t="shared" si="2"/>
        <v>3.0812571306208864E-2</v>
      </c>
      <c r="L36" s="30">
        <f t="shared" si="2"/>
        <v>8.4576215184437725E-3</v>
      </c>
      <c r="M36" s="30">
        <f t="shared" si="2"/>
        <v>0.2</v>
      </c>
      <c r="N36" s="30">
        <f t="shared" si="2"/>
        <v>0</v>
      </c>
      <c r="O36" s="30">
        <f t="shared" si="2"/>
        <v>0</v>
      </c>
      <c r="P36" s="30">
        <f t="shared" si="2"/>
        <v>0</v>
      </c>
      <c r="Q36" s="30">
        <f t="shared" si="2"/>
        <v>6.7528627528621685E-3</v>
      </c>
      <c r="R36" s="30">
        <f>SUM(B36:Q36)</f>
        <v>0.99999999999999978</v>
      </c>
    </row>
    <row r="37" spans="1:18" x14ac:dyDescent="0.3">
      <c r="A37" s="3" t="s">
        <v>20</v>
      </c>
      <c r="B37" s="30"/>
      <c r="C37" s="30"/>
      <c r="D37" s="30"/>
      <c r="E37" s="30"/>
      <c r="F37" s="30"/>
      <c r="G37" s="30"/>
      <c r="H37" s="30"/>
      <c r="I37" s="30"/>
      <c r="J37" s="30"/>
      <c r="K37" s="30"/>
      <c r="L37" s="41">
        <v>1</v>
      </c>
      <c r="M37" s="30"/>
      <c r="N37" s="30"/>
      <c r="O37" s="30"/>
      <c r="P37" s="30"/>
      <c r="Q37" s="30"/>
      <c r="R37" s="30">
        <f>SUM(B37:Q37)</f>
        <v>1</v>
      </c>
    </row>
    <row r="38" spans="1:18" x14ac:dyDescent="0.3">
      <c r="A38" s="3" t="s">
        <v>498</v>
      </c>
      <c r="B38" s="30">
        <f>SUMPRODUCT($B$31:$B$32,B36:B37)</f>
        <v>2.4687768507570883E-2</v>
      </c>
      <c r="C38" s="30">
        <f t="shared" ref="C38:Q38" si="3">SUMPRODUCT($B$31:$B$32,C36:C37)</f>
        <v>6.6532890174719186E-3</v>
      </c>
      <c r="D38" s="30">
        <f t="shared" si="3"/>
        <v>8.8336470050813798E-2</v>
      </c>
      <c r="E38" s="30">
        <f t="shared" si="3"/>
        <v>3.4545541603465853E-2</v>
      </c>
      <c r="F38" s="30">
        <f t="shared" si="3"/>
        <v>8.228419429886781E-2</v>
      </c>
      <c r="G38" s="30">
        <f t="shared" si="3"/>
        <v>7.2779899286522703E-2</v>
      </c>
      <c r="H38" s="30">
        <f t="shared" si="3"/>
        <v>3.0067781869985152E-2</v>
      </c>
      <c r="I38" s="30">
        <f t="shared" si="3"/>
        <v>2.8475378065283184E-2</v>
      </c>
      <c r="J38" s="30">
        <f t="shared" si="3"/>
        <v>9.1581495112613119E-3</v>
      </c>
      <c r="K38" s="30">
        <f t="shared" si="3"/>
        <v>1.5406285653104432E-2</v>
      </c>
      <c r="L38" s="30">
        <f t="shared" si="3"/>
        <v>0.50422881075922188</v>
      </c>
      <c r="M38" s="30">
        <f t="shared" si="3"/>
        <v>0.1</v>
      </c>
      <c r="N38" s="30">
        <f t="shared" si="3"/>
        <v>0</v>
      </c>
      <c r="O38" s="30">
        <f t="shared" si="3"/>
        <v>0</v>
      </c>
      <c r="P38" s="30">
        <f t="shared" si="3"/>
        <v>0</v>
      </c>
      <c r="Q38" s="30">
        <f t="shared" si="3"/>
        <v>3.3764313764310843E-3</v>
      </c>
      <c r="R38" s="30">
        <f>SUM(B38:Q38)</f>
        <v>0.99999999999999989</v>
      </c>
    </row>
    <row r="40" spans="1:18" x14ac:dyDescent="0.3">
      <c r="A40" s="1" t="s">
        <v>464</v>
      </c>
    </row>
    <row r="41" spans="1:18" x14ac:dyDescent="0.3">
      <c r="A41" s="2" t="s">
        <v>586</v>
      </c>
    </row>
    <row r="42" spans="1:18" x14ac:dyDescent="0.3">
      <c r="A42" s="3" t="s">
        <v>588</v>
      </c>
      <c r="B42" s="24">
        <v>0.55000000000000004</v>
      </c>
    </row>
    <row r="43" spans="1:18" x14ac:dyDescent="0.3">
      <c r="A43" s="3" t="s">
        <v>22</v>
      </c>
      <c r="B43" s="24">
        <v>0.2</v>
      </c>
    </row>
    <row r="44" spans="1:18" x14ac:dyDescent="0.3">
      <c r="A44" s="3" t="s">
        <v>19</v>
      </c>
      <c r="B44" s="24">
        <v>0.25</v>
      </c>
    </row>
    <row r="45" spans="1:18" x14ac:dyDescent="0.3">
      <c r="A45" s="3" t="s">
        <v>214</v>
      </c>
      <c r="B45" s="18">
        <f>SUM(B42:B44)</f>
        <v>1</v>
      </c>
    </row>
    <row r="46" spans="1:18" x14ac:dyDescent="0.3">
      <c r="A46" s="2" t="s">
        <v>500</v>
      </c>
    </row>
    <row r="47" spans="1:18" s="9" customFormat="1" ht="54" x14ac:dyDescent="0.25">
      <c r="A47" s="23" t="s">
        <v>196</v>
      </c>
      <c r="B47" s="17" t="str">
        <f t="array" ref="B47:Q47">TRANSPOSE(List_Functions)</f>
        <v>Generation</v>
      </c>
      <c r="C47" s="17" t="str">
        <v>Purchased Power</v>
      </c>
      <c r="D47" s="17" t="str">
        <v>Transmission</v>
      </c>
      <c r="E47" s="17" t="str">
        <v>Substations</v>
      </c>
      <c r="F47" s="17" t="str">
        <v>Primary Lines</v>
      </c>
      <c r="G47" s="17" t="str">
        <v>Transformers</v>
      </c>
      <c r="H47" s="17" t="str">
        <v>Secondary Lines</v>
      </c>
      <c r="I47" s="17" t="str">
        <v>Service Lines</v>
      </c>
      <c r="J47" s="17" t="str">
        <v>Meter Assets</v>
      </c>
      <c r="K47" s="17" t="str">
        <v>Meter Reading</v>
      </c>
      <c r="L47" s="17" t="str">
        <v>Billing</v>
      </c>
      <c r="M47" s="17" t="str">
        <v>Remittance &amp; Collection</v>
      </c>
      <c r="N47" s="17" t="str">
        <v>Uncollectibles &amp; Damage Claims</v>
      </c>
      <c r="O47" s="17" t="str">
        <v>Service Connections</v>
      </c>
      <c r="P47" s="17" t="str">
        <v>Late Payments</v>
      </c>
      <c r="Q47" s="17" t="str">
        <v>Lighting</v>
      </c>
      <c r="R47" s="17" t="s">
        <v>214</v>
      </c>
    </row>
    <row r="48" spans="1:18" x14ac:dyDescent="0.3">
      <c r="A48" s="3" t="s">
        <v>199</v>
      </c>
      <c r="B48" s="30">
        <f t="shared" ref="B48:Q48" si="4">VLOOKUP($A48,Table_FunctionAllocators,COLUMN(),FALSE)</f>
        <v>0</v>
      </c>
      <c r="C48" s="30">
        <f t="shared" si="4"/>
        <v>0</v>
      </c>
      <c r="D48" s="30">
        <f t="shared" si="4"/>
        <v>0.05</v>
      </c>
      <c r="E48" s="30">
        <f t="shared" si="4"/>
        <v>0</v>
      </c>
      <c r="F48" s="30">
        <f t="shared" si="4"/>
        <v>3.3333333333333333E-2</v>
      </c>
      <c r="G48" s="30">
        <f t="shared" si="4"/>
        <v>3.3333333333333333E-2</v>
      </c>
      <c r="H48" s="30">
        <f t="shared" si="4"/>
        <v>3.3333333333333333E-2</v>
      </c>
      <c r="I48" s="30">
        <f t="shared" si="4"/>
        <v>0</v>
      </c>
      <c r="J48" s="30">
        <f t="shared" si="4"/>
        <v>0</v>
      </c>
      <c r="K48" s="30">
        <f t="shared" si="4"/>
        <v>0.05</v>
      </c>
      <c r="L48" s="30">
        <f t="shared" si="4"/>
        <v>0.2</v>
      </c>
      <c r="M48" s="30">
        <f t="shared" si="4"/>
        <v>0.4</v>
      </c>
      <c r="N48" s="30">
        <f t="shared" si="4"/>
        <v>0.1</v>
      </c>
      <c r="O48" s="30">
        <f t="shared" si="4"/>
        <v>0.1</v>
      </c>
      <c r="P48" s="30">
        <f t="shared" si="4"/>
        <v>0</v>
      </c>
      <c r="Q48" s="30">
        <f t="shared" si="4"/>
        <v>0</v>
      </c>
      <c r="R48" s="30">
        <f>SUM(B48:Q48)</f>
        <v>1</v>
      </c>
    </row>
    <row r="49" spans="1:18" x14ac:dyDescent="0.3">
      <c r="A49" s="3" t="s">
        <v>22</v>
      </c>
      <c r="B49" s="30"/>
      <c r="C49" s="30"/>
      <c r="D49" s="30"/>
      <c r="E49" s="30"/>
      <c r="F49" s="30"/>
      <c r="G49" s="30"/>
      <c r="H49" s="30"/>
      <c r="I49" s="30"/>
      <c r="J49" s="30"/>
      <c r="K49" s="30"/>
      <c r="L49" s="30"/>
      <c r="M49" s="30"/>
      <c r="N49" s="41">
        <v>1</v>
      </c>
      <c r="O49" s="30"/>
      <c r="P49" s="30"/>
      <c r="Q49" s="30"/>
      <c r="R49" s="30">
        <f>SUM(B49:Q49)</f>
        <v>1</v>
      </c>
    </row>
    <row r="50" spans="1:18" x14ac:dyDescent="0.3">
      <c r="A50" s="3" t="s">
        <v>19</v>
      </c>
      <c r="B50" s="30"/>
      <c r="C50" s="30"/>
      <c r="D50" s="30"/>
      <c r="E50" s="30"/>
      <c r="F50" s="30"/>
      <c r="G50" s="30"/>
      <c r="H50" s="30"/>
      <c r="I50" s="30"/>
      <c r="J50" s="30"/>
      <c r="K50" s="41">
        <v>1</v>
      </c>
      <c r="L50" s="30"/>
      <c r="M50" s="30"/>
      <c r="N50" s="30"/>
      <c r="O50" s="30"/>
      <c r="P50" s="30"/>
      <c r="Q50" s="30"/>
      <c r="R50" s="30">
        <f>SUM(B50:Q50)</f>
        <v>1</v>
      </c>
    </row>
    <row r="51" spans="1:18" x14ac:dyDescent="0.3">
      <c r="A51" s="3" t="s">
        <v>498</v>
      </c>
      <c r="B51" s="30">
        <f>SUMPRODUCT($B$42:$B$44,B48:B50)</f>
        <v>0</v>
      </c>
      <c r="C51" s="30">
        <f t="shared" ref="C51:Q51" si="5">SUMPRODUCT($B$42:$B$44,C48:C50)</f>
        <v>0</v>
      </c>
      <c r="D51" s="30">
        <f t="shared" si="5"/>
        <v>2.7500000000000004E-2</v>
      </c>
      <c r="E51" s="30">
        <f t="shared" si="5"/>
        <v>0</v>
      </c>
      <c r="F51" s="30">
        <f t="shared" si="5"/>
        <v>1.8333333333333333E-2</v>
      </c>
      <c r="G51" s="30">
        <f t="shared" si="5"/>
        <v>1.8333333333333333E-2</v>
      </c>
      <c r="H51" s="30">
        <f t="shared" si="5"/>
        <v>1.8333333333333333E-2</v>
      </c>
      <c r="I51" s="30">
        <f t="shared" si="5"/>
        <v>0</v>
      </c>
      <c r="J51" s="30">
        <f t="shared" si="5"/>
        <v>0</v>
      </c>
      <c r="K51" s="30">
        <f t="shared" si="5"/>
        <v>0.27750000000000002</v>
      </c>
      <c r="L51" s="30">
        <f t="shared" si="5"/>
        <v>0.11000000000000001</v>
      </c>
      <c r="M51" s="30">
        <f t="shared" si="5"/>
        <v>0.22000000000000003</v>
      </c>
      <c r="N51" s="30">
        <f t="shared" si="5"/>
        <v>0.255</v>
      </c>
      <c r="O51" s="30">
        <f t="shared" si="5"/>
        <v>5.5000000000000007E-2</v>
      </c>
      <c r="P51" s="30">
        <f t="shared" si="5"/>
        <v>0</v>
      </c>
      <c r="Q51" s="30">
        <f t="shared" si="5"/>
        <v>0</v>
      </c>
      <c r="R51" s="30">
        <f>SUM(B51:Q51)</f>
        <v>1.0000000000000002</v>
      </c>
    </row>
    <row r="53" spans="1:18" x14ac:dyDescent="0.3">
      <c r="A53" s="1" t="s">
        <v>212</v>
      </c>
    </row>
    <row r="54" spans="1:18" x14ac:dyDescent="0.3">
      <c r="A54" s="2" t="s">
        <v>491</v>
      </c>
    </row>
    <row r="55" spans="1:18" s="9" customFormat="1" ht="27" x14ac:dyDescent="0.25">
      <c r="A55" s="23" t="s">
        <v>492</v>
      </c>
      <c r="B55" s="17" t="s">
        <v>493</v>
      </c>
      <c r="C55" s="17" t="s">
        <v>494</v>
      </c>
      <c r="D55" s="17" t="s">
        <v>495</v>
      </c>
      <c r="E55" s="17"/>
      <c r="F55" s="17"/>
      <c r="G55" s="17"/>
      <c r="H55" s="17"/>
      <c r="I55" s="17"/>
      <c r="J55" s="17"/>
      <c r="K55" s="17"/>
      <c r="L55" s="17"/>
      <c r="M55" s="17"/>
      <c r="N55" s="17"/>
      <c r="O55" s="17"/>
      <c r="P55" s="17"/>
      <c r="Q55" s="17"/>
      <c r="R55" s="17"/>
    </row>
    <row r="56" spans="1:18" x14ac:dyDescent="0.3">
      <c r="A56" s="3" t="s">
        <v>464</v>
      </c>
      <c r="B56" s="5">
        <v>1</v>
      </c>
      <c r="C56" s="24">
        <v>1</v>
      </c>
      <c r="D56" s="1" t="s">
        <v>199</v>
      </c>
    </row>
    <row r="57" spans="1:18" x14ac:dyDescent="0.3">
      <c r="A57" s="3" t="s">
        <v>464</v>
      </c>
      <c r="B57" s="5">
        <v>2</v>
      </c>
      <c r="C57" s="24">
        <v>1</v>
      </c>
      <c r="D57" s="1" t="s">
        <v>199</v>
      </c>
    </row>
    <row r="58" spans="1:18" x14ac:dyDescent="0.3">
      <c r="A58" s="3" t="s">
        <v>205</v>
      </c>
      <c r="B58" s="5">
        <v>3</v>
      </c>
      <c r="C58" s="24">
        <f>1/3</f>
        <v>0.33333333333333331</v>
      </c>
      <c r="D58" s="1" t="s">
        <v>205</v>
      </c>
    </row>
    <row r="59" spans="1:18" x14ac:dyDescent="0.3">
      <c r="A59" s="3" t="s">
        <v>496</v>
      </c>
      <c r="B59" s="5">
        <v>3</v>
      </c>
      <c r="C59" s="24">
        <f>2/3</f>
        <v>0.66666666666666663</v>
      </c>
      <c r="D59" s="1" t="s">
        <v>156</v>
      </c>
    </row>
    <row r="60" spans="1:18" x14ac:dyDescent="0.3">
      <c r="A60" s="3" t="s">
        <v>457</v>
      </c>
      <c r="B60" s="5">
        <v>4</v>
      </c>
      <c r="C60" s="24">
        <v>0.8</v>
      </c>
      <c r="D60" s="1" t="s">
        <v>577</v>
      </c>
    </row>
    <row r="61" spans="1:18" x14ac:dyDescent="0.3">
      <c r="A61" s="3" t="s">
        <v>206</v>
      </c>
      <c r="B61" s="5">
        <v>4</v>
      </c>
      <c r="C61" s="24">
        <v>0.2</v>
      </c>
      <c r="D61" s="1" t="s">
        <v>206</v>
      </c>
    </row>
    <row r="62" spans="1:18" x14ac:dyDescent="0.3">
      <c r="A62" s="3" t="s">
        <v>497</v>
      </c>
      <c r="B62" s="5">
        <v>5</v>
      </c>
      <c r="C62" s="18">
        <v>1</v>
      </c>
      <c r="D62" s="1" t="s">
        <v>156</v>
      </c>
    </row>
    <row r="63" spans="1:18" x14ac:dyDescent="0.3">
      <c r="A63" s="2" t="s">
        <v>586</v>
      </c>
    </row>
    <row r="64" spans="1:18" s="9" customFormat="1" x14ac:dyDescent="0.25">
      <c r="A64" s="23" t="s">
        <v>495</v>
      </c>
      <c r="B64" s="17" t="s">
        <v>501</v>
      </c>
      <c r="C64" s="17"/>
      <c r="D64" s="17"/>
      <c r="E64" s="17"/>
      <c r="F64" s="17"/>
      <c r="G64" s="17"/>
      <c r="H64" s="17"/>
      <c r="I64" s="17"/>
      <c r="J64" s="17"/>
      <c r="K64" s="17"/>
      <c r="L64" s="17"/>
      <c r="M64" s="17"/>
      <c r="N64" s="17"/>
      <c r="O64" s="17"/>
      <c r="P64" s="17"/>
      <c r="Q64" s="17"/>
      <c r="R64" s="17"/>
    </row>
    <row r="65" spans="1:18" x14ac:dyDescent="0.3">
      <c r="A65" s="3" t="s">
        <v>199</v>
      </c>
      <c r="B65" s="18">
        <f>SUMIFS($C$56:$C$62,$D$56:$D$62,A65)/5</f>
        <v>0.4</v>
      </c>
    </row>
    <row r="66" spans="1:18" x14ac:dyDescent="0.3">
      <c r="A66" s="3" t="s">
        <v>577</v>
      </c>
      <c r="B66" s="18">
        <f>SUMIFS($C$56:$C$62,$D$56:$D$62,A66)/5</f>
        <v>0.16</v>
      </c>
    </row>
    <row r="67" spans="1:18" x14ac:dyDescent="0.3">
      <c r="A67" s="3" t="s">
        <v>205</v>
      </c>
      <c r="B67" s="18">
        <f>SUMIFS($C$56:$C$62,$D$56:$D$62,A67)/5</f>
        <v>6.6666666666666666E-2</v>
      </c>
    </row>
    <row r="68" spans="1:18" x14ac:dyDescent="0.3">
      <c r="A68" s="3" t="s">
        <v>206</v>
      </c>
      <c r="B68" s="18">
        <f>SUMIFS($C$56:$C$62,$D$56:$D$62,A68)/5</f>
        <v>0.04</v>
      </c>
    </row>
    <row r="69" spans="1:18" x14ac:dyDescent="0.3">
      <c r="A69" s="3" t="s">
        <v>156</v>
      </c>
      <c r="B69" s="18">
        <f>SUMIFS($C$56:$C$62,$D$56:$D$62,A69)/5</f>
        <v>0.33333333333333331</v>
      </c>
    </row>
    <row r="70" spans="1:18" x14ac:dyDescent="0.3">
      <c r="A70" s="3" t="s">
        <v>214</v>
      </c>
      <c r="B70" s="18">
        <f>SUM(B65:B69)</f>
        <v>1</v>
      </c>
    </row>
    <row r="71" spans="1:18" x14ac:dyDescent="0.3">
      <c r="A71" s="2" t="s">
        <v>500</v>
      </c>
      <c r="B71" s="18"/>
    </row>
    <row r="72" spans="1:18" s="9" customFormat="1" ht="54" x14ac:dyDescent="0.25">
      <c r="A72" s="23" t="s">
        <v>196</v>
      </c>
      <c r="B72" s="17" t="str">
        <f t="array" ref="B72:Q72">TRANSPOSE(List_Functions)</f>
        <v>Generation</v>
      </c>
      <c r="C72" s="17" t="str">
        <v>Purchased Power</v>
      </c>
      <c r="D72" s="17" t="str">
        <v>Transmission</v>
      </c>
      <c r="E72" s="17" t="str">
        <v>Substations</v>
      </c>
      <c r="F72" s="17" t="str">
        <v>Primary Lines</v>
      </c>
      <c r="G72" s="17" t="str">
        <v>Transformers</v>
      </c>
      <c r="H72" s="17" t="str">
        <v>Secondary Lines</v>
      </c>
      <c r="I72" s="17" t="str">
        <v>Service Lines</v>
      </c>
      <c r="J72" s="17" t="str">
        <v>Meter Assets</v>
      </c>
      <c r="K72" s="17" t="str">
        <v>Meter Reading</v>
      </c>
      <c r="L72" s="17" t="str">
        <v>Billing</v>
      </c>
      <c r="M72" s="17" t="str">
        <v>Remittance &amp; Collection</v>
      </c>
      <c r="N72" s="17" t="str">
        <v>Uncollectibles &amp; Damage Claims</v>
      </c>
      <c r="O72" s="17" t="str">
        <v>Service Connections</v>
      </c>
      <c r="P72" s="17" t="str">
        <v>Late Payments</v>
      </c>
      <c r="Q72" s="17" t="str">
        <v>Lighting</v>
      </c>
      <c r="R72" s="17" t="s">
        <v>214</v>
      </c>
    </row>
    <row r="73" spans="1:18" x14ac:dyDescent="0.3">
      <c r="A73" s="3" t="s">
        <v>199</v>
      </c>
      <c r="B73" s="30">
        <f t="shared" ref="B73:K77" si="6">VLOOKUP($A73,Table_FunctionAllocators,COLUMN(),FALSE)</f>
        <v>0</v>
      </c>
      <c r="C73" s="30">
        <f t="shared" si="6"/>
        <v>0</v>
      </c>
      <c r="D73" s="30">
        <f t="shared" si="6"/>
        <v>0.05</v>
      </c>
      <c r="E73" s="30">
        <f t="shared" si="6"/>
        <v>0</v>
      </c>
      <c r="F73" s="30">
        <f t="shared" si="6"/>
        <v>3.3333333333333333E-2</v>
      </c>
      <c r="G73" s="30">
        <f t="shared" si="6"/>
        <v>3.3333333333333333E-2</v>
      </c>
      <c r="H73" s="30">
        <f t="shared" si="6"/>
        <v>3.3333333333333333E-2</v>
      </c>
      <c r="I73" s="30">
        <f t="shared" si="6"/>
        <v>0</v>
      </c>
      <c r="J73" s="30">
        <f t="shared" si="6"/>
        <v>0</v>
      </c>
      <c r="K73" s="30">
        <f t="shared" si="6"/>
        <v>0.05</v>
      </c>
      <c r="L73" s="30">
        <f t="shared" ref="L73:Q77" si="7">VLOOKUP($A73,Table_FunctionAllocators,COLUMN(),FALSE)</f>
        <v>0.2</v>
      </c>
      <c r="M73" s="30">
        <f t="shared" si="7"/>
        <v>0.4</v>
      </c>
      <c r="N73" s="30">
        <f t="shared" si="7"/>
        <v>0.1</v>
      </c>
      <c r="O73" s="30">
        <f t="shared" si="7"/>
        <v>0.1</v>
      </c>
      <c r="P73" s="30">
        <f t="shared" si="7"/>
        <v>0</v>
      </c>
      <c r="Q73" s="30">
        <f t="shared" si="7"/>
        <v>0</v>
      </c>
      <c r="R73" s="30">
        <f t="shared" ref="R73:R78" si="8">SUM(B73:Q73)</f>
        <v>1</v>
      </c>
    </row>
    <row r="74" spans="1:18" x14ac:dyDescent="0.3">
      <c r="A74" s="3" t="s">
        <v>577</v>
      </c>
      <c r="B74" s="30">
        <f t="shared" si="6"/>
        <v>4.9375537015141767E-2</v>
      </c>
      <c r="C74" s="30">
        <f t="shared" si="6"/>
        <v>1.3306578034943837E-2</v>
      </c>
      <c r="D74" s="30">
        <f t="shared" si="6"/>
        <v>0.1766729401016276</v>
      </c>
      <c r="E74" s="30">
        <f t="shared" si="6"/>
        <v>6.9091083206931705E-2</v>
      </c>
      <c r="F74" s="30">
        <f t="shared" si="6"/>
        <v>0.16456838859773562</v>
      </c>
      <c r="G74" s="30">
        <f t="shared" si="6"/>
        <v>0.14555979857304541</v>
      </c>
      <c r="H74" s="30">
        <f t="shared" si="6"/>
        <v>6.0135563739970303E-2</v>
      </c>
      <c r="I74" s="30">
        <f t="shared" si="6"/>
        <v>5.6950756130566368E-2</v>
      </c>
      <c r="J74" s="30">
        <f t="shared" si="6"/>
        <v>1.8316299022522624E-2</v>
      </c>
      <c r="K74" s="30">
        <f t="shared" si="6"/>
        <v>3.0812571306208864E-2</v>
      </c>
      <c r="L74" s="30">
        <f t="shared" si="7"/>
        <v>8.4576215184437725E-3</v>
      </c>
      <c r="M74" s="30">
        <f t="shared" si="7"/>
        <v>0.2</v>
      </c>
      <c r="N74" s="30">
        <f t="shared" si="7"/>
        <v>0</v>
      </c>
      <c r="O74" s="30">
        <f t="shared" si="7"/>
        <v>0</v>
      </c>
      <c r="P74" s="30">
        <f t="shared" si="7"/>
        <v>0</v>
      </c>
      <c r="Q74" s="30">
        <f t="shared" si="7"/>
        <v>6.7528627528621685E-3</v>
      </c>
      <c r="R74" s="30">
        <f t="shared" si="8"/>
        <v>0.99999999999999978</v>
      </c>
    </row>
    <row r="75" spans="1:18" x14ac:dyDescent="0.3">
      <c r="A75" s="3" t="s">
        <v>205</v>
      </c>
      <c r="B75" s="30">
        <f t="shared" si="6"/>
        <v>6.6836962361028823E-3</v>
      </c>
      <c r="C75" s="30">
        <f t="shared" si="6"/>
        <v>3.4451011319647999E-4</v>
      </c>
      <c r="D75" s="30">
        <f t="shared" si="6"/>
        <v>0.20993369264231065</v>
      </c>
      <c r="E75" s="30">
        <f t="shared" si="6"/>
        <v>7.9652592974071471E-2</v>
      </c>
      <c r="F75" s="30">
        <f t="shared" si="6"/>
        <v>0.26762775020725538</v>
      </c>
      <c r="G75" s="30">
        <f t="shared" si="6"/>
        <v>0.16713589916433064</v>
      </c>
      <c r="H75" s="30">
        <f t="shared" si="6"/>
        <v>9.0771073702262756E-2</v>
      </c>
      <c r="I75" s="30">
        <f t="shared" si="6"/>
        <v>0.1344718303986395</v>
      </c>
      <c r="J75" s="30">
        <f t="shared" si="6"/>
        <v>2.7434130006273642E-2</v>
      </c>
      <c r="K75" s="30">
        <f t="shared" si="6"/>
        <v>0</v>
      </c>
      <c r="L75" s="30">
        <f t="shared" si="7"/>
        <v>0</v>
      </c>
      <c r="M75" s="30">
        <f t="shared" si="7"/>
        <v>0</v>
      </c>
      <c r="N75" s="30">
        <f t="shared" si="7"/>
        <v>0</v>
      </c>
      <c r="O75" s="30">
        <f t="shared" si="7"/>
        <v>0</v>
      </c>
      <c r="P75" s="30">
        <f t="shared" si="7"/>
        <v>0</v>
      </c>
      <c r="Q75" s="30">
        <f t="shared" si="7"/>
        <v>1.5944824555556621E-2</v>
      </c>
      <c r="R75" s="30">
        <f t="shared" si="8"/>
        <v>1</v>
      </c>
    </row>
    <row r="76" spans="1:18" x14ac:dyDescent="0.3">
      <c r="A76" s="3" t="s">
        <v>206</v>
      </c>
      <c r="B76" s="30">
        <f t="shared" si="6"/>
        <v>0</v>
      </c>
      <c r="C76" s="30">
        <f t="shared" si="6"/>
        <v>0</v>
      </c>
      <c r="D76" s="30">
        <f t="shared" si="6"/>
        <v>0.20877473393548598</v>
      </c>
      <c r="E76" s="30">
        <f t="shared" si="6"/>
        <v>7.4725120901459302E-2</v>
      </c>
      <c r="F76" s="30">
        <f t="shared" si="6"/>
        <v>0.27295865373046763</v>
      </c>
      <c r="G76" s="30">
        <f t="shared" si="6"/>
        <v>0.16955997364808623</v>
      </c>
      <c r="H76" s="30">
        <f t="shared" si="6"/>
        <v>9.0986217910155862E-2</v>
      </c>
      <c r="I76" s="30">
        <f t="shared" si="6"/>
        <v>0.13836156491477147</v>
      </c>
      <c r="J76" s="30">
        <f t="shared" si="6"/>
        <v>2.8227690130272178E-2</v>
      </c>
      <c r="K76" s="30">
        <f t="shared" si="6"/>
        <v>0</v>
      </c>
      <c r="L76" s="30">
        <f t="shared" si="7"/>
        <v>0</v>
      </c>
      <c r="M76" s="30">
        <f t="shared" si="7"/>
        <v>0</v>
      </c>
      <c r="N76" s="30">
        <f t="shared" si="7"/>
        <v>0</v>
      </c>
      <c r="O76" s="30">
        <f t="shared" si="7"/>
        <v>0</v>
      </c>
      <c r="P76" s="30">
        <f t="shared" si="7"/>
        <v>0</v>
      </c>
      <c r="Q76" s="30">
        <f t="shared" si="7"/>
        <v>1.6406044829301365E-2</v>
      </c>
      <c r="R76" s="30">
        <f t="shared" si="8"/>
        <v>1</v>
      </c>
    </row>
    <row r="77" spans="1:18" x14ac:dyDescent="0.3">
      <c r="A77" s="3" t="s">
        <v>156</v>
      </c>
      <c r="B77" s="30">
        <f t="shared" si="6"/>
        <v>0.12113254655344105</v>
      </c>
      <c r="C77" s="30">
        <f t="shared" si="6"/>
        <v>3.4372820389175815E-2</v>
      </c>
      <c r="D77" s="30">
        <f t="shared" si="6"/>
        <v>0.22645835694866853</v>
      </c>
      <c r="E77" s="30">
        <f t="shared" si="6"/>
        <v>9.6658953553241098E-2</v>
      </c>
      <c r="F77" s="30">
        <f t="shared" si="6"/>
        <v>0.13558744221439376</v>
      </c>
      <c r="G77" s="30">
        <f t="shared" si="6"/>
        <v>0.18934991436201665</v>
      </c>
      <c r="H77" s="30">
        <f t="shared" si="6"/>
        <v>5.9471804714520057E-2</v>
      </c>
      <c r="I77" s="30">
        <f t="shared" si="6"/>
        <v>6.228740772611604E-3</v>
      </c>
      <c r="J77" s="30">
        <f t="shared" si="6"/>
        <v>1.9263744309704213E-2</v>
      </c>
      <c r="K77" s="30">
        <f t="shared" si="6"/>
        <v>7.6481470746461208E-2</v>
      </c>
      <c r="L77" s="30">
        <f t="shared" si="7"/>
        <v>2.2709214023798351E-2</v>
      </c>
      <c r="M77" s="30">
        <f t="shared" si="7"/>
        <v>2.3653796662825442E-3</v>
      </c>
      <c r="N77" s="30">
        <f t="shared" si="7"/>
        <v>2.3653796662825442E-3</v>
      </c>
      <c r="O77" s="30">
        <f t="shared" si="7"/>
        <v>2.3653796662825442E-3</v>
      </c>
      <c r="P77" s="30">
        <f t="shared" si="7"/>
        <v>2.3653796662825442E-3</v>
      </c>
      <c r="Q77" s="30">
        <f t="shared" si="7"/>
        <v>2.8234727468375125E-3</v>
      </c>
      <c r="R77" s="30">
        <f t="shared" si="8"/>
        <v>1.0000000000000002</v>
      </c>
    </row>
    <row r="78" spans="1:18" x14ac:dyDescent="0.3">
      <c r="A78" s="3" t="s">
        <v>498</v>
      </c>
      <c r="B78" s="30">
        <f t="shared" ref="B78:Q78" si="9">SUMPRODUCT(B73:B77,$B$65:$B$69)</f>
        <v>4.8723181189309892E-2</v>
      </c>
      <c r="C78" s="30">
        <f t="shared" si="9"/>
        <v>1.3609626622862716E-2</v>
      </c>
      <c r="D78" s="30">
        <f t="shared" si="9"/>
        <v>0.14610035826605675</v>
      </c>
      <c r="E78" s="30">
        <f t="shared" si="9"/>
        <v>5.1573402198519233E-2</v>
      </c>
      <c r="F78" s="30">
        <f t="shared" si="9"/>
        <v>0.11362028574347134</v>
      </c>
      <c r="G78" s="30">
        <f t="shared" si="9"/>
        <v>0.11766433144923831</v>
      </c>
      <c r="H78" s="30">
        <f t="shared" si="9"/>
        <v>5.2469812066459016E-2</v>
      </c>
      <c r="I78" s="30">
        <f t="shared" si="9"/>
        <v>2.5687619194927975E-2</v>
      </c>
      <c r="J78" s="30">
        <f t="shared" si="9"/>
        <v>1.2309905552467488E-2</v>
      </c>
      <c r="K78" s="30">
        <f t="shared" si="9"/>
        <v>5.0423834991147158E-2</v>
      </c>
      <c r="L78" s="30">
        <f t="shared" si="9"/>
        <v>8.8922957450883799E-2</v>
      </c>
      <c r="M78" s="30">
        <f t="shared" si="9"/>
        <v>0.19278845988876089</v>
      </c>
      <c r="N78" s="30">
        <f t="shared" si="9"/>
        <v>4.0788459888760856E-2</v>
      </c>
      <c r="O78" s="30">
        <f t="shared" si="9"/>
        <v>4.0788459888760856E-2</v>
      </c>
      <c r="P78" s="30">
        <f t="shared" si="9"/>
        <v>7.8845988876084805E-4</v>
      </c>
      <c r="Q78" s="30">
        <f t="shared" si="9"/>
        <v>3.7408457196129474E-3</v>
      </c>
      <c r="R78" s="30">
        <f t="shared" si="8"/>
        <v>1.0000000000000002</v>
      </c>
    </row>
  </sheetData>
  <printOptions horizontalCentered="1" gridLines="1"/>
  <pageMargins left="0.19685039370078741" right="0.19685039370078741" top="0.98425196850393704" bottom="0.59055118110236227" header="0.19685039370078741" footer="0.19685039370078741"/>
  <pageSetup scale="60" pageOrder="overThenDown" orientation="landscape" r:id="rId1"/>
  <headerFooter scaleWithDoc="0">
    <oddHeader xml:space="preserve">&amp;C2023 "Status Quo Methods" Cost Allocation Model for MECL </oddHeader>
    <oddFooter>&amp;LPage &amp;P of &amp;N&amp;RJune 27, 2025</oddFooter>
  </headerFooter>
  <rowBreaks count="1" manualBreakCount="1">
    <brk id="45"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J159"/>
  <sheetViews>
    <sheetView view="pageBreakPreview" topLeftCell="A100" zoomScale="40" zoomScaleNormal="85" zoomScaleSheetLayoutView="40" workbookViewId="0">
      <selection activeCell="E21" sqref="E21"/>
    </sheetView>
  </sheetViews>
  <sheetFormatPr defaultColWidth="8.7109375" defaultRowHeight="13.5" x14ac:dyDescent="0.3"/>
  <cols>
    <col min="1" max="1" width="10.7109375" style="44" customWidth="1"/>
    <col min="2" max="2" width="30.7109375" style="44" customWidth="1"/>
    <col min="3" max="3" width="10.5703125" style="44" customWidth="1"/>
    <col min="4" max="6" width="9.7109375" style="44" customWidth="1"/>
    <col min="7" max="7" width="30.7109375" style="44" customWidth="1"/>
    <col min="8" max="8" width="24.28515625" style="44" customWidth="1"/>
    <col min="9" max="9" width="10.7109375" style="44" customWidth="1"/>
    <col min="10" max="10" width="20.7109375" style="44" customWidth="1"/>
    <col min="11" max="16384" width="8.7109375" style="44"/>
  </cols>
  <sheetData>
    <row r="1" spans="1:10" x14ac:dyDescent="0.3">
      <c r="A1" s="44" t="s">
        <v>436</v>
      </c>
    </row>
    <row r="2" spans="1:10" x14ac:dyDescent="0.3">
      <c r="A2" s="44" t="s">
        <v>700</v>
      </c>
    </row>
    <row r="4" spans="1:10" s="52" customFormat="1" ht="54" x14ac:dyDescent="0.25">
      <c r="A4" s="52" t="s">
        <v>47</v>
      </c>
      <c r="B4" s="52" t="s">
        <v>437</v>
      </c>
      <c r="C4" s="43" t="s">
        <v>696</v>
      </c>
      <c r="D4" s="43" t="s">
        <v>509</v>
      </c>
      <c r="E4" s="43" t="s">
        <v>440</v>
      </c>
      <c r="F4" s="43" t="s">
        <v>589</v>
      </c>
      <c r="G4" s="52" t="s">
        <v>465</v>
      </c>
      <c r="H4" s="52" t="s">
        <v>438</v>
      </c>
      <c r="I4" s="53" t="s">
        <v>510</v>
      </c>
      <c r="J4" s="52" t="s">
        <v>676</v>
      </c>
    </row>
    <row r="5" spans="1:10" ht="14" x14ac:dyDescent="0.3">
      <c r="A5" s="44" t="s">
        <v>267</v>
      </c>
      <c r="B5" s="44" t="s">
        <v>268</v>
      </c>
      <c r="C5" s="60">
        <v>62358</v>
      </c>
      <c r="D5" s="44">
        <f>IFERROR(C5*I5,0)</f>
        <v>0</v>
      </c>
      <c r="E5">
        <v>0</v>
      </c>
      <c r="F5">
        <v>0</v>
      </c>
      <c r="G5" s="6" t="s">
        <v>247</v>
      </c>
      <c r="H5" s="6" t="s">
        <v>11</v>
      </c>
      <c r="I5" s="7">
        <v>0</v>
      </c>
      <c r="J5" s="6"/>
    </row>
    <row r="6" spans="1:10" ht="14" x14ac:dyDescent="0.3">
      <c r="A6" s="44" t="s">
        <v>269</v>
      </c>
      <c r="B6" s="44" t="s">
        <v>270</v>
      </c>
      <c r="C6" s="60">
        <v>11772330</v>
      </c>
      <c r="D6" s="44">
        <f t="shared" ref="D6:D70" si="0">IFERROR(C6*I6,0)</f>
        <v>11772330</v>
      </c>
      <c r="E6">
        <v>0</v>
      </c>
      <c r="F6">
        <v>0</v>
      </c>
      <c r="G6" s="6" t="s">
        <v>247</v>
      </c>
      <c r="H6" s="6" t="s">
        <v>11</v>
      </c>
      <c r="I6" s="7">
        <v>1</v>
      </c>
      <c r="J6" s="6"/>
    </row>
    <row r="7" spans="1:10" ht="14" x14ac:dyDescent="0.3">
      <c r="A7" s="44" t="s">
        <v>271</v>
      </c>
      <c r="B7" s="44" t="s">
        <v>272</v>
      </c>
      <c r="C7" s="60">
        <v>17005155</v>
      </c>
      <c r="D7" s="44">
        <f t="shared" si="0"/>
        <v>3911185.6500000004</v>
      </c>
      <c r="E7">
        <v>0</v>
      </c>
      <c r="F7">
        <v>0</v>
      </c>
      <c r="G7" s="6" t="s">
        <v>247</v>
      </c>
      <c r="H7" s="6" t="s">
        <v>11</v>
      </c>
      <c r="I7" s="7">
        <v>0.23</v>
      </c>
      <c r="J7" s="6" t="s">
        <v>677</v>
      </c>
    </row>
    <row r="8" spans="1:10" ht="14" x14ac:dyDescent="0.3">
      <c r="A8" s="44" t="s">
        <v>273</v>
      </c>
      <c r="B8" s="44" t="s">
        <v>274</v>
      </c>
      <c r="C8" s="60">
        <v>3440970</v>
      </c>
      <c r="D8" s="44">
        <f t="shared" si="0"/>
        <v>0</v>
      </c>
      <c r="E8">
        <v>0</v>
      </c>
      <c r="F8">
        <v>0</v>
      </c>
      <c r="G8" s="6" t="s">
        <v>247</v>
      </c>
      <c r="H8" s="6" t="s">
        <v>11</v>
      </c>
      <c r="I8" s="7">
        <v>0</v>
      </c>
      <c r="J8" s="6"/>
    </row>
    <row r="9" spans="1:10" ht="14" x14ac:dyDescent="0.3">
      <c r="A9" s="44" t="s">
        <v>275</v>
      </c>
      <c r="B9" s="44" t="s">
        <v>276</v>
      </c>
      <c r="C9" s="60">
        <v>857031</v>
      </c>
      <c r="D9" s="44">
        <f t="shared" si="0"/>
        <v>0</v>
      </c>
      <c r="E9">
        <v>0</v>
      </c>
      <c r="F9">
        <v>0</v>
      </c>
      <c r="G9" s="6" t="s">
        <v>247</v>
      </c>
      <c r="H9" s="6" t="s">
        <v>11</v>
      </c>
      <c r="I9" s="7">
        <v>0</v>
      </c>
      <c r="J9" s="6"/>
    </row>
    <row r="10" spans="1:10" ht="14" x14ac:dyDescent="0.3">
      <c r="A10" s="44" t="s">
        <v>277</v>
      </c>
      <c r="B10" s="44" t="s">
        <v>278</v>
      </c>
      <c r="C10" s="60">
        <v>156322</v>
      </c>
      <c r="D10" s="44">
        <f t="shared" si="0"/>
        <v>0</v>
      </c>
      <c r="E10">
        <v>0</v>
      </c>
      <c r="F10">
        <v>0</v>
      </c>
      <c r="G10" s="6" t="s">
        <v>247</v>
      </c>
      <c r="H10" s="6" t="s">
        <v>11</v>
      </c>
      <c r="I10" s="7">
        <v>0</v>
      </c>
      <c r="J10" s="6"/>
    </row>
    <row r="11" spans="1:10" ht="14" x14ac:dyDescent="0.3">
      <c r="A11" s="44" t="s">
        <v>279</v>
      </c>
      <c r="B11" s="44" t="s">
        <v>280</v>
      </c>
      <c r="C11" s="60">
        <v>10280858</v>
      </c>
      <c r="D11" s="44">
        <f t="shared" si="0"/>
        <v>2570214.5</v>
      </c>
      <c r="E11">
        <v>0</v>
      </c>
      <c r="F11">
        <v>0</v>
      </c>
      <c r="G11" s="6" t="s">
        <v>247</v>
      </c>
      <c r="H11" s="6" t="s">
        <v>11</v>
      </c>
      <c r="I11" s="7">
        <v>0.25</v>
      </c>
      <c r="J11" s="6" t="s">
        <v>678</v>
      </c>
    </row>
    <row r="12" spans="1:10" ht="14" x14ac:dyDescent="0.3">
      <c r="A12" s="44" t="s">
        <v>281</v>
      </c>
      <c r="B12" s="44" t="s">
        <v>282</v>
      </c>
      <c r="C12" s="60">
        <v>11731572</v>
      </c>
      <c r="D12" s="44">
        <f t="shared" si="0"/>
        <v>2932893</v>
      </c>
      <c r="E12">
        <v>0</v>
      </c>
      <c r="F12">
        <v>0</v>
      </c>
      <c r="G12" s="6" t="s">
        <v>247</v>
      </c>
      <c r="H12" s="6" t="s">
        <v>11</v>
      </c>
      <c r="I12" s="7">
        <v>0.25</v>
      </c>
      <c r="J12" s="6" t="s">
        <v>678</v>
      </c>
    </row>
    <row r="13" spans="1:10" ht="14" x14ac:dyDescent="0.3">
      <c r="A13" s="44" t="s">
        <v>283</v>
      </c>
      <c r="B13" s="44" t="s">
        <v>284</v>
      </c>
      <c r="C13" s="60">
        <v>1995577</v>
      </c>
      <c r="D13" s="44">
        <f t="shared" si="0"/>
        <v>498894.25</v>
      </c>
      <c r="E13">
        <v>0</v>
      </c>
      <c r="F13">
        <v>0</v>
      </c>
      <c r="G13" s="6" t="s">
        <v>247</v>
      </c>
      <c r="H13" s="6" t="s">
        <v>11</v>
      </c>
      <c r="I13" s="7">
        <v>0.25</v>
      </c>
      <c r="J13" s="6" t="s">
        <v>678</v>
      </c>
    </row>
    <row r="14" spans="1:10" ht="14" x14ac:dyDescent="0.3">
      <c r="A14" s="44" t="s">
        <v>285</v>
      </c>
      <c r="B14" s="44" t="s">
        <v>286</v>
      </c>
      <c r="C14" s="60">
        <v>420205</v>
      </c>
      <c r="D14" s="44">
        <f t="shared" si="0"/>
        <v>105051.25</v>
      </c>
      <c r="E14">
        <v>0</v>
      </c>
      <c r="F14">
        <v>0</v>
      </c>
      <c r="G14" s="6" t="s">
        <v>247</v>
      </c>
      <c r="H14" s="6" t="s">
        <v>11</v>
      </c>
      <c r="I14" s="7">
        <v>0.25</v>
      </c>
      <c r="J14" s="6" t="s">
        <v>678</v>
      </c>
    </row>
    <row r="15" spans="1:10" ht="14" x14ac:dyDescent="0.3">
      <c r="A15" s="44" t="s">
        <v>287</v>
      </c>
      <c r="B15" s="44" t="s">
        <v>288</v>
      </c>
      <c r="C15" s="60">
        <v>41077</v>
      </c>
      <c r="D15" s="44">
        <f t="shared" si="0"/>
        <v>10269.25</v>
      </c>
      <c r="E15">
        <v>0</v>
      </c>
      <c r="F15">
        <v>0</v>
      </c>
      <c r="G15" s="6" t="s">
        <v>247</v>
      </c>
      <c r="H15" s="6" t="s">
        <v>11</v>
      </c>
      <c r="I15" s="7">
        <v>0.25</v>
      </c>
      <c r="J15" s="6" t="s">
        <v>678</v>
      </c>
    </row>
    <row r="16" spans="1:10" ht="14" x14ac:dyDescent="0.3">
      <c r="A16" s="44" t="s">
        <v>289</v>
      </c>
      <c r="B16" s="44" t="s">
        <v>290</v>
      </c>
      <c r="C16" s="60">
        <v>199034</v>
      </c>
      <c r="D16" s="44">
        <f t="shared" si="0"/>
        <v>0</v>
      </c>
      <c r="E16">
        <v>0</v>
      </c>
      <c r="F16">
        <v>0</v>
      </c>
      <c r="G16" s="6" t="s">
        <v>247</v>
      </c>
      <c r="H16" s="6" t="s">
        <v>12</v>
      </c>
      <c r="I16" s="7" t="s">
        <v>482</v>
      </c>
      <c r="J16" s="6"/>
    </row>
    <row r="17" spans="1:10" ht="14" x14ac:dyDescent="0.3">
      <c r="A17" s="44" t="s">
        <v>291</v>
      </c>
      <c r="B17" s="44" t="s">
        <v>292</v>
      </c>
      <c r="C17" s="60">
        <v>175464</v>
      </c>
      <c r="D17" s="44">
        <f t="shared" si="0"/>
        <v>0</v>
      </c>
      <c r="E17">
        <v>0</v>
      </c>
      <c r="F17">
        <v>0</v>
      </c>
      <c r="G17" s="6" t="s">
        <v>247</v>
      </c>
      <c r="H17" s="6" t="s">
        <v>12</v>
      </c>
      <c r="I17" s="7" t="s">
        <v>482</v>
      </c>
      <c r="J17" s="6"/>
    </row>
    <row r="18" spans="1:10" ht="14" x14ac:dyDescent="0.3">
      <c r="A18" s="44" t="s">
        <v>293</v>
      </c>
      <c r="B18" s="44" t="s">
        <v>294</v>
      </c>
      <c r="C18" s="60">
        <v>183878</v>
      </c>
      <c r="D18" s="44">
        <f>IFERROR(C18*I18,0)</f>
        <v>0</v>
      </c>
      <c r="E18">
        <v>0</v>
      </c>
      <c r="F18">
        <v>0</v>
      </c>
      <c r="G18" s="6" t="s">
        <v>247</v>
      </c>
      <c r="H18" s="6" t="s">
        <v>12</v>
      </c>
      <c r="I18" s="7" t="s">
        <v>482</v>
      </c>
      <c r="J18" s="6"/>
    </row>
    <row r="19" spans="1:10" ht="14" x14ac:dyDescent="0.3">
      <c r="A19" s="44" t="s">
        <v>685</v>
      </c>
      <c r="B19" s="44" t="s">
        <v>686</v>
      </c>
      <c r="C19" s="60">
        <v>254446</v>
      </c>
      <c r="D19" s="44">
        <f t="shared" ref="D19:D21" si="1">IFERROR(C19*I19,0)</f>
        <v>254446</v>
      </c>
      <c r="E19">
        <v>0</v>
      </c>
      <c r="F19">
        <v>0</v>
      </c>
      <c r="G19" s="6" t="s">
        <v>247</v>
      </c>
      <c r="H19" s="6" t="s">
        <v>11</v>
      </c>
      <c r="I19" s="7">
        <v>1</v>
      </c>
      <c r="J19" s="6"/>
    </row>
    <row r="20" spans="1:10" ht="14" x14ac:dyDescent="0.3">
      <c r="A20" s="44" t="s">
        <v>687</v>
      </c>
      <c r="B20" s="44" t="s">
        <v>688</v>
      </c>
      <c r="C20" s="60">
        <v>206106</v>
      </c>
      <c r="D20" s="44">
        <f t="shared" si="1"/>
        <v>206106</v>
      </c>
      <c r="E20">
        <v>0</v>
      </c>
      <c r="F20">
        <v>0</v>
      </c>
      <c r="G20" s="6" t="s">
        <v>247</v>
      </c>
      <c r="H20" s="6" t="s">
        <v>11</v>
      </c>
      <c r="I20" s="7">
        <v>1</v>
      </c>
      <c r="J20" s="6"/>
    </row>
    <row r="21" spans="1:10" ht="14" x14ac:dyDescent="0.3">
      <c r="A21" s="44" t="s">
        <v>295</v>
      </c>
      <c r="B21" s="44" t="s">
        <v>296</v>
      </c>
      <c r="C21" s="60">
        <v>1875379</v>
      </c>
      <c r="D21" s="44">
        <f t="shared" si="1"/>
        <v>0</v>
      </c>
      <c r="E21">
        <v>0</v>
      </c>
      <c r="F21">
        <v>0</v>
      </c>
      <c r="G21" s="6" t="s">
        <v>247</v>
      </c>
      <c r="H21" s="6" t="s">
        <v>11</v>
      </c>
      <c r="I21" s="7">
        <v>0</v>
      </c>
      <c r="J21" s="6"/>
    </row>
    <row r="22" spans="1:10" ht="14" x14ac:dyDescent="0.3">
      <c r="A22" s="44" t="s">
        <v>666</v>
      </c>
      <c r="B22" s="44" t="s">
        <v>667</v>
      </c>
      <c r="C22" s="60">
        <v>-84450</v>
      </c>
      <c r="D22" s="44">
        <f>IFERROR(C22*I22,0)</f>
        <v>-84450</v>
      </c>
      <c r="E22">
        <v>0</v>
      </c>
      <c r="F22">
        <v>0</v>
      </c>
      <c r="G22" s="6" t="s">
        <v>247</v>
      </c>
      <c r="H22" s="6" t="s">
        <v>11</v>
      </c>
      <c r="I22" s="7">
        <v>1</v>
      </c>
      <c r="J22" s="6"/>
    </row>
    <row r="23" spans="1:10" ht="14" x14ac:dyDescent="0.3">
      <c r="A23">
        <v>7050</v>
      </c>
      <c r="B23" t="s">
        <v>733</v>
      </c>
      <c r="C23" s="60">
        <v>85823732</v>
      </c>
      <c r="D23" s="44">
        <f>IFERROR(C23*I23,0)</f>
        <v>0</v>
      </c>
      <c r="E23">
        <v>0</v>
      </c>
      <c r="F23">
        <v>0</v>
      </c>
      <c r="G23" s="6" t="s">
        <v>247</v>
      </c>
      <c r="H23" s="6" t="s">
        <v>11</v>
      </c>
      <c r="I23" s="7">
        <v>0</v>
      </c>
      <c r="J23" s="6"/>
    </row>
    <row r="24" spans="1:10" ht="14" x14ac:dyDescent="0.3">
      <c r="A24" s="44" t="s">
        <v>297</v>
      </c>
      <c r="B24" s="44" t="s">
        <v>298</v>
      </c>
      <c r="C24" s="60">
        <v>2579389</v>
      </c>
      <c r="D24" s="44">
        <f t="shared" si="0"/>
        <v>0</v>
      </c>
      <c r="E24">
        <v>0</v>
      </c>
      <c r="F24">
        <v>0</v>
      </c>
      <c r="G24" s="6" t="s">
        <v>247</v>
      </c>
      <c r="H24" s="6" t="s">
        <v>11</v>
      </c>
      <c r="I24" s="7">
        <v>0</v>
      </c>
      <c r="J24" s="6"/>
    </row>
    <row r="25" spans="1:10" ht="14" x14ac:dyDescent="0.3">
      <c r="A25" s="44" t="s">
        <v>299</v>
      </c>
      <c r="B25" s="44" t="s">
        <v>300</v>
      </c>
      <c r="C25" s="60">
        <v>-1785808</v>
      </c>
      <c r="D25" s="44">
        <f t="shared" si="0"/>
        <v>0</v>
      </c>
      <c r="E25">
        <v>0</v>
      </c>
      <c r="F25">
        <v>0</v>
      </c>
      <c r="G25" s="6" t="s">
        <v>247</v>
      </c>
      <c r="H25" s="6" t="s">
        <v>11</v>
      </c>
      <c r="I25" s="7">
        <v>0</v>
      </c>
      <c r="J25" s="6"/>
    </row>
    <row r="26" spans="1:10" ht="14" x14ac:dyDescent="0.3">
      <c r="A26" s="44" t="s">
        <v>301</v>
      </c>
      <c r="B26" s="44" t="s">
        <v>302</v>
      </c>
      <c r="C26" s="60">
        <v>556517</v>
      </c>
      <c r="D26" s="44">
        <f t="shared" si="0"/>
        <v>0</v>
      </c>
      <c r="E26">
        <v>0</v>
      </c>
      <c r="F26">
        <v>0</v>
      </c>
      <c r="G26" s="6" t="s">
        <v>247</v>
      </c>
      <c r="H26" s="6" t="s">
        <v>11</v>
      </c>
      <c r="I26" s="7">
        <v>0</v>
      </c>
      <c r="J26" s="6"/>
    </row>
    <row r="27" spans="1:10" ht="14" x14ac:dyDescent="0.3">
      <c r="A27" s="44" t="s">
        <v>668</v>
      </c>
      <c r="B27" s="44" t="s">
        <v>669</v>
      </c>
      <c r="C27">
        <v>0</v>
      </c>
      <c r="D27" s="44">
        <f>IFERROR(C27*I27,0)</f>
        <v>0</v>
      </c>
      <c r="E27">
        <v>0</v>
      </c>
      <c r="F27">
        <v>0</v>
      </c>
      <c r="G27" s="6" t="s">
        <v>247</v>
      </c>
      <c r="H27" s="6" t="s">
        <v>11</v>
      </c>
      <c r="I27" s="7">
        <v>1</v>
      </c>
      <c r="J27" s="6"/>
    </row>
    <row r="28" spans="1:10" ht="14" x14ac:dyDescent="0.3">
      <c r="A28" s="44" t="s">
        <v>303</v>
      </c>
      <c r="B28" s="44" t="s">
        <v>304</v>
      </c>
      <c r="C28" s="60">
        <v>15160</v>
      </c>
      <c r="D28" s="44">
        <f t="shared" si="0"/>
        <v>0</v>
      </c>
      <c r="E28">
        <v>0</v>
      </c>
      <c r="F28">
        <v>0</v>
      </c>
      <c r="G28" s="6" t="s">
        <v>247</v>
      </c>
      <c r="H28" s="6" t="s">
        <v>11</v>
      </c>
      <c r="I28" s="7">
        <v>0</v>
      </c>
      <c r="J28" s="6"/>
    </row>
    <row r="29" spans="1:10" ht="14" x14ac:dyDescent="0.3">
      <c r="A29" s="44" t="s">
        <v>305</v>
      </c>
      <c r="B29" s="44" t="s">
        <v>306</v>
      </c>
      <c r="C29" s="60">
        <v>-189222</v>
      </c>
      <c r="D29" s="44">
        <f t="shared" si="0"/>
        <v>0</v>
      </c>
      <c r="E29">
        <v>0</v>
      </c>
      <c r="F29">
        <v>0</v>
      </c>
      <c r="G29" s="6" t="s">
        <v>247</v>
      </c>
      <c r="H29" s="6" t="s">
        <v>11</v>
      </c>
      <c r="I29" s="7">
        <v>0</v>
      </c>
      <c r="J29" s="6"/>
    </row>
    <row r="30" spans="1:10" ht="14" x14ac:dyDescent="0.3">
      <c r="A30" s="44" t="s">
        <v>307</v>
      </c>
      <c r="B30" s="44" t="s">
        <v>308</v>
      </c>
      <c r="C30" s="60">
        <v>1167710</v>
      </c>
      <c r="D30" s="44">
        <f t="shared" si="0"/>
        <v>1167710</v>
      </c>
      <c r="E30">
        <v>0</v>
      </c>
      <c r="F30">
        <v>0</v>
      </c>
      <c r="G30" s="6" t="s">
        <v>247</v>
      </c>
      <c r="H30" s="6" t="s">
        <v>11</v>
      </c>
      <c r="I30" s="7">
        <v>1</v>
      </c>
      <c r="J30" s="6"/>
    </row>
    <row r="31" spans="1:10" ht="14" x14ac:dyDescent="0.3">
      <c r="A31" s="44" t="s">
        <v>309</v>
      </c>
      <c r="B31" s="44" t="s">
        <v>310</v>
      </c>
      <c r="C31" s="60">
        <v>-8641284</v>
      </c>
      <c r="D31" s="44">
        <f t="shared" si="0"/>
        <v>0</v>
      </c>
      <c r="E31">
        <v>0</v>
      </c>
      <c r="F31">
        <v>0</v>
      </c>
      <c r="G31" s="6" t="s">
        <v>248</v>
      </c>
      <c r="H31" s="6" t="s">
        <v>11</v>
      </c>
      <c r="I31" s="7">
        <v>0</v>
      </c>
      <c r="J31" s="6"/>
    </row>
    <row r="32" spans="1:10" s="91" customFormat="1" ht="14" x14ac:dyDescent="0.3">
      <c r="A32" s="91" t="s">
        <v>311</v>
      </c>
      <c r="B32" s="91" t="s">
        <v>312</v>
      </c>
      <c r="C32" s="92"/>
      <c r="D32" s="91">
        <f t="shared" si="0"/>
        <v>0</v>
      </c>
      <c r="E32" s="93">
        <v>0</v>
      </c>
      <c r="F32" s="93">
        <v>0</v>
      </c>
      <c r="G32" s="92" t="s">
        <v>247</v>
      </c>
      <c r="H32" s="92" t="s">
        <v>10</v>
      </c>
      <c r="I32" s="94">
        <v>1</v>
      </c>
      <c r="J32" s="92"/>
    </row>
    <row r="33" spans="1:10" s="91" customFormat="1" ht="14" x14ac:dyDescent="0.3">
      <c r="A33" s="91" t="s">
        <v>313</v>
      </c>
      <c r="B33" s="91" t="s">
        <v>314</v>
      </c>
      <c r="C33" s="92"/>
      <c r="D33" s="91">
        <f t="shared" si="0"/>
        <v>0</v>
      </c>
      <c r="E33" s="93">
        <v>0</v>
      </c>
      <c r="F33" s="93">
        <v>0</v>
      </c>
      <c r="G33" s="92" t="s">
        <v>247</v>
      </c>
      <c r="H33" s="92" t="s">
        <v>10</v>
      </c>
      <c r="I33" s="94">
        <v>1</v>
      </c>
      <c r="J33" s="92"/>
    </row>
    <row r="34" spans="1:10" s="91" customFormat="1" ht="14" x14ac:dyDescent="0.3">
      <c r="A34" s="91" t="s">
        <v>315</v>
      </c>
      <c r="B34" s="91" t="s">
        <v>316</v>
      </c>
      <c r="C34" s="92"/>
      <c r="D34" s="91">
        <f t="shared" si="0"/>
        <v>0</v>
      </c>
      <c r="E34" s="93">
        <v>0</v>
      </c>
      <c r="F34" s="93">
        <v>0</v>
      </c>
      <c r="G34" s="92" t="s">
        <v>247</v>
      </c>
      <c r="H34" s="92" t="s">
        <v>10</v>
      </c>
      <c r="I34" s="94">
        <v>1</v>
      </c>
      <c r="J34" s="92"/>
    </row>
    <row r="35" spans="1:10" s="91" customFormat="1" ht="14" x14ac:dyDescent="0.3">
      <c r="A35" s="91" t="s">
        <v>317</v>
      </c>
      <c r="B35" s="91" t="s">
        <v>318</v>
      </c>
      <c r="C35" s="92"/>
      <c r="D35" s="91">
        <f t="shared" si="0"/>
        <v>0</v>
      </c>
      <c r="E35" s="93">
        <v>0</v>
      </c>
      <c r="F35" s="93">
        <v>0</v>
      </c>
      <c r="G35" s="92" t="s">
        <v>247</v>
      </c>
      <c r="H35" s="92" t="s">
        <v>10</v>
      </c>
      <c r="I35" s="94">
        <v>1</v>
      </c>
      <c r="J35" s="92"/>
    </row>
    <row r="36" spans="1:10" s="91" customFormat="1" ht="14" x14ac:dyDescent="0.3">
      <c r="A36" s="91" t="s">
        <v>319</v>
      </c>
      <c r="B36" s="91" t="s">
        <v>320</v>
      </c>
      <c r="C36" s="95">
        <v>7171</v>
      </c>
      <c r="D36" s="91">
        <f t="shared" si="0"/>
        <v>7171</v>
      </c>
      <c r="E36" s="93">
        <v>0</v>
      </c>
      <c r="F36" s="93">
        <v>0</v>
      </c>
      <c r="G36" s="92" t="s">
        <v>247</v>
      </c>
      <c r="H36" s="92" t="s">
        <v>10</v>
      </c>
      <c r="I36" s="94">
        <v>1</v>
      </c>
      <c r="J36" s="92"/>
    </row>
    <row r="37" spans="1:10" s="91" customFormat="1" ht="14" x14ac:dyDescent="0.3">
      <c r="A37" s="91" t="s">
        <v>321</v>
      </c>
      <c r="B37" s="91" t="s">
        <v>322</v>
      </c>
      <c r="C37" s="95">
        <v>1101838</v>
      </c>
      <c r="D37" s="91">
        <f t="shared" si="0"/>
        <v>0</v>
      </c>
      <c r="E37" s="95">
        <v>1040244</v>
      </c>
      <c r="F37" s="95">
        <v>23370</v>
      </c>
      <c r="G37" s="92" t="s">
        <v>247</v>
      </c>
      <c r="H37" s="92" t="s">
        <v>200</v>
      </c>
      <c r="I37" s="94" t="s">
        <v>482</v>
      </c>
      <c r="J37" s="92"/>
    </row>
    <row r="38" spans="1:10" s="91" customFormat="1" ht="14" x14ac:dyDescent="0.3">
      <c r="A38" s="96" t="s">
        <v>670</v>
      </c>
      <c r="B38" s="91" t="s">
        <v>386</v>
      </c>
      <c r="C38" s="95">
        <v>3735</v>
      </c>
      <c r="D38" s="91">
        <f>IFERROR(C38*I38,0)</f>
        <v>0</v>
      </c>
      <c r="E38" s="93">
        <v>0</v>
      </c>
      <c r="F38" s="93">
        <v>0</v>
      </c>
      <c r="G38" s="92" t="s">
        <v>247</v>
      </c>
      <c r="H38" s="92" t="s">
        <v>463</v>
      </c>
      <c r="I38" s="94" t="s">
        <v>482</v>
      </c>
      <c r="J38" s="92"/>
    </row>
    <row r="39" spans="1:10" s="91" customFormat="1" ht="14" x14ac:dyDescent="0.3">
      <c r="A39" s="96" t="s">
        <v>671</v>
      </c>
      <c r="B39" s="91" t="s">
        <v>672</v>
      </c>
      <c r="C39" s="95">
        <v>6532</v>
      </c>
      <c r="D39" s="91">
        <f>IFERROR(C39*I39,0)</f>
        <v>6532</v>
      </c>
      <c r="E39" s="93">
        <v>17</v>
      </c>
      <c r="F39" s="93">
        <v>0</v>
      </c>
      <c r="G39" s="92" t="s">
        <v>247</v>
      </c>
      <c r="H39" s="92" t="s">
        <v>10</v>
      </c>
      <c r="I39" s="94">
        <v>1</v>
      </c>
      <c r="J39" s="92"/>
    </row>
    <row r="40" spans="1:10" s="91" customFormat="1" ht="14" x14ac:dyDescent="0.3">
      <c r="A40" s="91" t="s">
        <v>323</v>
      </c>
      <c r="B40" s="91" t="s">
        <v>324</v>
      </c>
      <c r="C40" s="95">
        <v>37378</v>
      </c>
      <c r="D40" s="91">
        <f t="shared" si="0"/>
        <v>37378</v>
      </c>
      <c r="E40" s="95">
        <v>30543</v>
      </c>
      <c r="F40" s="95">
        <v>1317</v>
      </c>
      <c r="G40" s="92" t="s">
        <v>247</v>
      </c>
      <c r="H40" s="92" t="s">
        <v>10</v>
      </c>
      <c r="I40" s="94">
        <v>1</v>
      </c>
      <c r="J40" s="92"/>
    </row>
    <row r="41" spans="1:10" s="91" customFormat="1" ht="14" x14ac:dyDescent="0.3">
      <c r="A41" s="91" t="s">
        <v>325</v>
      </c>
      <c r="B41" s="91" t="s">
        <v>326</v>
      </c>
      <c r="C41" s="95">
        <v>273329</v>
      </c>
      <c r="D41" s="91">
        <f t="shared" si="0"/>
        <v>273329</v>
      </c>
      <c r="E41" s="95">
        <v>251462</v>
      </c>
      <c r="F41" s="95">
        <v>9877</v>
      </c>
      <c r="G41" s="92" t="s">
        <v>247</v>
      </c>
      <c r="H41" s="92" t="s">
        <v>10</v>
      </c>
      <c r="I41" s="94">
        <v>1</v>
      </c>
      <c r="J41" s="92"/>
    </row>
    <row r="42" spans="1:10" s="91" customFormat="1" ht="14" x14ac:dyDescent="0.3">
      <c r="A42" s="91" t="s">
        <v>689</v>
      </c>
      <c r="B42" s="91" t="s">
        <v>690</v>
      </c>
      <c r="C42" s="95">
        <v>12726</v>
      </c>
      <c r="D42" s="91">
        <f t="shared" si="0"/>
        <v>12726</v>
      </c>
      <c r="E42" s="95">
        <v>12726</v>
      </c>
      <c r="F42" s="93">
        <v>0</v>
      </c>
      <c r="G42" s="92" t="s">
        <v>247</v>
      </c>
      <c r="H42" s="92" t="s">
        <v>10</v>
      </c>
      <c r="I42" s="94">
        <v>1</v>
      </c>
      <c r="J42" s="92"/>
    </row>
    <row r="43" spans="1:10" s="91" customFormat="1" ht="14" x14ac:dyDescent="0.3">
      <c r="A43" s="91" t="s">
        <v>327</v>
      </c>
      <c r="B43" s="91" t="s">
        <v>328</v>
      </c>
      <c r="C43" s="95">
        <v>420815</v>
      </c>
      <c r="D43" s="91">
        <f t="shared" si="0"/>
        <v>0</v>
      </c>
      <c r="E43" s="93">
        <v>0</v>
      </c>
      <c r="F43" s="93">
        <v>0</v>
      </c>
      <c r="G43" s="92" t="s">
        <v>247</v>
      </c>
      <c r="H43" s="92" t="s">
        <v>10</v>
      </c>
      <c r="I43" s="94">
        <v>0</v>
      </c>
      <c r="J43" s="92" t="s">
        <v>679</v>
      </c>
    </row>
    <row r="44" spans="1:10" s="91" customFormat="1" ht="14" x14ac:dyDescent="0.3">
      <c r="A44" s="91" t="s">
        <v>329</v>
      </c>
      <c r="B44" s="91" t="s">
        <v>330</v>
      </c>
      <c r="C44" s="95">
        <v>241491</v>
      </c>
      <c r="D44" s="91">
        <f t="shared" si="0"/>
        <v>241491</v>
      </c>
      <c r="E44" s="95">
        <v>63345</v>
      </c>
      <c r="F44" s="95">
        <v>10754</v>
      </c>
      <c r="G44" s="92" t="s">
        <v>247</v>
      </c>
      <c r="H44" s="92" t="s">
        <v>10</v>
      </c>
      <c r="I44" s="94">
        <v>1</v>
      </c>
      <c r="J44" s="92"/>
    </row>
    <row r="45" spans="1:10" s="91" customFormat="1" ht="14" x14ac:dyDescent="0.3">
      <c r="A45" s="91" t="s">
        <v>331</v>
      </c>
      <c r="B45" s="91" t="s">
        <v>332</v>
      </c>
      <c r="C45" s="95">
        <v>122412</v>
      </c>
      <c r="D45" s="91">
        <f t="shared" si="0"/>
        <v>122412</v>
      </c>
      <c r="E45" s="95">
        <v>109541</v>
      </c>
      <c r="F45" s="95">
        <v>4066</v>
      </c>
      <c r="G45" s="92" t="s">
        <v>247</v>
      </c>
      <c r="H45" s="92" t="s">
        <v>10</v>
      </c>
      <c r="I45" s="94">
        <v>1</v>
      </c>
      <c r="J45" s="92"/>
    </row>
    <row r="46" spans="1:10" s="91" customFormat="1" ht="14" x14ac:dyDescent="0.3">
      <c r="A46" s="91" t="s">
        <v>333</v>
      </c>
      <c r="B46" s="91" t="s">
        <v>334</v>
      </c>
      <c r="C46" s="95">
        <v>33035</v>
      </c>
      <c r="D46" s="91">
        <f t="shared" si="0"/>
        <v>33035</v>
      </c>
      <c r="E46" s="95">
        <v>13700</v>
      </c>
      <c r="F46" s="93">
        <v>161</v>
      </c>
      <c r="G46" s="92" t="s">
        <v>247</v>
      </c>
      <c r="H46" s="92" t="s">
        <v>10</v>
      </c>
      <c r="I46" s="94">
        <v>1</v>
      </c>
      <c r="J46" s="92"/>
    </row>
    <row r="47" spans="1:10" s="91" customFormat="1" ht="14" x14ac:dyDescent="0.3">
      <c r="A47" s="91" t="s">
        <v>691</v>
      </c>
      <c r="B47" s="91" t="s">
        <v>692</v>
      </c>
      <c r="C47" s="95">
        <v>31502</v>
      </c>
      <c r="D47" s="91">
        <f t="shared" si="0"/>
        <v>31502</v>
      </c>
      <c r="E47" s="95">
        <v>25823</v>
      </c>
      <c r="F47" s="93">
        <v>757</v>
      </c>
      <c r="G47" s="92" t="s">
        <v>247</v>
      </c>
      <c r="H47" s="92" t="s">
        <v>10</v>
      </c>
      <c r="I47" s="94">
        <v>1</v>
      </c>
      <c r="J47" s="92"/>
    </row>
    <row r="48" spans="1:10" s="91" customFormat="1" ht="14" x14ac:dyDescent="0.3">
      <c r="A48" s="91" t="s">
        <v>335</v>
      </c>
      <c r="B48" s="91" t="s">
        <v>336</v>
      </c>
      <c r="C48" s="95">
        <v>586870</v>
      </c>
      <c r="D48" s="91">
        <f t="shared" si="0"/>
        <v>0</v>
      </c>
      <c r="E48" s="93">
        <v>0</v>
      </c>
      <c r="F48" s="93">
        <v>0</v>
      </c>
      <c r="G48" s="92" t="s">
        <v>247</v>
      </c>
      <c r="H48" s="92" t="s">
        <v>10</v>
      </c>
      <c r="I48" s="94">
        <v>0</v>
      </c>
      <c r="J48" s="92" t="s">
        <v>679</v>
      </c>
    </row>
    <row r="49" spans="1:10" ht="14" x14ac:dyDescent="0.3">
      <c r="A49" s="44" t="s">
        <v>337</v>
      </c>
      <c r="B49" s="44" t="s">
        <v>265</v>
      </c>
      <c r="C49" s="60">
        <v>822556</v>
      </c>
      <c r="D49" s="44">
        <f t="shared" si="0"/>
        <v>0</v>
      </c>
      <c r="E49">
        <v>0</v>
      </c>
      <c r="F49">
        <v>0</v>
      </c>
      <c r="G49" s="6" t="s">
        <v>247</v>
      </c>
      <c r="H49" s="6" t="s">
        <v>463</v>
      </c>
      <c r="I49" s="7" t="s">
        <v>482</v>
      </c>
      <c r="J49" s="6"/>
    </row>
    <row r="50" spans="1:10" ht="14" x14ac:dyDescent="0.3">
      <c r="A50" s="44" t="s">
        <v>338</v>
      </c>
      <c r="B50" s="44" t="s">
        <v>339</v>
      </c>
      <c r="C50" s="60">
        <v>255601</v>
      </c>
      <c r="D50" s="44">
        <f t="shared" si="0"/>
        <v>0</v>
      </c>
      <c r="E50">
        <v>0</v>
      </c>
      <c r="F50">
        <v>0</v>
      </c>
      <c r="G50" s="6" t="s">
        <v>247</v>
      </c>
      <c r="H50" s="6" t="s">
        <v>463</v>
      </c>
      <c r="I50" s="7" t="s">
        <v>482</v>
      </c>
      <c r="J50" s="6"/>
    </row>
    <row r="51" spans="1:10" s="91" customFormat="1" ht="14" x14ac:dyDescent="0.3">
      <c r="A51" s="93">
        <v>7400</v>
      </c>
      <c r="B51" s="93" t="s">
        <v>738</v>
      </c>
      <c r="C51" s="95">
        <v>3018324</v>
      </c>
      <c r="D51" s="91">
        <f t="shared" si="0"/>
        <v>0</v>
      </c>
      <c r="E51" s="93">
        <v>0</v>
      </c>
      <c r="F51" s="93">
        <v>0</v>
      </c>
      <c r="G51" s="92" t="s">
        <v>247</v>
      </c>
      <c r="H51" s="92" t="s">
        <v>12</v>
      </c>
      <c r="I51" s="94" t="s">
        <v>482</v>
      </c>
      <c r="J51" s="92"/>
    </row>
    <row r="52" spans="1:10" ht="14" x14ac:dyDescent="0.3">
      <c r="A52" s="44" t="s">
        <v>340</v>
      </c>
      <c r="B52" s="44" t="s">
        <v>341</v>
      </c>
      <c r="C52" s="60">
        <v>4000839</v>
      </c>
      <c r="D52" s="44">
        <f t="shared" si="0"/>
        <v>0</v>
      </c>
      <c r="E52" s="60">
        <v>32702</v>
      </c>
      <c r="F52" s="60">
        <v>2263</v>
      </c>
      <c r="G52" s="6" t="s">
        <v>247</v>
      </c>
      <c r="H52" s="6" t="s">
        <v>12</v>
      </c>
      <c r="I52" s="7" t="s">
        <v>482</v>
      </c>
      <c r="J52" s="6"/>
    </row>
    <row r="53" spans="1:10" ht="14" x14ac:dyDescent="0.3">
      <c r="A53" s="44" t="s">
        <v>342</v>
      </c>
      <c r="B53" s="44" t="s">
        <v>343</v>
      </c>
      <c r="C53">
        <v>0</v>
      </c>
      <c r="D53" s="44">
        <f t="shared" si="0"/>
        <v>0</v>
      </c>
      <c r="E53">
        <v>0</v>
      </c>
      <c r="F53">
        <v>0</v>
      </c>
      <c r="G53" s="6" t="s">
        <v>247</v>
      </c>
      <c r="H53" s="6" t="s">
        <v>208</v>
      </c>
      <c r="I53" s="7" t="s">
        <v>482</v>
      </c>
      <c r="J53" s="6"/>
    </row>
    <row r="54" spans="1:10" ht="14" x14ac:dyDescent="0.3">
      <c r="A54" s="44" t="s">
        <v>344</v>
      </c>
      <c r="B54" s="44" t="s">
        <v>345</v>
      </c>
      <c r="C54" s="60">
        <v>292618</v>
      </c>
      <c r="D54" s="44">
        <f t="shared" si="0"/>
        <v>0</v>
      </c>
      <c r="E54" s="60">
        <v>288438</v>
      </c>
      <c r="F54">
        <v>0</v>
      </c>
      <c r="G54" s="6" t="s">
        <v>251</v>
      </c>
      <c r="H54" s="6" t="s">
        <v>12</v>
      </c>
      <c r="I54" s="7" t="s">
        <v>482</v>
      </c>
      <c r="J54" s="6"/>
    </row>
    <row r="55" spans="1:10" ht="14" x14ac:dyDescent="0.3">
      <c r="A55" s="44" t="s">
        <v>346</v>
      </c>
      <c r="B55" s="44" t="s">
        <v>347</v>
      </c>
      <c r="C55" s="60">
        <v>284650</v>
      </c>
      <c r="D55" s="44">
        <f t="shared" si="0"/>
        <v>0</v>
      </c>
      <c r="E55" s="60">
        <v>43215</v>
      </c>
      <c r="F55" s="60">
        <v>3614</v>
      </c>
      <c r="G55" s="6" t="s">
        <v>124</v>
      </c>
      <c r="H55" s="6" t="s">
        <v>13</v>
      </c>
      <c r="I55" s="7" t="s">
        <v>482</v>
      </c>
      <c r="J55" s="6"/>
    </row>
    <row r="56" spans="1:10" ht="14" x14ac:dyDescent="0.3">
      <c r="A56" s="44" t="s">
        <v>348</v>
      </c>
      <c r="B56" s="44" t="s">
        <v>349</v>
      </c>
      <c r="C56" s="60">
        <v>2346644</v>
      </c>
      <c r="D56" s="44">
        <f t="shared" si="0"/>
        <v>0</v>
      </c>
      <c r="E56" s="60">
        <v>78453</v>
      </c>
      <c r="F56" s="60">
        <v>15223</v>
      </c>
      <c r="G56" s="6" t="s">
        <v>124</v>
      </c>
      <c r="H56" s="6" t="s">
        <v>191</v>
      </c>
      <c r="I56" s="7" t="s">
        <v>482</v>
      </c>
      <c r="J56" s="6"/>
    </row>
    <row r="57" spans="1:10" ht="14" x14ac:dyDescent="0.3">
      <c r="A57" s="44" t="s">
        <v>350</v>
      </c>
      <c r="B57" s="44" t="s">
        <v>351</v>
      </c>
      <c r="C57" s="60">
        <v>2155781</v>
      </c>
      <c r="D57" s="44">
        <f t="shared" si="0"/>
        <v>0</v>
      </c>
      <c r="E57" s="60">
        <v>829603</v>
      </c>
      <c r="F57" s="60">
        <v>153359</v>
      </c>
      <c r="G57" s="6" t="s">
        <v>124</v>
      </c>
      <c r="H57" s="6" t="s">
        <v>207</v>
      </c>
      <c r="I57" s="7" t="s">
        <v>482</v>
      </c>
      <c r="J57" s="6"/>
    </row>
    <row r="58" spans="1:10" ht="14" x14ac:dyDescent="0.3">
      <c r="A58" s="44" t="s">
        <v>352</v>
      </c>
      <c r="B58" s="44" t="s">
        <v>353</v>
      </c>
      <c r="C58" s="60">
        <v>87818</v>
      </c>
      <c r="D58" s="44">
        <f t="shared" si="0"/>
        <v>0</v>
      </c>
      <c r="E58" s="60">
        <v>31432</v>
      </c>
      <c r="F58" s="60">
        <v>3504</v>
      </c>
      <c r="G58" s="6" t="s">
        <v>124</v>
      </c>
      <c r="H58" s="6" t="s">
        <v>207</v>
      </c>
      <c r="I58" s="7" t="s">
        <v>482</v>
      </c>
      <c r="J58" s="6"/>
    </row>
    <row r="59" spans="1:10" ht="14" x14ac:dyDescent="0.3">
      <c r="A59" s="44" t="s">
        <v>354</v>
      </c>
      <c r="B59" s="44" t="s">
        <v>355</v>
      </c>
      <c r="C59" s="60">
        <v>829483</v>
      </c>
      <c r="D59" s="44">
        <f t="shared" si="0"/>
        <v>0</v>
      </c>
      <c r="E59" s="60">
        <v>551129</v>
      </c>
      <c r="F59" s="60">
        <v>119634</v>
      </c>
      <c r="G59" s="6" t="s">
        <v>124</v>
      </c>
      <c r="H59" s="6" t="s">
        <v>15</v>
      </c>
      <c r="I59" s="7" t="s">
        <v>482</v>
      </c>
      <c r="J59" s="6"/>
    </row>
    <row r="60" spans="1:10" ht="14" x14ac:dyDescent="0.3">
      <c r="A60" s="45" t="s">
        <v>674</v>
      </c>
      <c r="B60" s="44" t="s">
        <v>675</v>
      </c>
      <c r="C60" s="60">
        <v>79443</v>
      </c>
      <c r="D60" s="44">
        <f>IFERROR(C60*I60,0)</f>
        <v>0</v>
      </c>
      <c r="E60" s="60">
        <v>64870</v>
      </c>
      <c r="F60" s="60">
        <v>14453</v>
      </c>
      <c r="G60" s="6" t="s">
        <v>124</v>
      </c>
      <c r="H60" s="6" t="s">
        <v>207</v>
      </c>
      <c r="I60" s="7" t="s">
        <v>482</v>
      </c>
      <c r="J60" s="6"/>
    </row>
    <row r="61" spans="1:10" ht="14" x14ac:dyDescent="0.3">
      <c r="A61" s="44" t="s">
        <v>356</v>
      </c>
      <c r="B61" s="44" t="s">
        <v>357</v>
      </c>
      <c r="C61" s="60">
        <v>84858</v>
      </c>
      <c r="D61" s="44">
        <f t="shared" si="0"/>
        <v>0</v>
      </c>
      <c r="E61" s="60">
        <v>70133</v>
      </c>
      <c r="F61" s="60">
        <v>14606</v>
      </c>
      <c r="G61" s="6" t="s">
        <v>124</v>
      </c>
      <c r="H61" s="6" t="s">
        <v>207</v>
      </c>
      <c r="I61" s="7" t="s">
        <v>482</v>
      </c>
      <c r="J61" s="6"/>
    </row>
    <row r="62" spans="1:10" ht="14" x14ac:dyDescent="0.3">
      <c r="A62" s="44" t="s">
        <v>358</v>
      </c>
      <c r="B62" s="44" t="s">
        <v>359</v>
      </c>
      <c r="C62">
        <v>0</v>
      </c>
      <c r="D62" s="44">
        <f t="shared" si="0"/>
        <v>0</v>
      </c>
      <c r="E62">
        <v>0</v>
      </c>
      <c r="F62">
        <v>0</v>
      </c>
      <c r="G62" s="6" t="s">
        <v>124</v>
      </c>
      <c r="H62" s="6" t="s">
        <v>207</v>
      </c>
      <c r="I62" s="7" t="s">
        <v>482</v>
      </c>
      <c r="J62" s="6"/>
    </row>
    <row r="63" spans="1:10" ht="14" x14ac:dyDescent="0.3">
      <c r="A63" s="44" t="s">
        <v>360</v>
      </c>
      <c r="B63" s="44" t="s">
        <v>361</v>
      </c>
      <c r="C63" s="60">
        <v>230530</v>
      </c>
      <c r="D63" s="44">
        <f t="shared" si="0"/>
        <v>0</v>
      </c>
      <c r="E63" s="60">
        <v>91533</v>
      </c>
      <c r="F63" s="60">
        <v>16390</v>
      </c>
      <c r="G63" s="6" t="s">
        <v>124</v>
      </c>
      <c r="H63" s="6" t="s">
        <v>18</v>
      </c>
      <c r="I63" s="7" t="s">
        <v>482</v>
      </c>
      <c r="J63" s="6"/>
    </row>
    <row r="64" spans="1:10" ht="14" x14ac:dyDescent="0.3">
      <c r="A64" s="44" t="s">
        <v>362</v>
      </c>
      <c r="B64" s="44" t="s">
        <v>264</v>
      </c>
      <c r="C64" s="60">
        <v>223413</v>
      </c>
      <c r="D64" s="44">
        <f t="shared" si="0"/>
        <v>0</v>
      </c>
      <c r="E64" s="60">
        <v>118249</v>
      </c>
      <c r="F64" s="60">
        <v>12180</v>
      </c>
      <c r="G64" s="6" t="s">
        <v>124</v>
      </c>
      <c r="H64" s="6" t="s">
        <v>201</v>
      </c>
      <c r="I64" s="7" t="s">
        <v>482</v>
      </c>
      <c r="J64" s="6"/>
    </row>
    <row r="65" spans="1:10" ht="14" x14ac:dyDescent="0.3">
      <c r="A65" s="44" t="s">
        <v>363</v>
      </c>
      <c r="B65" s="44" t="s">
        <v>364</v>
      </c>
      <c r="C65" s="60">
        <v>116537</v>
      </c>
      <c r="D65" s="44">
        <f t="shared" si="0"/>
        <v>0</v>
      </c>
      <c r="E65" s="60">
        <v>79669</v>
      </c>
      <c r="F65" s="60">
        <v>7307</v>
      </c>
      <c r="G65" s="6" t="s">
        <v>124</v>
      </c>
      <c r="H65" s="6" t="s">
        <v>201</v>
      </c>
      <c r="I65" s="7" t="s">
        <v>482</v>
      </c>
      <c r="J65" s="6"/>
    </row>
    <row r="66" spans="1:10" ht="14" x14ac:dyDescent="0.3">
      <c r="A66" s="44" t="s">
        <v>365</v>
      </c>
      <c r="B66" s="44" t="s">
        <v>366</v>
      </c>
      <c r="C66" s="60">
        <v>382828</v>
      </c>
      <c r="D66" s="44">
        <f t="shared" si="0"/>
        <v>0</v>
      </c>
      <c r="E66" s="60">
        <v>290033</v>
      </c>
      <c r="F66" s="60">
        <v>15779</v>
      </c>
      <c r="G66" s="6" t="s">
        <v>124</v>
      </c>
      <c r="H66" s="6" t="s">
        <v>207</v>
      </c>
      <c r="I66" s="7" t="s">
        <v>482</v>
      </c>
      <c r="J66" s="6"/>
    </row>
    <row r="67" spans="1:10" ht="14" x14ac:dyDescent="0.3">
      <c r="A67" s="44" t="s">
        <v>367</v>
      </c>
      <c r="B67" s="44" t="s">
        <v>368</v>
      </c>
      <c r="C67" s="60">
        <v>2203247</v>
      </c>
      <c r="D67" s="44">
        <f t="shared" si="0"/>
        <v>0</v>
      </c>
      <c r="E67">
        <v>0</v>
      </c>
      <c r="F67">
        <v>0</v>
      </c>
      <c r="G67" s="6" t="s">
        <v>124</v>
      </c>
      <c r="H67" s="6" t="s">
        <v>207</v>
      </c>
      <c r="I67" s="7" t="s">
        <v>482</v>
      </c>
      <c r="J67" s="6"/>
    </row>
    <row r="68" spans="1:10" ht="14" x14ac:dyDescent="0.3">
      <c r="A68" s="45" t="s">
        <v>673</v>
      </c>
      <c r="B68" s="44" t="s">
        <v>386</v>
      </c>
      <c r="C68" s="60">
        <v>131870</v>
      </c>
      <c r="D68" s="44">
        <f>IFERROR(C68*I68,0)</f>
        <v>0</v>
      </c>
      <c r="E68">
        <v>0</v>
      </c>
      <c r="F68">
        <v>0</v>
      </c>
      <c r="G68" s="6" t="s">
        <v>250</v>
      </c>
      <c r="H68" s="6" t="s">
        <v>207</v>
      </c>
      <c r="I68" s="7" t="s">
        <v>482</v>
      </c>
      <c r="J68" s="6"/>
    </row>
    <row r="69" spans="1:10" ht="14" x14ac:dyDescent="0.3">
      <c r="A69" s="44" t="s">
        <v>369</v>
      </c>
      <c r="B69" s="44" t="s">
        <v>370</v>
      </c>
      <c r="C69" s="60">
        <v>81390</v>
      </c>
      <c r="D69" s="44">
        <f t="shared" si="0"/>
        <v>0</v>
      </c>
      <c r="E69" s="60">
        <v>58633</v>
      </c>
      <c r="F69" s="60">
        <v>6666</v>
      </c>
      <c r="G69" s="6" t="s">
        <v>12</v>
      </c>
      <c r="H69" s="6" t="s">
        <v>12</v>
      </c>
      <c r="I69" s="7" t="s">
        <v>482</v>
      </c>
      <c r="J69" s="6"/>
    </row>
    <row r="70" spans="1:10" ht="14" x14ac:dyDescent="0.3">
      <c r="A70" s="44" t="s">
        <v>371</v>
      </c>
      <c r="B70" s="44" t="s">
        <v>349</v>
      </c>
      <c r="C70" s="60">
        <v>549234</v>
      </c>
      <c r="D70" s="44">
        <f t="shared" si="0"/>
        <v>0</v>
      </c>
      <c r="E70" s="60">
        <v>21049</v>
      </c>
      <c r="F70">
        <v>0</v>
      </c>
      <c r="G70" s="6" t="s">
        <v>12</v>
      </c>
      <c r="H70" s="6" t="s">
        <v>12</v>
      </c>
      <c r="I70" s="7" t="s">
        <v>482</v>
      </c>
      <c r="J70" s="6"/>
    </row>
    <row r="71" spans="1:10" ht="14" x14ac:dyDescent="0.3">
      <c r="A71" s="44" t="s">
        <v>372</v>
      </c>
      <c r="B71" s="44" t="s">
        <v>373</v>
      </c>
      <c r="C71" s="60">
        <v>887966</v>
      </c>
      <c r="D71" s="44">
        <f t="shared" ref="D71:D142" si="2">IFERROR(C71*I71,0)</f>
        <v>0</v>
      </c>
      <c r="E71" s="60">
        <v>250020</v>
      </c>
      <c r="F71" s="60">
        <v>47814</v>
      </c>
      <c r="G71" s="6" t="s">
        <v>12</v>
      </c>
      <c r="H71" s="6" t="s">
        <v>12</v>
      </c>
      <c r="I71" s="7" t="s">
        <v>482</v>
      </c>
      <c r="J71" s="6"/>
    </row>
    <row r="72" spans="1:10" ht="14" x14ac:dyDescent="0.3">
      <c r="A72" s="44" t="s">
        <v>374</v>
      </c>
      <c r="B72" s="44" t="s">
        <v>375</v>
      </c>
      <c r="C72" s="60">
        <v>73929</v>
      </c>
      <c r="D72" s="44">
        <f t="shared" si="2"/>
        <v>0</v>
      </c>
      <c r="E72" s="60">
        <v>66895</v>
      </c>
      <c r="F72" s="60">
        <v>6947</v>
      </c>
      <c r="G72" s="6" t="s">
        <v>12</v>
      </c>
      <c r="H72" s="6" t="s">
        <v>12</v>
      </c>
      <c r="I72" s="7" t="s">
        <v>482</v>
      </c>
      <c r="J72" s="6"/>
    </row>
    <row r="73" spans="1:10" ht="14" x14ac:dyDescent="0.3">
      <c r="A73" s="44" t="s">
        <v>376</v>
      </c>
      <c r="B73" s="44" t="s">
        <v>366</v>
      </c>
      <c r="C73" s="60">
        <v>202516</v>
      </c>
      <c r="D73" s="44">
        <f t="shared" si="2"/>
        <v>0</v>
      </c>
      <c r="E73" s="60">
        <v>186562</v>
      </c>
      <c r="F73" s="60">
        <v>15955</v>
      </c>
      <c r="G73" s="6" t="s">
        <v>12</v>
      </c>
      <c r="H73" s="6" t="s">
        <v>12</v>
      </c>
      <c r="I73" s="7" t="s">
        <v>482</v>
      </c>
      <c r="J73" s="6"/>
    </row>
    <row r="74" spans="1:10" ht="14" x14ac:dyDescent="0.3">
      <c r="A74" s="44" t="s">
        <v>377</v>
      </c>
      <c r="B74" s="44" t="s">
        <v>265</v>
      </c>
      <c r="C74" s="60">
        <v>306267</v>
      </c>
      <c r="D74" s="44">
        <f t="shared" si="2"/>
        <v>0</v>
      </c>
      <c r="E74">
        <v>0</v>
      </c>
      <c r="F74">
        <v>0</v>
      </c>
      <c r="G74" s="6" t="s">
        <v>250</v>
      </c>
      <c r="H74" s="6" t="s">
        <v>13</v>
      </c>
      <c r="I74" s="7" t="s">
        <v>482</v>
      </c>
      <c r="J74" s="6"/>
    </row>
    <row r="75" spans="1:10" ht="14" x14ac:dyDescent="0.3">
      <c r="A75" s="44" t="s">
        <v>378</v>
      </c>
      <c r="B75" s="44" t="s">
        <v>339</v>
      </c>
      <c r="C75" s="60">
        <v>2384260</v>
      </c>
      <c r="D75" s="44">
        <f t="shared" si="2"/>
        <v>0</v>
      </c>
      <c r="E75">
        <v>0</v>
      </c>
      <c r="F75">
        <v>0</v>
      </c>
      <c r="G75" s="6" t="s">
        <v>250</v>
      </c>
      <c r="H75" s="6" t="s">
        <v>207</v>
      </c>
      <c r="I75" s="7" t="s">
        <v>482</v>
      </c>
      <c r="J75" s="6"/>
    </row>
    <row r="76" spans="1:10" ht="14" x14ac:dyDescent="0.3">
      <c r="A76" s="44" t="s">
        <v>379</v>
      </c>
      <c r="B76" s="44" t="s">
        <v>380</v>
      </c>
      <c r="C76" s="60">
        <v>418527</v>
      </c>
      <c r="D76" s="44">
        <f t="shared" si="2"/>
        <v>0</v>
      </c>
      <c r="E76" t="s">
        <v>482</v>
      </c>
      <c r="F76" s="58" t="s">
        <v>482</v>
      </c>
      <c r="G76" s="6" t="s">
        <v>252</v>
      </c>
      <c r="H76" s="6" t="s">
        <v>456</v>
      </c>
      <c r="I76" s="7" t="s">
        <v>482</v>
      </c>
      <c r="J76" s="6" t="s">
        <v>456</v>
      </c>
    </row>
    <row r="77" spans="1:10" ht="14" x14ac:dyDescent="0.3">
      <c r="A77" s="44" t="s">
        <v>382</v>
      </c>
      <c r="B77" s="44" t="s">
        <v>383</v>
      </c>
      <c r="C77" s="60">
        <v>1107392</v>
      </c>
      <c r="D77" s="44">
        <f t="shared" si="2"/>
        <v>0</v>
      </c>
      <c r="E77" t="s">
        <v>482</v>
      </c>
      <c r="F77" s="58" t="s">
        <v>482</v>
      </c>
      <c r="G77" s="6" t="s">
        <v>252</v>
      </c>
      <c r="H77" s="6" t="s">
        <v>199</v>
      </c>
      <c r="I77" s="7" t="s">
        <v>482</v>
      </c>
      <c r="J77" s="6" t="s">
        <v>456</v>
      </c>
    </row>
    <row r="78" spans="1:10" ht="14" x14ac:dyDescent="0.3">
      <c r="A78" s="44" t="s">
        <v>384</v>
      </c>
      <c r="B78" s="44" t="s">
        <v>19</v>
      </c>
      <c r="C78" s="60">
        <v>491235</v>
      </c>
      <c r="D78" s="44">
        <f t="shared" si="2"/>
        <v>0</v>
      </c>
      <c r="E78" s="60">
        <v>401463</v>
      </c>
      <c r="F78" s="58" t="s">
        <v>482</v>
      </c>
      <c r="G78" s="6" t="s">
        <v>252</v>
      </c>
      <c r="H78" s="6" t="s">
        <v>19</v>
      </c>
      <c r="I78" s="7" t="s">
        <v>482</v>
      </c>
      <c r="J78" s="6" t="s">
        <v>456</v>
      </c>
    </row>
    <row r="79" spans="1:10" ht="14" x14ac:dyDescent="0.3">
      <c r="A79" s="44" t="s">
        <v>385</v>
      </c>
      <c r="B79" s="44" t="s">
        <v>386</v>
      </c>
      <c r="C79" s="60">
        <v>7499</v>
      </c>
      <c r="D79" s="44">
        <f t="shared" si="2"/>
        <v>0</v>
      </c>
      <c r="E79" t="s">
        <v>482</v>
      </c>
      <c r="F79" s="58" t="s">
        <v>482</v>
      </c>
      <c r="G79" s="6" t="s">
        <v>252</v>
      </c>
      <c r="H79" s="6" t="s">
        <v>456</v>
      </c>
      <c r="I79" s="7" t="s">
        <v>482</v>
      </c>
      <c r="J79" s="6" t="s">
        <v>456</v>
      </c>
    </row>
    <row r="80" spans="1:10" ht="14" x14ac:dyDescent="0.3">
      <c r="A80" s="44" t="s">
        <v>387</v>
      </c>
      <c r="B80" s="44" t="s">
        <v>388</v>
      </c>
      <c r="C80" s="60">
        <v>12461</v>
      </c>
      <c r="D80" s="44">
        <f t="shared" si="2"/>
        <v>0</v>
      </c>
      <c r="E80" t="s">
        <v>482</v>
      </c>
      <c r="F80" s="58" t="s">
        <v>482</v>
      </c>
      <c r="G80" s="6" t="s">
        <v>252</v>
      </c>
      <c r="H80" s="6" t="s">
        <v>22</v>
      </c>
      <c r="I80" s="7" t="s">
        <v>482</v>
      </c>
      <c r="J80" s="6" t="s">
        <v>456</v>
      </c>
    </row>
    <row r="81" spans="1:10" ht="14" x14ac:dyDescent="0.3">
      <c r="A81" s="44" t="s">
        <v>389</v>
      </c>
      <c r="B81" s="44" t="s">
        <v>390</v>
      </c>
      <c r="C81" s="60">
        <v>-35124</v>
      </c>
      <c r="D81" s="44">
        <f t="shared" si="2"/>
        <v>0</v>
      </c>
      <c r="E81" t="s">
        <v>482</v>
      </c>
      <c r="F81" s="58" t="s">
        <v>482</v>
      </c>
      <c r="G81" s="6" t="s">
        <v>252</v>
      </c>
      <c r="H81" s="6" t="s">
        <v>22</v>
      </c>
      <c r="I81" s="7" t="s">
        <v>482</v>
      </c>
      <c r="J81" s="6" t="s">
        <v>456</v>
      </c>
    </row>
    <row r="82" spans="1:10" ht="14" x14ac:dyDescent="0.3">
      <c r="A82" s="44" t="s">
        <v>391</v>
      </c>
      <c r="B82" s="44" t="s">
        <v>392</v>
      </c>
      <c r="C82" s="60">
        <v>180671</v>
      </c>
      <c r="D82" s="44">
        <f t="shared" si="2"/>
        <v>0</v>
      </c>
      <c r="E82" t="s">
        <v>482</v>
      </c>
      <c r="F82" s="58" t="s">
        <v>482</v>
      </c>
      <c r="G82" s="6" t="s">
        <v>252</v>
      </c>
      <c r="H82" s="6" t="s">
        <v>22</v>
      </c>
      <c r="I82" s="7" t="s">
        <v>482</v>
      </c>
      <c r="J82" s="6" t="s">
        <v>456</v>
      </c>
    </row>
    <row r="83" spans="1:10" ht="14" x14ac:dyDescent="0.3">
      <c r="A83" s="44" t="s">
        <v>393</v>
      </c>
      <c r="B83" s="44" t="s">
        <v>380</v>
      </c>
      <c r="C83" s="60">
        <v>476310</v>
      </c>
      <c r="D83" s="44">
        <f t="shared" si="2"/>
        <v>0</v>
      </c>
      <c r="E83" t="s">
        <v>482</v>
      </c>
      <c r="F83" s="58" t="s">
        <v>482</v>
      </c>
      <c r="G83" s="6" t="s">
        <v>252</v>
      </c>
      <c r="H83" s="6" t="s">
        <v>577</v>
      </c>
      <c r="I83" s="7" t="s">
        <v>482</v>
      </c>
      <c r="J83" s="6" t="s">
        <v>457</v>
      </c>
    </row>
    <row r="84" spans="1:10" ht="14" x14ac:dyDescent="0.3">
      <c r="A84" s="44" t="s">
        <v>394</v>
      </c>
      <c r="B84" s="44" t="s">
        <v>381</v>
      </c>
      <c r="C84" s="60">
        <v>812413</v>
      </c>
      <c r="D84" s="44">
        <f t="shared" si="2"/>
        <v>0</v>
      </c>
      <c r="E84" s="60">
        <v>314846</v>
      </c>
      <c r="F84" s="58" t="s">
        <v>482</v>
      </c>
      <c r="G84" s="6" t="s">
        <v>252</v>
      </c>
      <c r="H84" s="6" t="s">
        <v>577</v>
      </c>
      <c r="I84" s="7" t="s">
        <v>482</v>
      </c>
      <c r="J84" s="6" t="s">
        <v>457</v>
      </c>
    </row>
    <row r="85" spans="1:10" ht="14" x14ac:dyDescent="0.3">
      <c r="A85" t="s">
        <v>716</v>
      </c>
      <c r="B85" t="s">
        <v>717</v>
      </c>
      <c r="C85"/>
      <c r="E85"/>
      <c r="F85" s="58"/>
      <c r="G85" s="6"/>
      <c r="H85" s="6"/>
      <c r="I85" s="7"/>
      <c r="J85" s="6"/>
    </row>
    <row r="86" spans="1:10" ht="14" x14ac:dyDescent="0.3">
      <c r="A86">
        <v>8110</v>
      </c>
      <c r="B86" t="s">
        <v>381</v>
      </c>
      <c r="C86" s="60">
        <v>-541926</v>
      </c>
      <c r="E86" s="60">
        <v>-110196</v>
      </c>
      <c r="F86" s="58"/>
      <c r="G86" s="6" t="s">
        <v>252</v>
      </c>
      <c r="H86" s="6" t="s">
        <v>577</v>
      </c>
      <c r="I86" s="7" t="s">
        <v>482</v>
      </c>
      <c r="J86" s="6"/>
    </row>
    <row r="87" spans="1:10" ht="14" x14ac:dyDescent="0.3">
      <c r="A87">
        <v>8110</v>
      </c>
      <c r="B87" t="s">
        <v>381</v>
      </c>
      <c r="C87" s="60">
        <v>541926</v>
      </c>
      <c r="E87" s="60">
        <v>110196</v>
      </c>
      <c r="F87" s="58"/>
      <c r="G87" s="6" t="s">
        <v>252</v>
      </c>
      <c r="H87" s="6" t="s">
        <v>20</v>
      </c>
      <c r="I87" s="7" t="s">
        <v>482</v>
      </c>
      <c r="J87" s="6"/>
    </row>
    <row r="88" spans="1:10" ht="14" x14ac:dyDescent="0.3">
      <c r="A88" t="s">
        <v>158</v>
      </c>
      <c r="B88" t="s">
        <v>718</v>
      </c>
      <c r="C88">
        <v>0</v>
      </c>
      <c r="E88">
        <v>0</v>
      </c>
      <c r="F88" s="58"/>
      <c r="G88" s="6"/>
      <c r="H88" s="6"/>
      <c r="I88" s="7"/>
      <c r="J88" s="6"/>
    </row>
    <row r="89" spans="1:10" ht="14" x14ac:dyDescent="0.3">
      <c r="A89" s="44" t="s">
        <v>395</v>
      </c>
      <c r="B89" s="44" t="s">
        <v>396</v>
      </c>
      <c r="C89" s="60">
        <v>10070</v>
      </c>
      <c r="D89" s="44">
        <f t="shared" si="2"/>
        <v>0</v>
      </c>
      <c r="E89" t="s">
        <v>482</v>
      </c>
      <c r="F89" s="58" t="s">
        <v>482</v>
      </c>
      <c r="G89" s="6" t="s">
        <v>252</v>
      </c>
      <c r="H89" s="6" t="s">
        <v>490</v>
      </c>
      <c r="I89" s="7" t="s">
        <v>482</v>
      </c>
      <c r="J89" s="6" t="s">
        <v>457</v>
      </c>
    </row>
    <row r="90" spans="1:10" ht="14" x14ac:dyDescent="0.3">
      <c r="A90" s="44" t="s">
        <v>397</v>
      </c>
      <c r="B90" s="44" t="s">
        <v>386</v>
      </c>
      <c r="C90" s="60">
        <v>11404</v>
      </c>
      <c r="D90" s="44">
        <f t="shared" si="2"/>
        <v>0</v>
      </c>
      <c r="E90" t="s">
        <v>482</v>
      </c>
      <c r="F90" s="58" t="s">
        <v>482</v>
      </c>
      <c r="G90" s="6" t="s">
        <v>252</v>
      </c>
      <c r="H90" s="6" t="s">
        <v>577</v>
      </c>
      <c r="I90" s="7" t="s">
        <v>482</v>
      </c>
      <c r="J90" s="6" t="s">
        <v>457</v>
      </c>
    </row>
    <row r="91" spans="1:10" ht="14" x14ac:dyDescent="0.3">
      <c r="A91" s="44" t="s">
        <v>398</v>
      </c>
      <c r="B91" s="44" t="s">
        <v>380</v>
      </c>
      <c r="C91" s="60">
        <v>515894</v>
      </c>
      <c r="D91" s="44">
        <f t="shared" si="2"/>
        <v>0</v>
      </c>
      <c r="E91" t="s">
        <v>482</v>
      </c>
      <c r="F91" s="58" t="s">
        <v>482</v>
      </c>
      <c r="G91" s="6" t="s">
        <v>252</v>
      </c>
      <c r="H91" s="6" t="s">
        <v>156</v>
      </c>
      <c r="I91" s="7" t="s">
        <v>482</v>
      </c>
      <c r="J91" s="6" t="s">
        <v>458</v>
      </c>
    </row>
    <row r="92" spans="1:10" ht="14" x14ac:dyDescent="0.3">
      <c r="A92" s="44" t="s">
        <v>399</v>
      </c>
      <c r="B92" s="44" t="s">
        <v>400</v>
      </c>
      <c r="C92" s="60">
        <v>246148</v>
      </c>
      <c r="D92" s="44">
        <f t="shared" si="2"/>
        <v>0</v>
      </c>
      <c r="E92" t="s">
        <v>482</v>
      </c>
      <c r="F92" s="58" t="s">
        <v>482</v>
      </c>
      <c r="G92" s="6" t="s">
        <v>252</v>
      </c>
      <c r="H92" s="6" t="s">
        <v>156</v>
      </c>
      <c r="I92" s="7" t="s">
        <v>482</v>
      </c>
      <c r="J92" s="6" t="s">
        <v>458</v>
      </c>
    </row>
    <row r="93" spans="1:10" ht="14" x14ac:dyDescent="0.3">
      <c r="A93" s="44" t="s">
        <v>401</v>
      </c>
      <c r="B93" s="44" t="s">
        <v>386</v>
      </c>
      <c r="C93" s="60">
        <v>19103</v>
      </c>
      <c r="D93" s="44">
        <f t="shared" si="2"/>
        <v>0</v>
      </c>
      <c r="E93" t="s">
        <v>482</v>
      </c>
      <c r="F93" s="58" t="s">
        <v>482</v>
      </c>
      <c r="G93" s="6" t="s">
        <v>252</v>
      </c>
      <c r="H93" s="6" t="s">
        <v>156</v>
      </c>
      <c r="I93" s="7" t="s">
        <v>482</v>
      </c>
      <c r="J93" s="6" t="s">
        <v>458</v>
      </c>
    </row>
    <row r="94" spans="1:10" ht="14" x14ac:dyDescent="0.3">
      <c r="A94" s="44" t="s">
        <v>402</v>
      </c>
      <c r="B94" s="44" t="s">
        <v>380</v>
      </c>
      <c r="C94">
        <v>498</v>
      </c>
      <c r="D94" s="44">
        <f t="shared" si="2"/>
        <v>0</v>
      </c>
      <c r="E94" t="s">
        <v>482</v>
      </c>
      <c r="F94" s="58" t="s">
        <v>482</v>
      </c>
      <c r="G94" s="6" t="s">
        <v>252</v>
      </c>
      <c r="H94" s="6" t="s">
        <v>208</v>
      </c>
      <c r="I94" s="7" t="s">
        <v>482</v>
      </c>
      <c r="J94" s="6" t="s">
        <v>459</v>
      </c>
    </row>
    <row r="95" spans="1:10" ht="14" x14ac:dyDescent="0.3">
      <c r="A95" s="44" t="s">
        <v>403</v>
      </c>
      <c r="B95" s="44" t="s">
        <v>386</v>
      </c>
      <c r="C95" s="60">
        <v>2247</v>
      </c>
      <c r="D95" s="44">
        <f t="shared" si="2"/>
        <v>0</v>
      </c>
      <c r="E95" t="s">
        <v>482</v>
      </c>
      <c r="F95" s="58" t="s">
        <v>482</v>
      </c>
      <c r="G95" s="6" t="s">
        <v>252</v>
      </c>
      <c r="H95" s="6" t="s">
        <v>208</v>
      </c>
      <c r="I95" s="7" t="s">
        <v>482</v>
      </c>
      <c r="J95" s="6" t="s">
        <v>459</v>
      </c>
    </row>
    <row r="96" spans="1:10" ht="14" x14ac:dyDescent="0.3">
      <c r="A96" s="8" t="s">
        <v>404</v>
      </c>
      <c r="B96" s="8" t="s">
        <v>435</v>
      </c>
      <c r="C96" s="60">
        <v>224924</v>
      </c>
      <c r="D96" s="8">
        <f t="shared" si="2"/>
        <v>0</v>
      </c>
      <c r="E96" t="s">
        <v>482</v>
      </c>
      <c r="F96" s="58" t="s">
        <v>482</v>
      </c>
      <c r="G96" s="6" t="s">
        <v>252</v>
      </c>
      <c r="H96" s="6" t="s">
        <v>212</v>
      </c>
      <c r="I96" s="7" t="s">
        <v>482</v>
      </c>
      <c r="J96" s="6" t="s">
        <v>459</v>
      </c>
    </row>
    <row r="97" spans="1:10" ht="14" x14ac:dyDescent="0.3">
      <c r="A97" s="8" t="s">
        <v>405</v>
      </c>
      <c r="B97" s="8" t="s">
        <v>406</v>
      </c>
      <c r="C97" s="60">
        <v>705131</v>
      </c>
      <c r="D97" s="8">
        <f t="shared" si="2"/>
        <v>0</v>
      </c>
      <c r="E97" t="s">
        <v>482</v>
      </c>
      <c r="F97" s="58" t="s">
        <v>482</v>
      </c>
      <c r="G97" s="6" t="s">
        <v>252</v>
      </c>
      <c r="H97" s="6" t="s">
        <v>208</v>
      </c>
      <c r="I97" s="7" t="s">
        <v>482</v>
      </c>
      <c r="J97" s="6" t="s">
        <v>459</v>
      </c>
    </row>
    <row r="98" spans="1:10" ht="14" x14ac:dyDescent="0.3">
      <c r="A98" s="8" t="s">
        <v>407</v>
      </c>
      <c r="B98" s="8" t="s">
        <v>408</v>
      </c>
      <c r="C98" s="60">
        <v>53624</v>
      </c>
      <c r="D98" s="8">
        <f t="shared" si="2"/>
        <v>0</v>
      </c>
      <c r="E98" t="s">
        <v>482</v>
      </c>
      <c r="F98" s="58" t="s">
        <v>482</v>
      </c>
      <c r="G98" s="6" t="s">
        <v>252</v>
      </c>
      <c r="H98" s="6" t="s">
        <v>208</v>
      </c>
      <c r="I98" s="7" t="s">
        <v>482</v>
      </c>
      <c r="J98" s="6" t="s">
        <v>459</v>
      </c>
    </row>
    <row r="99" spans="1:10" ht="14" x14ac:dyDescent="0.3">
      <c r="A99" s="8" t="s">
        <v>409</v>
      </c>
      <c r="B99" s="8" t="s">
        <v>410</v>
      </c>
      <c r="C99" s="60">
        <v>80329</v>
      </c>
      <c r="D99" s="8">
        <f t="shared" si="2"/>
        <v>0</v>
      </c>
      <c r="E99" t="s">
        <v>482</v>
      </c>
      <c r="F99" s="58" t="s">
        <v>482</v>
      </c>
      <c r="G99" s="6" t="s">
        <v>252</v>
      </c>
      <c r="H99" s="6" t="s">
        <v>208</v>
      </c>
      <c r="I99" s="7" t="s">
        <v>482</v>
      </c>
      <c r="J99" s="6" t="s">
        <v>459</v>
      </c>
    </row>
    <row r="100" spans="1:10" ht="14" x14ac:dyDescent="0.3">
      <c r="A100" s="8" t="s">
        <v>411</v>
      </c>
      <c r="B100" s="8" t="s">
        <v>412</v>
      </c>
      <c r="C100" s="60">
        <v>40643</v>
      </c>
      <c r="D100" s="8">
        <f t="shared" si="2"/>
        <v>0</v>
      </c>
      <c r="E100" t="s">
        <v>482</v>
      </c>
      <c r="F100" s="58" t="s">
        <v>482</v>
      </c>
      <c r="G100" s="6" t="s">
        <v>252</v>
      </c>
      <c r="H100" s="6" t="s">
        <v>208</v>
      </c>
      <c r="I100" s="7" t="s">
        <v>482</v>
      </c>
      <c r="J100" s="6" t="s">
        <v>459</v>
      </c>
    </row>
    <row r="101" spans="1:10" ht="14" x14ac:dyDescent="0.3">
      <c r="A101" s="44" t="s">
        <v>413</v>
      </c>
      <c r="B101" s="44" t="s">
        <v>380</v>
      </c>
      <c r="C101" s="60">
        <v>758918</v>
      </c>
      <c r="D101" s="44">
        <f t="shared" si="2"/>
        <v>0</v>
      </c>
      <c r="E101" t="s">
        <v>482</v>
      </c>
      <c r="F101" s="58" t="s">
        <v>482</v>
      </c>
      <c r="G101" s="6" t="s">
        <v>252</v>
      </c>
      <c r="H101" s="6" t="s">
        <v>490</v>
      </c>
      <c r="I101" s="7" t="s">
        <v>482</v>
      </c>
      <c r="J101" s="6" t="s">
        <v>460</v>
      </c>
    </row>
    <row r="102" spans="1:10" ht="14" x14ac:dyDescent="0.3">
      <c r="A102" s="44" t="s">
        <v>414</v>
      </c>
      <c r="B102" s="44" t="s">
        <v>415</v>
      </c>
      <c r="C102" s="60">
        <v>140199</v>
      </c>
      <c r="D102" s="44">
        <f t="shared" si="2"/>
        <v>0</v>
      </c>
      <c r="E102" t="s">
        <v>482</v>
      </c>
      <c r="F102" s="58" t="s">
        <v>482</v>
      </c>
      <c r="G102" s="6" t="s">
        <v>252</v>
      </c>
      <c r="H102" s="6" t="s">
        <v>156</v>
      </c>
      <c r="I102" s="7" t="s">
        <v>482</v>
      </c>
      <c r="J102" s="6" t="s">
        <v>460</v>
      </c>
    </row>
    <row r="103" spans="1:10" ht="14" x14ac:dyDescent="0.3">
      <c r="A103" s="44" t="s">
        <v>693</v>
      </c>
      <c r="B103" s="44" t="s">
        <v>386</v>
      </c>
      <c r="C103" s="60">
        <v>1346</v>
      </c>
      <c r="D103" s="44">
        <f t="shared" si="2"/>
        <v>0</v>
      </c>
      <c r="E103" t="s">
        <v>482</v>
      </c>
      <c r="F103" s="58" t="s">
        <v>482</v>
      </c>
      <c r="G103" s="6" t="s">
        <v>252</v>
      </c>
      <c r="H103" s="6" t="s">
        <v>490</v>
      </c>
      <c r="I103" s="7" t="s">
        <v>482</v>
      </c>
      <c r="J103" s="6" t="s">
        <v>460</v>
      </c>
    </row>
    <row r="104" spans="1:10" ht="14" x14ac:dyDescent="0.3">
      <c r="A104" s="44" t="s">
        <v>416</v>
      </c>
      <c r="B104" s="44" t="s">
        <v>380</v>
      </c>
      <c r="C104" s="60">
        <v>439896</v>
      </c>
      <c r="D104" s="44">
        <f t="shared" si="2"/>
        <v>0</v>
      </c>
      <c r="E104" t="s">
        <v>482</v>
      </c>
      <c r="F104" s="58" t="s">
        <v>482</v>
      </c>
      <c r="G104" s="6" t="s">
        <v>252</v>
      </c>
      <c r="H104" s="6" t="s">
        <v>490</v>
      </c>
      <c r="I104" s="7" t="s">
        <v>482</v>
      </c>
      <c r="J104" s="6" t="s">
        <v>461</v>
      </c>
    </row>
    <row r="105" spans="1:10" ht="14" x14ac:dyDescent="0.3">
      <c r="A105" s="44" t="s">
        <v>417</v>
      </c>
      <c r="B105" s="44" t="s">
        <v>266</v>
      </c>
      <c r="C105" s="60">
        <v>866718</v>
      </c>
      <c r="D105" s="44">
        <f t="shared" si="2"/>
        <v>0</v>
      </c>
      <c r="E105" t="s">
        <v>482</v>
      </c>
      <c r="F105" s="58" t="s">
        <v>482</v>
      </c>
      <c r="G105" s="6" t="s">
        <v>252</v>
      </c>
      <c r="H105" s="6" t="s">
        <v>490</v>
      </c>
      <c r="I105" s="7" t="s">
        <v>482</v>
      </c>
      <c r="J105" s="6" t="s">
        <v>461</v>
      </c>
    </row>
    <row r="106" spans="1:10" ht="14" x14ac:dyDescent="0.3">
      <c r="A106" s="44" t="s">
        <v>418</v>
      </c>
      <c r="B106" s="44" t="s">
        <v>386</v>
      </c>
      <c r="C106" s="60">
        <v>9077</v>
      </c>
      <c r="D106" s="44">
        <f t="shared" si="2"/>
        <v>0</v>
      </c>
      <c r="E106" s="58" t="s">
        <v>482</v>
      </c>
      <c r="F106" s="58" t="s">
        <v>482</v>
      </c>
      <c r="G106" s="6" t="s">
        <v>252</v>
      </c>
      <c r="H106" s="6" t="s">
        <v>490</v>
      </c>
      <c r="I106" s="7" t="s">
        <v>482</v>
      </c>
      <c r="J106" s="6" t="s">
        <v>461</v>
      </c>
    </row>
    <row r="107" spans="1:10" ht="14" x14ac:dyDescent="0.3">
      <c r="A107" s="44" t="s">
        <v>419</v>
      </c>
      <c r="B107" s="44" t="s">
        <v>380</v>
      </c>
      <c r="C107" s="60">
        <v>3651118</v>
      </c>
      <c r="D107" s="44">
        <f t="shared" si="2"/>
        <v>0</v>
      </c>
      <c r="E107" s="58" t="s">
        <v>482</v>
      </c>
      <c r="F107" s="58" t="s">
        <v>482</v>
      </c>
      <c r="G107" s="6" t="s">
        <v>252</v>
      </c>
      <c r="H107" s="6" t="s">
        <v>156</v>
      </c>
      <c r="I107" s="7" t="s">
        <v>482</v>
      </c>
      <c r="J107" s="6" t="s">
        <v>462</v>
      </c>
    </row>
    <row r="108" spans="1:10" ht="14" x14ac:dyDescent="0.3">
      <c r="A108" s="44" t="s">
        <v>420</v>
      </c>
      <c r="B108" s="44" t="s">
        <v>265</v>
      </c>
      <c r="C108" s="60">
        <v>84846</v>
      </c>
      <c r="D108" s="44">
        <f t="shared" si="2"/>
        <v>0</v>
      </c>
      <c r="E108" s="58" t="s">
        <v>482</v>
      </c>
      <c r="F108" s="58" t="s">
        <v>482</v>
      </c>
      <c r="G108" s="6" t="s">
        <v>252</v>
      </c>
      <c r="H108" s="6" t="s">
        <v>209</v>
      </c>
      <c r="I108" s="7" t="s">
        <v>482</v>
      </c>
      <c r="J108" s="6" t="s">
        <v>462</v>
      </c>
    </row>
    <row r="109" spans="1:10" ht="14" x14ac:dyDescent="0.3">
      <c r="A109" s="44" t="s">
        <v>421</v>
      </c>
      <c r="B109" s="44" t="s">
        <v>422</v>
      </c>
      <c r="C109" s="60">
        <v>114428</v>
      </c>
      <c r="D109" s="44">
        <f t="shared" si="2"/>
        <v>0</v>
      </c>
      <c r="E109" s="58" t="s">
        <v>482</v>
      </c>
      <c r="F109" s="58" t="s">
        <v>482</v>
      </c>
      <c r="G109" s="6" t="s">
        <v>252</v>
      </c>
      <c r="H109" s="6" t="s">
        <v>156</v>
      </c>
      <c r="I109" s="7" t="s">
        <v>482</v>
      </c>
      <c r="J109" s="6" t="s">
        <v>462</v>
      </c>
    </row>
    <row r="110" spans="1:10" ht="14" x14ac:dyDescent="0.3">
      <c r="A110" s="44" t="s">
        <v>423</v>
      </c>
      <c r="B110" s="44" t="s">
        <v>424</v>
      </c>
      <c r="C110" s="60">
        <v>269658</v>
      </c>
      <c r="D110" s="44">
        <f t="shared" si="2"/>
        <v>0</v>
      </c>
      <c r="E110" s="58" t="s">
        <v>482</v>
      </c>
      <c r="F110" s="58" t="s">
        <v>482</v>
      </c>
      <c r="G110" s="6" t="s">
        <v>252</v>
      </c>
      <c r="H110" s="6" t="s">
        <v>156</v>
      </c>
      <c r="I110" s="7" t="s">
        <v>482</v>
      </c>
      <c r="J110" s="6" t="s">
        <v>462</v>
      </c>
    </row>
    <row r="111" spans="1:10" ht="14" x14ac:dyDescent="0.3">
      <c r="A111" s="44" t="s">
        <v>425</v>
      </c>
      <c r="B111" s="44" t="s">
        <v>426</v>
      </c>
      <c r="C111" s="60">
        <v>165311</v>
      </c>
      <c r="D111" s="44">
        <f t="shared" si="2"/>
        <v>0</v>
      </c>
      <c r="E111" s="58" t="s">
        <v>482</v>
      </c>
      <c r="F111" s="58" t="s">
        <v>482</v>
      </c>
      <c r="G111" s="6" t="s">
        <v>252</v>
      </c>
      <c r="H111" s="6" t="s">
        <v>156</v>
      </c>
      <c r="I111" s="7" t="s">
        <v>482</v>
      </c>
      <c r="J111" s="6" t="s">
        <v>462</v>
      </c>
    </row>
    <row r="112" spans="1:10" ht="14" x14ac:dyDescent="0.3">
      <c r="A112" s="44" t="s">
        <v>427</v>
      </c>
      <c r="B112" s="44" t="s">
        <v>339</v>
      </c>
      <c r="C112" s="60">
        <v>237915</v>
      </c>
      <c r="D112" s="44">
        <f t="shared" si="2"/>
        <v>0</v>
      </c>
      <c r="E112" s="58" t="s">
        <v>482</v>
      </c>
      <c r="F112" s="58" t="s">
        <v>482</v>
      </c>
      <c r="G112" s="6" t="s">
        <v>252</v>
      </c>
      <c r="H112" s="6" t="s">
        <v>156</v>
      </c>
      <c r="I112" s="7" t="s">
        <v>482</v>
      </c>
      <c r="J112" s="6" t="s">
        <v>462</v>
      </c>
    </row>
    <row r="113" spans="1:10" ht="14" x14ac:dyDescent="0.3">
      <c r="A113" s="44" t="s">
        <v>428</v>
      </c>
      <c r="B113" s="44" t="s">
        <v>429</v>
      </c>
      <c r="C113" s="60">
        <v>511423</v>
      </c>
      <c r="D113" s="44">
        <f t="shared" si="2"/>
        <v>0</v>
      </c>
      <c r="E113" s="58" t="s">
        <v>482</v>
      </c>
      <c r="F113" s="58" t="s">
        <v>482</v>
      </c>
      <c r="G113" s="6" t="s">
        <v>252</v>
      </c>
      <c r="H113" s="6" t="s">
        <v>156</v>
      </c>
      <c r="I113" s="7" t="s">
        <v>482</v>
      </c>
      <c r="J113" s="6" t="s">
        <v>462</v>
      </c>
    </row>
    <row r="114" spans="1:10" ht="14" x14ac:dyDescent="0.3">
      <c r="A114" s="44" t="s">
        <v>430</v>
      </c>
      <c r="B114" s="44" t="s">
        <v>431</v>
      </c>
      <c r="C114" s="60">
        <v>208043</v>
      </c>
      <c r="D114" s="44">
        <f t="shared" si="2"/>
        <v>0</v>
      </c>
      <c r="E114" s="58" t="s">
        <v>482</v>
      </c>
      <c r="F114" s="58" t="s">
        <v>482</v>
      </c>
      <c r="G114" s="6" t="s">
        <v>252</v>
      </c>
      <c r="H114" s="6" t="s">
        <v>156</v>
      </c>
      <c r="I114" s="7" t="s">
        <v>482</v>
      </c>
      <c r="J114" s="6" t="s">
        <v>462</v>
      </c>
    </row>
    <row r="115" spans="1:10" ht="14" x14ac:dyDescent="0.3">
      <c r="A115" s="44" t="s">
        <v>432</v>
      </c>
      <c r="B115" s="44" t="s">
        <v>433</v>
      </c>
      <c r="C115" s="60">
        <v>639000</v>
      </c>
      <c r="D115" s="44">
        <f t="shared" si="2"/>
        <v>0</v>
      </c>
      <c r="E115" s="58" t="s">
        <v>482</v>
      </c>
      <c r="F115" s="58" t="s">
        <v>482</v>
      </c>
      <c r="G115" s="6" t="s">
        <v>252</v>
      </c>
      <c r="H115" s="6" t="s">
        <v>156</v>
      </c>
      <c r="I115" s="7" t="s">
        <v>482</v>
      </c>
      <c r="J115" s="6" t="s">
        <v>462</v>
      </c>
    </row>
    <row r="116" spans="1:10" ht="14" x14ac:dyDescent="0.3">
      <c r="A116" s="44">
        <v>8620</v>
      </c>
      <c r="B116" s="44" t="s">
        <v>719</v>
      </c>
      <c r="C116" s="60">
        <v>3047</v>
      </c>
      <c r="D116" s="44">
        <f t="shared" ref="D116" si="3">IFERROR(C116*I116,0)</f>
        <v>0</v>
      </c>
      <c r="E116" s="58" t="s">
        <v>482</v>
      </c>
      <c r="F116" s="58" t="s">
        <v>482</v>
      </c>
      <c r="G116" s="6" t="s">
        <v>252</v>
      </c>
      <c r="H116" s="6" t="s">
        <v>156</v>
      </c>
      <c r="I116" s="7" t="s">
        <v>482</v>
      </c>
      <c r="J116" s="6" t="s">
        <v>462</v>
      </c>
    </row>
    <row r="117" spans="1:10" ht="14" x14ac:dyDescent="0.3">
      <c r="A117" s="44" t="s">
        <v>434</v>
      </c>
      <c r="B117" s="44" t="s">
        <v>386</v>
      </c>
      <c r="C117" s="60">
        <v>19340</v>
      </c>
      <c r="D117" s="44">
        <f t="shared" si="2"/>
        <v>0</v>
      </c>
      <c r="E117" s="58" t="s">
        <v>482</v>
      </c>
      <c r="F117" s="58" t="s">
        <v>482</v>
      </c>
      <c r="G117" s="6" t="s">
        <v>252</v>
      </c>
      <c r="H117" s="6" t="s">
        <v>156</v>
      </c>
      <c r="I117" s="7" t="s">
        <v>482</v>
      </c>
      <c r="J117" s="6" t="s">
        <v>462</v>
      </c>
    </row>
    <row r="118" spans="1:10" ht="14" x14ac:dyDescent="0.3">
      <c r="A118" s="44" t="s">
        <v>442</v>
      </c>
      <c r="B118" s="44" t="s">
        <v>478</v>
      </c>
      <c r="C118" s="60">
        <v>-48812</v>
      </c>
      <c r="D118" s="54">
        <f t="shared" si="2"/>
        <v>0</v>
      </c>
      <c r="E118" s="58" t="s">
        <v>482</v>
      </c>
      <c r="F118" s="58" t="s">
        <v>482</v>
      </c>
      <c r="G118" s="6" t="s">
        <v>728</v>
      </c>
      <c r="H118" s="6" t="s">
        <v>179</v>
      </c>
      <c r="I118" s="13" t="s">
        <v>482</v>
      </c>
      <c r="J118" s="6"/>
    </row>
    <row r="119" spans="1:10" ht="14" x14ac:dyDescent="0.3">
      <c r="A119" s="44">
        <v>6603</v>
      </c>
      <c r="B119" s="44" t="s">
        <v>720</v>
      </c>
      <c r="C119" s="60">
        <v>-313424</v>
      </c>
      <c r="D119" s="54">
        <f t="shared" ref="D119" si="4">IFERROR(C119*I119,0)</f>
        <v>0</v>
      </c>
      <c r="E119" s="58" t="s">
        <v>482</v>
      </c>
      <c r="F119" s="58" t="s">
        <v>482</v>
      </c>
      <c r="G119" s="6" t="s">
        <v>257</v>
      </c>
      <c r="H119" s="6" t="s">
        <v>179</v>
      </c>
      <c r="I119" s="13" t="s">
        <v>482</v>
      </c>
      <c r="J119" s="6"/>
    </row>
    <row r="120" spans="1:10" ht="14" x14ac:dyDescent="0.3">
      <c r="A120" s="44" t="s">
        <v>441</v>
      </c>
      <c r="B120" s="44" t="s">
        <v>481</v>
      </c>
      <c r="C120" s="60">
        <v>-465535</v>
      </c>
      <c r="D120" s="54">
        <f t="shared" si="2"/>
        <v>0</v>
      </c>
      <c r="E120" s="58" t="s">
        <v>482</v>
      </c>
      <c r="F120" s="58" t="s">
        <v>482</v>
      </c>
      <c r="G120" s="6" t="s">
        <v>257</v>
      </c>
      <c r="H120" s="6" t="s">
        <v>179</v>
      </c>
      <c r="I120" s="13" t="s">
        <v>482</v>
      </c>
      <c r="J120" s="6"/>
    </row>
    <row r="121" spans="1:10" ht="14" x14ac:dyDescent="0.3">
      <c r="A121" s="44">
        <v>9000</v>
      </c>
      <c r="B121" s="45" t="s">
        <v>721</v>
      </c>
      <c r="C121" s="60">
        <v>1358800</v>
      </c>
      <c r="D121" s="54">
        <f t="shared" ref="D121" si="5">IFERROR(C121*I121,0)</f>
        <v>0</v>
      </c>
      <c r="E121" s="58" t="s">
        <v>482</v>
      </c>
      <c r="F121" s="58" t="s">
        <v>482</v>
      </c>
      <c r="G121" s="6" t="s">
        <v>255</v>
      </c>
      <c r="H121" s="6" t="s">
        <v>179</v>
      </c>
      <c r="I121" s="13" t="s">
        <v>482</v>
      </c>
      <c r="J121" s="6"/>
    </row>
    <row r="122" spans="1:10" ht="14" x14ac:dyDescent="0.3">
      <c r="A122" s="44" t="s">
        <v>443</v>
      </c>
      <c r="B122" s="44" t="s">
        <v>466</v>
      </c>
      <c r="C122" s="60">
        <v>1790896</v>
      </c>
      <c r="D122" s="54">
        <f t="shared" si="2"/>
        <v>0</v>
      </c>
      <c r="E122" s="58" t="s">
        <v>482</v>
      </c>
      <c r="F122" s="58" t="s">
        <v>482</v>
      </c>
      <c r="G122" s="6" t="s">
        <v>255</v>
      </c>
      <c r="H122" s="6" t="s">
        <v>179</v>
      </c>
      <c r="I122" s="13" t="s">
        <v>482</v>
      </c>
      <c r="J122" s="6"/>
    </row>
    <row r="123" spans="1:10" ht="14" x14ac:dyDescent="0.3">
      <c r="A123" s="44" t="s">
        <v>444</v>
      </c>
      <c r="B123" s="44" t="s">
        <v>467</v>
      </c>
      <c r="C123" s="60">
        <v>1293750</v>
      </c>
      <c r="D123" s="54">
        <f t="shared" si="2"/>
        <v>0</v>
      </c>
      <c r="E123" s="58" t="s">
        <v>482</v>
      </c>
      <c r="F123" s="58" t="s">
        <v>482</v>
      </c>
      <c r="G123" s="6" t="s">
        <v>255</v>
      </c>
      <c r="H123" s="6" t="s">
        <v>179</v>
      </c>
      <c r="I123" s="13" t="s">
        <v>482</v>
      </c>
      <c r="J123" s="6"/>
    </row>
    <row r="124" spans="1:10" ht="14" x14ac:dyDescent="0.3">
      <c r="A124" s="44" t="s">
        <v>445</v>
      </c>
      <c r="B124" s="44" t="s">
        <v>468</v>
      </c>
      <c r="C124" s="60">
        <v>3632400</v>
      </c>
      <c r="D124" s="54">
        <f t="shared" si="2"/>
        <v>0</v>
      </c>
      <c r="E124" s="58" t="s">
        <v>482</v>
      </c>
      <c r="F124" s="58" t="s">
        <v>482</v>
      </c>
      <c r="G124" s="6" t="s">
        <v>255</v>
      </c>
      <c r="H124" s="6" t="s">
        <v>179</v>
      </c>
      <c r="I124" s="13" t="s">
        <v>482</v>
      </c>
      <c r="J124" s="6"/>
    </row>
    <row r="125" spans="1:10" ht="14" x14ac:dyDescent="0.3">
      <c r="A125" s="44" t="s">
        <v>694</v>
      </c>
      <c r="B125" s="44" t="s">
        <v>695</v>
      </c>
      <c r="C125" s="60">
        <v>1659200</v>
      </c>
      <c r="D125" s="54">
        <f>IFERROR(C125*I125,0)</f>
        <v>0</v>
      </c>
      <c r="E125" s="58" t="s">
        <v>482</v>
      </c>
      <c r="F125" s="58" t="s">
        <v>482</v>
      </c>
      <c r="G125" s="6" t="s">
        <v>255</v>
      </c>
      <c r="H125" s="6" t="s">
        <v>179</v>
      </c>
      <c r="I125" s="13" t="s">
        <v>482</v>
      </c>
      <c r="J125" s="6"/>
    </row>
    <row r="126" spans="1:10" ht="14" x14ac:dyDescent="0.3">
      <c r="A126" s="45" t="s">
        <v>665</v>
      </c>
      <c r="B126" s="44" t="s">
        <v>470</v>
      </c>
      <c r="C126" s="60">
        <v>1462800</v>
      </c>
      <c r="D126" s="54">
        <f t="shared" si="2"/>
        <v>0</v>
      </c>
      <c r="E126" s="58" t="s">
        <v>482</v>
      </c>
      <c r="F126" s="58" t="s">
        <v>482</v>
      </c>
      <c r="G126" s="6" t="s">
        <v>255</v>
      </c>
      <c r="H126" s="6" t="s">
        <v>179</v>
      </c>
      <c r="I126" s="13" t="s">
        <v>482</v>
      </c>
      <c r="J126" s="6"/>
    </row>
    <row r="127" spans="1:10" ht="14" x14ac:dyDescent="0.3">
      <c r="A127" s="45">
        <v>9007</v>
      </c>
      <c r="B127" s="45" t="s">
        <v>722</v>
      </c>
      <c r="C127" s="60">
        <v>934402</v>
      </c>
      <c r="D127" s="54">
        <f t="shared" ref="D127" si="6">IFERROR(C127*I127,0)</f>
        <v>0</v>
      </c>
      <c r="E127" s="58" t="s">
        <v>482</v>
      </c>
      <c r="F127" s="58" t="s">
        <v>482</v>
      </c>
      <c r="G127" s="6" t="s">
        <v>255</v>
      </c>
      <c r="H127" s="6" t="s">
        <v>179</v>
      </c>
      <c r="I127" s="13" t="s">
        <v>482</v>
      </c>
      <c r="J127" s="6"/>
    </row>
    <row r="128" spans="1:10" ht="14" x14ac:dyDescent="0.3">
      <c r="A128" s="44" t="s">
        <v>446</v>
      </c>
      <c r="B128" s="44" t="s">
        <v>469</v>
      </c>
      <c r="C128" s="60">
        <v>1135500</v>
      </c>
      <c r="D128" s="54">
        <f t="shared" si="2"/>
        <v>0</v>
      </c>
      <c r="E128" s="58" t="s">
        <v>482</v>
      </c>
      <c r="F128" s="58" t="s">
        <v>482</v>
      </c>
      <c r="G128" s="6" t="s">
        <v>255</v>
      </c>
      <c r="H128" s="6" t="s">
        <v>179</v>
      </c>
      <c r="I128" s="13" t="s">
        <v>482</v>
      </c>
      <c r="J128" s="6"/>
    </row>
    <row r="129" spans="1:10" ht="14" x14ac:dyDescent="0.3">
      <c r="A129" s="44" t="s">
        <v>447</v>
      </c>
      <c r="B129" s="44" t="s">
        <v>470</v>
      </c>
      <c r="C129" s="60">
        <v>1474500</v>
      </c>
      <c r="D129" s="54">
        <f t="shared" si="2"/>
        <v>0</v>
      </c>
      <c r="E129" s="58" t="s">
        <v>482</v>
      </c>
      <c r="F129" s="58" t="s">
        <v>482</v>
      </c>
      <c r="G129" s="6" t="s">
        <v>255</v>
      </c>
      <c r="H129" s="6" t="s">
        <v>179</v>
      </c>
      <c r="I129" s="13" t="s">
        <v>482</v>
      </c>
      <c r="J129" s="6"/>
    </row>
    <row r="130" spans="1:10" ht="14" x14ac:dyDescent="0.3">
      <c r="A130" s="44" t="s">
        <v>448</v>
      </c>
      <c r="B130" s="44" t="s">
        <v>471</v>
      </c>
      <c r="C130" s="60">
        <v>1336713</v>
      </c>
      <c r="D130" s="54">
        <f t="shared" si="2"/>
        <v>0</v>
      </c>
      <c r="E130" s="58" t="s">
        <v>482</v>
      </c>
      <c r="F130" s="58" t="s">
        <v>482</v>
      </c>
      <c r="G130" s="6" t="s">
        <v>256</v>
      </c>
      <c r="H130" s="6" t="s">
        <v>179</v>
      </c>
      <c r="I130" s="13" t="s">
        <v>482</v>
      </c>
      <c r="J130" s="6"/>
    </row>
    <row r="131" spans="1:10" ht="14" x14ac:dyDescent="0.3">
      <c r="A131" s="44" t="s">
        <v>449</v>
      </c>
      <c r="B131" s="44" t="s">
        <v>472</v>
      </c>
      <c r="C131" s="60">
        <v>24888</v>
      </c>
      <c r="D131" s="54">
        <f t="shared" si="2"/>
        <v>0</v>
      </c>
      <c r="E131" s="58" t="s">
        <v>482</v>
      </c>
      <c r="F131" s="58" t="s">
        <v>482</v>
      </c>
      <c r="G131" s="6" t="s">
        <v>258</v>
      </c>
      <c r="H131" s="6" t="s">
        <v>179</v>
      </c>
      <c r="I131" s="13" t="s">
        <v>482</v>
      </c>
      <c r="J131" s="6"/>
    </row>
    <row r="132" spans="1:10" ht="14" x14ac:dyDescent="0.3">
      <c r="A132" s="44" t="s">
        <v>450</v>
      </c>
      <c r="B132" s="44" t="s">
        <v>138</v>
      </c>
      <c r="C132" s="60">
        <v>27001358</v>
      </c>
      <c r="D132" s="54">
        <f t="shared" si="2"/>
        <v>0</v>
      </c>
      <c r="E132" s="58" t="s">
        <v>482</v>
      </c>
      <c r="F132" s="58" t="s">
        <v>482</v>
      </c>
      <c r="G132" s="6" t="s">
        <v>480</v>
      </c>
      <c r="H132" s="6" t="s">
        <v>138</v>
      </c>
      <c r="I132" s="13" t="s">
        <v>482</v>
      </c>
      <c r="J132" s="6"/>
    </row>
    <row r="133" spans="1:10" s="91" customFormat="1" ht="14" x14ac:dyDescent="0.3">
      <c r="A133" s="91">
        <v>9412</v>
      </c>
      <c r="B133" s="91" t="s">
        <v>723</v>
      </c>
      <c r="C133" s="95">
        <v>2134453</v>
      </c>
      <c r="D133" s="113">
        <f t="shared" ref="D133" si="7">IFERROR(C133*I133,0)</f>
        <v>2134453</v>
      </c>
      <c r="E133" s="114" t="s">
        <v>482</v>
      </c>
      <c r="F133" s="114" t="s">
        <v>482</v>
      </c>
      <c r="G133" s="92" t="s">
        <v>725</v>
      </c>
      <c r="H133" s="92" t="s">
        <v>10</v>
      </c>
      <c r="I133" s="94">
        <v>1</v>
      </c>
      <c r="J133" s="92"/>
    </row>
    <row r="134" spans="1:10" ht="14" x14ac:dyDescent="0.3">
      <c r="A134" s="44" t="s">
        <v>451</v>
      </c>
      <c r="B134" s="44" t="s">
        <v>473</v>
      </c>
      <c r="C134" s="60">
        <v>93400</v>
      </c>
      <c r="D134" s="54">
        <f t="shared" si="2"/>
        <v>0</v>
      </c>
      <c r="E134" s="58" t="s">
        <v>482</v>
      </c>
      <c r="F134" s="58" t="s">
        <v>482</v>
      </c>
      <c r="G134" s="6" t="s">
        <v>479</v>
      </c>
      <c r="H134" s="6" t="s">
        <v>11</v>
      </c>
      <c r="I134" s="13" t="s">
        <v>482</v>
      </c>
      <c r="J134" s="6"/>
    </row>
    <row r="135" spans="1:10" x14ac:dyDescent="0.3">
      <c r="A135" s="44" t="s">
        <v>452</v>
      </c>
      <c r="B135" s="44" t="s">
        <v>474</v>
      </c>
      <c r="C135" s="6"/>
      <c r="D135" s="54">
        <f t="shared" si="2"/>
        <v>0</v>
      </c>
      <c r="E135" s="58" t="s">
        <v>482</v>
      </c>
      <c r="F135" s="58" t="s">
        <v>482</v>
      </c>
      <c r="G135" s="6" t="s">
        <v>479</v>
      </c>
      <c r="H135" s="6" t="s">
        <v>11</v>
      </c>
      <c r="I135" s="13" t="s">
        <v>482</v>
      </c>
      <c r="J135" s="6"/>
    </row>
    <row r="136" spans="1:10" ht="14" x14ac:dyDescent="0.3">
      <c r="A136" s="44" t="s">
        <v>453</v>
      </c>
      <c r="B136" s="44" t="s">
        <v>475</v>
      </c>
      <c r="C136" s="60">
        <v>280940</v>
      </c>
      <c r="D136" s="54">
        <f t="shared" si="2"/>
        <v>0</v>
      </c>
      <c r="E136" s="58" t="s">
        <v>482</v>
      </c>
      <c r="F136" s="58" t="s">
        <v>482</v>
      </c>
      <c r="G136" s="6" t="s">
        <v>479</v>
      </c>
      <c r="H136" s="6" t="s">
        <v>156</v>
      </c>
      <c r="I136" s="13" t="s">
        <v>482</v>
      </c>
      <c r="J136" s="6"/>
    </row>
    <row r="137" spans="1:10" ht="14" x14ac:dyDescent="0.3">
      <c r="A137" s="44" t="s">
        <v>454</v>
      </c>
      <c r="B137" s="44" t="s">
        <v>476</v>
      </c>
      <c r="C137" s="60">
        <v>62072</v>
      </c>
      <c r="D137" s="54">
        <f t="shared" si="2"/>
        <v>0</v>
      </c>
      <c r="E137" s="58" t="s">
        <v>482</v>
      </c>
      <c r="F137" s="58" t="s">
        <v>482</v>
      </c>
      <c r="G137" s="6" t="s">
        <v>479</v>
      </c>
      <c r="H137" s="6" t="s">
        <v>657</v>
      </c>
      <c r="I137" s="13" t="s">
        <v>482</v>
      </c>
      <c r="J137" s="6"/>
    </row>
    <row r="138" spans="1:10" ht="14" x14ac:dyDescent="0.3">
      <c r="A138" s="44" t="s">
        <v>455</v>
      </c>
      <c r="B138" s="44" t="s">
        <v>477</v>
      </c>
      <c r="C138" s="60">
        <v>2770526</v>
      </c>
      <c r="D138" s="54">
        <f t="shared" si="2"/>
        <v>0</v>
      </c>
      <c r="E138" s="58" t="s">
        <v>482</v>
      </c>
      <c r="F138" s="58" t="s">
        <v>482</v>
      </c>
      <c r="G138" s="6" t="s">
        <v>261</v>
      </c>
      <c r="H138" s="6" t="s">
        <v>179</v>
      </c>
      <c r="I138" s="13" t="s">
        <v>482</v>
      </c>
      <c r="J138" s="6"/>
    </row>
    <row r="139" spans="1:10" ht="14" x14ac:dyDescent="0.3">
      <c r="A139" s="44">
        <v>9602</v>
      </c>
      <c r="B139" s="44" t="s">
        <v>724</v>
      </c>
      <c r="C139" s="60">
        <v>5255346</v>
      </c>
      <c r="D139" s="54">
        <f t="shared" ref="D139" si="8">IFERROR(C139*I139,0)</f>
        <v>0</v>
      </c>
      <c r="E139" s="58" t="s">
        <v>482</v>
      </c>
      <c r="F139" s="58" t="s">
        <v>482</v>
      </c>
      <c r="G139" s="6" t="s">
        <v>261</v>
      </c>
      <c r="H139" s="6" t="s">
        <v>179</v>
      </c>
      <c r="I139" s="13" t="s">
        <v>482</v>
      </c>
      <c r="J139" s="6"/>
    </row>
    <row r="140" spans="1:10" ht="14" x14ac:dyDescent="0.3">
      <c r="A140" s="44" t="s">
        <v>483</v>
      </c>
      <c r="C140" s="60">
        <v>17738776</v>
      </c>
      <c r="D140" s="54">
        <f t="shared" si="2"/>
        <v>0</v>
      </c>
      <c r="E140" s="58" t="s">
        <v>482</v>
      </c>
      <c r="F140" s="58" t="s">
        <v>482</v>
      </c>
      <c r="G140" s="6" t="s">
        <v>606</v>
      </c>
      <c r="H140" s="6" t="s">
        <v>179</v>
      </c>
      <c r="I140" s="13" t="s">
        <v>482</v>
      </c>
      <c r="J140" s="6"/>
    </row>
    <row r="141" spans="1:10" ht="14" x14ac:dyDescent="0.3">
      <c r="A141" s="44" t="s">
        <v>502</v>
      </c>
      <c r="B141" s="44" t="s">
        <v>23</v>
      </c>
      <c r="C141" s="60">
        <v>-467914</v>
      </c>
      <c r="D141" s="54">
        <f t="shared" si="2"/>
        <v>0</v>
      </c>
      <c r="E141" s="58" t="s">
        <v>482</v>
      </c>
      <c r="F141" s="58" t="s">
        <v>482</v>
      </c>
      <c r="G141" s="6" t="s">
        <v>631</v>
      </c>
      <c r="H141" s="6" t="s">
        <v>23</v>
      </c>
      <c r="I141" s="13" t="s">
        <v>482</v>
      </c>
      <c r="J141" s="6"/>
    </row>
    <row r="142" spans="1:10" ht="14" x14ac:dyDescent="0.3">
      <c r="A142" s="44" t="s">
        <v>503</v>
      </c>
      <c r="B142" s="44" t="s">
        <v>504</v>
      </c>
      <c r="C142" s="60">
        <v>-623171</v>
      </c>
      <c r="D142" s="54">
        <f t="shared" si="2"/>
        <v>0</v>
      </c>
      <c r="E142" s="58" t="s">
        <v>482</v>
      </c>
      <c r="F142" s="58" t="s">
        <v>482</v>
      </c>
      <c r="G142" s="6" t="s">
        <v>631</v>
      </c>
      <c r="H142" s="6" t="s">
        <v>24</v>
      </c>
      <c r="I142" s="13" t="s">
        <v>482</v>
      </c>
      <c r="J142" s="6"/>
    </row>
    <row r="143" spans="1:10" ht="14" x14ac:dyDescent="0.3">
      <c r="A143" s="44" t="s">
        <v>505</v>
      </c>
      <c r="B143" s="44" t="s">
        <v>506</v>
      </c>
      <c r="C143" s="60">
        <v>-491584</v>
      </c>
      <c r="D143" s="54">
        <f t="shared" ref="D143:D159" si="9">IFERROR(C143*I143,0)</f>
        <v>0</v>
      </c>
      <c r="E143" s="58" t="s">
        <v>482</v>
      </c>
      <c r="F143" s="58" t="s">
        <v>482</v>
      </c>
      <c r="G143" s="6" t="s">
        <v>631</v>
      </c>
      <c r="H143" s="6" t="s">
        <v>198</v>
      </c>
      <c r="I143" s="13" t="s">
        <v>482</v>
      </c>
      <c r="J143" s="6"/>
    </row>
    <row r="144" spans="1:10" ht="14" x14ac:dyDescent="0.3">
      <c r="A144" s="44" t="s">
        <v>507</v>
      </c>
      <c r="B144" s="44" t="s">
        <v>508</v>
      </c>
      <c r="C144" s="60">
        <v>-1457840</v>
      </c>
      <c r="D144" s="54">
        <f t="shared" si="9"/>
        <v>0</v>
      </c>
      <c r="E144" s="58" t="s">
        <v>482</v>
      </c>
      <c r="F144" s="58" t="s">
        <v>482</v>
      </c>
      <c r="G144" s="6" t="s">
        <v>631</v>
      </c>
      <c r="H144" s="6" t="s">
        <v>179</v>
      </c>
      <c r="I144" s="13" t="s">
        <v>482</v>
      </c>
      <c r="J144" s="6"/>
    </row>
    <row r="145" spans="1:10" ht="14" x14ac:dyDescent="0.3">
      <c r="A145" s="44" t="s">
        <v>656</v>
      </c>
      <c r="C145" s="60">
        <v>-10914</v>
      </c>
      <c r="D145" s="54">
        <f>IFERROR(C145*I145,0)</f>
        <v>0</v>
      </c>
      <c r="E145" s="58" t="s">
        <v>482</v>
      </c>
      <c r="F145" s="58" t="s">
        <v>482</v>
      </c>
      <c r="G145" s="6" t="s">
        <v>631</v>
      </c>
      <c r="H145" s="6" t="s">
        <v>198</v>
      </c>
      <c r="I145" s="13" t="s">
        <v>482</v>
      </c>
      <c r="J145" s="6"/>
    </row>
    <row r="146" spans="1:10" ht="14" x14ac:dyDescent="0.3">
      <c r="A146" s="44" t="s">
        <v>633</v>
      </c>
      <c r="B146" s="44" t="s">
        <v>634</v>
      </c>
      <c r="C146" s="60">
        <v>10744185</v>
      </c>
      <c r="D146" s="44">
        <f t="shared" si="9"/>
        <v>0</v>
      </c>
      <c r="E146" s="58" t="s">
        <v>482</v>
      </c>
      <c r="F146" s="58" t="s">
        <v>482</v>
      </c>
      <c r="G146" s="6" t="s">
        <v>632</v>
      </c>
      <c r="H146" s="6" t="s">
        <v>12</v>
      </c>
      <c r="I146" s="7" t="s">
        <v>482</v>
      </c>
      <c r="J146" s="6"/>
    </row>
    <row r="147" spans="1:10" ht="14" x14ac:dyDescent="0.3">
      <c r="A147" s="44" t="s">
        <v>635</v>
      </c>
      <c r="B147" s="44" t="s">
        <v>636</v>
      </c>
      <c r="C147" s="60">
        <v>287552</v>
      </c>
      <c r="D147" s="44">
        <f t="shared" si="9"/>
        <v>0</v>
      </c>
      <c r="E147" s="58" t="s">
        <v>482</v>
      </c>
      <c r="F147" s="58" t="s">
        <v>482</v>
      </c>
      <c r="G147" s="6" t="s">
        <v>632</v>
      </c>
      <c r="H147" s="6" t="s">
        <v>12</v>
      </c>
      <c r="I147" s="7" t="s">
        <v>482</v>
      </c>
      <c r="J147" s="6"/>
    </row>
    <row r="148" spans="1:10" ht="14" x14ac:dyDescent="0.3">
      <c r="A148" s="44" t="s">
        <v>637</v>
      </c>
      <c r="B148" s="44" t="s">
        <v>638</v>
      </c>
      <c r="C148" s="60">
        <v>34640</v>
      </c>
      <c r="D148" s="44">
        <f t="shared" si="9"/>
        <v>0</v>
      </c>
      <c r="E148" s="58" t="s">
        <v>482</v>
      </c>
      <c r="F148" s="58" t="s">
        <v>482</v>
      </c>
      <c r="G148" s="6" t="s">
        <v>632</v>
      </c>
      <c r="H148" s="6" t="s">
        <v>12</v>
      </c>
      <c r="I148" s="7" t="s">
        <v>482</v>
      </c>
      <c r="J148" s="6"/>
    </row>
    <row r="149" spans="1:10" ht="14" x14ac:dyDescent="0.3">
      <c r="A149" s="44" t="s">
        <v>639</v>
      </c>
      <c r="B149" s="44" t="s">
        <v>640</v>
      </c>
      <c r="C149" s="60">
        <v>262202</v>
      </c>
      <c r="D149" s="44">
        <f t="shared" si="9"/>
        <v>0</v>
      </c>
      <c r="E149" s="58" t="s">
        <v>482</v>
      </c>
      <c r="F149" s="58" t="s">
        <v>482</v>
      </c>
      <c r="G149" s="6" t="s">
        <v>632</v>
      </c>
      <c r="H149" s="6" t="s">
        <v>12</v>
      </c>
      <c r="I149" s="7" t="s">
        <v>482</v>
      </c>
      <c r="J149" s="6"/>
    </row>
    <row r="150" spans="1:10" ht="14" x14ac:dyDescent="0.3">
      <c r="A150" s="44" t="s">
        <v>641</v>
      </c>
      <c r="B150" s="44" t="s">
        <v>642</v>
      </c>
      <c r="C150" s="60">
        <v>435075</v>
      </c>
      <c r="D150" s="44">
        <f t="shared" si="9"/>
        <v>0</v>
      </c>
      <c r="E150" s="58" t="s">
        <v>482</v>
      </c>
      <c r="F150" s="58" t="s">
        <v>482</v>
      </c>
      <c r="G150" s="6" t="s">
        <v>632</v>
      </c>
      <c r="H150" s="6" t="s">
        <v>12</v>
      </c>
      <c r="I150" s="7" t="s">
        <v>482</v>
      </c>
      <c r="J150" s="6"/>
    </row>
    <row r="151" spans="1:10" x14ac:dyDescent="0.3">
      <c r="A151" s="44" t="s">
        <v>643</v>
      </c>
      <c r="B151" s="44" t="s">
        <v>644</v>
      </c>
      <c r="C151" s="6">
        <v>0</v>
      </c>
      <c r="D151" s="44">
        <f t="shared" si="9"/>
        <v>0</v>
      </c>
      <c r="E151" s="58" t="s">
        <v>482</v>
      </c>
      <c r="F151" s="58" t="s">
        <v>482</v>
      </c>
      <c r="G151" s="6" t="s">
        <v>632</v>
      </c>
      <c r="H151" s="6" t="s">
        <v>12</v>
      </c>
      <c r="I151" s="7" t="s">
        <v>482</v>
      </c>
      <c r="J151" s="6"/>
    </row>
    <row r="152" spans="1:10" ht="14" x14ac:dyDescent="0.3">
      <c r="A152" s="44" t="s">
        <v>645</v>
      </c>
      <c r="B152" s="44" t="s">
        <v>646</v>
      </c>
      <c r="C152" s="60">
        <v>66373</v>
      </c>
      <c r="D152" s="44">
        <f t="shared" si="9"/>
        <v>0</v>
      </c>
      <c r="E152" s="58" t="s">
        <v>482</v>
      </c>
      <c r="F152" s="58" t="s">
        <v>482</v>
      </c>
      <c r="G152" s="6" t="s">
        <v>632</v>
      </c>
      <c r="H152" s="6" t="s">
        <v>12</v>
      </c>
      <c r="I152" s="7" t="s">
        <v>482</v>
      </c>
      <c r="J152" s="6"/>
    </row>
    <row r="153" spans="1:10" x14ac:dyDescent="0.3">
      <c r="A153" s="44" t="s">
        <v>647</v>
      </c>
      <c r="B153" s="44" t="s">
        <v>634</v>
      </c>
      <c r="C153" s="92">
        <f>-9753640.03-3367000</f>
        <v>-13120640.029999999</v>
      </c>
      <c r="D153" s="54">
        <f t="shared" si="9"/>
        <v>0</v>
      </c>
      <c r="E153" s="58" t="s">
        <v>482</v>
      </c>
      <c r="F153" s="58" t="s">
        <v>482</v>
      </c>
      <c r="G153" s="6" t="s">
        <v>632</v>
      </c>
      <c r="H153" s="6" t="s">
        <v>12</v>
      </c>
      <c r="I153" s="7" t="s">
        <v>482</v>
      </c>
      <c r="J153" s="6"/>
    </row>
    <row r="154" spans="1:10" ht="14" x14ac:dyDescent="0.3">
      <c r="A154" s="44" t="s">
        <v>648</v>
      </c>
      <c r="B154" s="44" t="s">
        <v>636</v>
      </c>
      <c r="C154" s="60">
        <v>-364536</v>
      </c>
      <c r="D154" s="54">
        <f t="shared" si="9"/>
        <v>0</v>
      </c>
      <c r="E154" s="58" t="s">
        <v>482</v>
      </c>
      <c r="F154" s="58" t="s">
        <v>482</v>
      </c>
      <c r="G154" s="6" t="s">
        <v>632</v>
      </c>
      <c r="H154" s="6" t="s">
        <v>12</v>
      </c>
      <c r="I154" s="7" t="s">
        <v>482</v>
      </c>
      <c r="J154" s="6"/>
    </row>
    <row r="155" spans="1:10" ht="14" x14ac:dyDescent="0.3">
      <c r="A155" s="44" t="s">
        <v>649</v>
      </c>
      <c r="B155" s="44" t="s">
        <v>650</v>
      </c>
      <c r="C155" s="60">
        <v>-34639</v>
      </c>
      <c r="D155" s="54">
        <f t="shared" si="9"/>
        <v>0</v>
      </c>
      <c r="E155" s="58" t="s">
        <v>482</v>
      </c>
      <c r="F155" s="58" t="s">
        <v>482</v>
      </c>
      <c r="G155" s="6" t="s">
        <v>632</v>
      </c>
      <c r="H155" s="6" t="s">
        <v>12</v>
      </c>
      <c r="I155" s="7" t="s">
        <v>482</v>
      </c>
      <c r="J155" s="6"/>
    </row>
    <row r="156" spans="1:10" ht="14" x14ac:dyDescent="0.3">
      <c r="A156" s="44" t="s">
        <v>651</v>
      </c>
      <c r="B156" s="44" t="s">
        <v>640</v>
      </c>
      <c r="C156" s="60">
        <v>-318618</v>
      </c>
      <c r="D156" s="54">
        <f t="shared" si="9"/>
        <v>0</v>
      </c>
      <c r="E156" s="58" t="s">
        <v>482</v>
      </c>
      <c r="F156" s="58" t="s">
        <v>482</v>
      </c>
      <c r="G156" s="6" t="s">
        <v>632</v>
      </c>
      <c r="H156" s="6" t="s">
        <v>12</v>
      </c>
      <c r="I156" s="7" t="s">
        <v>482</v>
      </c>
      <c r="J156" s="6"/>
    </row>
    <row r="157" spans="1:10" ht="14" x14ac:dyDescent="0.3">
      <c r="A157" s="44" t="s">
        <v>652</v>
      </c>
      <c r="B157" s="44" t="s">
        <v>642</v>
      </c>
      <c r="C157" s="60">
        <v>-437766</v>
      </c>
      <c r="D157" s="54">
        <f t="shared" si="9"/>
        <v>0</v>
      </c>
      <c r="E157" s="58" t="s">
        <v>482</v>
      </c>
      <c r="F157" s="58" t="s">
        <v>482</v>
      </c>
      <c r="G157" s="6" t="s">
        <v>632</v>
      </c>
      <c r="H157" s="6" t="s">
        <v>12</v>
      </c>
      <c r="I157" s="7" t="s">
        <v>482</v>
      </c>
      <c r="J157" s="6"/>
    </row>
    <row r="158" spans="1:10" ht="14" x14ac:dyDescent="0.3">
      <c r="A158" s="44" t="s">
        <v>653</v>
      </c>
      <c r="B158" s="44" t="s">
        <v>644</v>
      </c>
      <c r="C158" s="60">
        <v>9821</v>
      </c>
      <c r="D158" s="54">
        <f t="shared" si="9"/>
        <v>0</v>
      </c>
      <c r="E158" s="58" t="s">
        <v>482</v>
      </c>
      <c r="F158" s="58" t="s">
        <v>482</v>
      </c>
      <c r="G158" s="6" t="s">
        <v>632</v>
      </c>
      <c r="H158" s="6" t="s">
        <v>12</v>
      </c>
      <c r="I158" s="7" t="s">
        <v>482</v>
      </c>
      <c r="J158" s="6"/>
    </row>
    <row r="159" spans="1:10" ht="14" x14ac:dyDescent="0.3">
      <c r="A159" s="44" t="s">
        <v>654</v>
      </c>
      <c r="B159" s="44" t="s">
        <v>646</v>
      </c>
      <c r="C159" s="60">
        <v>-289108</v>
      </c>
      <c r="D159" s="54">
        <f t="shared" si="9"/>
        <v>0</v>
      </c>
      <c r="E159" s="58" t="s">
        <v>482</v>
      </c>
      <c r="F159" s="58" t="s">
        <v>482</v>
      </c>
      <c r="G159" s="6" t="s">
        <v>632</v>
      </c>
      <c r="H159" s="6" t="s">
        <v>12</v>
      </c>
      <c r="I159" s="7" t="s">
        <v>482</v>
      </c>
      <c r="J159" s="6"/>
    </row>
  </sheetData>
  <autoFilter ref="A4:J159" xr:uid="{00000000-0009-0000-0000-00001A000000}"/>
  <printOptions horizontalCentered="1" gridLines="1"/>
  <pageMargins left="0.19685039370078741" right="0.19685039370078741" top="0.98425196850393704" bottom="0.59055118110236227" header="0.19685039370078741" footer="0.19685039370078741"/>
  <pageSetup scale="66" pageOrder="overThenDown" orientation="landscape" r:id="rId1"/>
  <headerFooter scaleWithDoc="0">
    <oddHeader xml:space="preserve">&amp;C2023 "Status Quo Methods" Cost Allocation Model for MECL </oddHeader>
    <oddFooter>&amp;LPage &amp;P of &amp;N&amp;RJune 27, 2025</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Q82"/>
  <sheetViews>
    <sheetView view="pageBreakPreview" topLeftCell="D19" zoomScale="40" zoomScaleNormal="100" zoomScaleSheetLayoutView="40" workbookViewId="0">
      <selection activeCell="E21" sqref="E21"/>
    </sheetView>
  </sheetViews>
  <sheetFormatPr defaultColWidth="8.7109375" defaultRowHeight="13.5" x14ac:dyDescent="0.3"/>
  <cols>
    <col min="1" max="1" width="8.7109375" style="5"/>
    <col min="2" max="2" width="25.7109375" style="5" customWidth="1"/>
    <col min="3" max="4" width="11.35546875" style="5" customWidth="1"/>
    <col min="5" max="13" width="10.7109375" style="5" customWidth="1"/>
    <col min="14" max="14" width="23.92578125" style="5" customWidth="1"/>
    <col min="15" max="15" width="21.2109375" style="5" customWidth="1"/>
    <col min="16" max="17" width="25.7109375" style="5" customWidth="1"/>
    <col min="18" max="16384" width="8.7109375" style="5"/>
  </cols>
  <sheetData>
    <row r="1" spans="1:17" x14ac:dyDescent="0.3">
      <c r="A1" s="5" t="s">
        <v>45</v>
      </c>
    </row>
    <row r="2" spans="1:17" x14ac:dyDescent="0.3">
      <c r="A2" s="44" t="s">
        <v>701</v>
      </c>
    </row>
    <row r="4" spans="1:17" x14ac:dyDescent="0.3">
      <c r="C4" s="5" t="s">
        <v>129</v>
      </c>
      <c r="F4" s="5" t="s">
        <v>137</v>
      </c>
      <c r="I4" s="14" t="s">
        <v>157</v>
      </c>
      <c r="J4" s="14"/>
      <c r="L4" s="14" t="s">
        <v>158</v>
      </c>
      <c r="M4" s="14" t="s">
        <v>139</v>
      </c>
    </row>
    <row r="5" spans="1:17" x14ac:dyDescent="0.3">
      <c r="A5" s="5" t="s">
        <v>47</v>
      </c>
      <c r="B5" s="5" t="s">
        <v>48</v>
      </c>
      <c r="C5" s="15" t="s">
        <v>105</v>
      </c>
      <c r="D5" s="15" t="s">
        <v>106</v>
      </c>
      <c r="E5" s="15" t="s">
        <v>154</v>
      </c>
      <c r="F5" s="15" t="s">
        <v>105</v>
      </c>
      <c r="G5" s="15" t="s">
        <v>106</v>
      </c>
      <c r="H5" s="15" t="s">
        <v>154</v>
      </c>
      <c r="I5" s="15" t="s">
        <v>105</v>
      </c>
      <c r="J5" s="15" t="s">
        <v>106</v>
      </c>
      <c r="K5" s="15" t="s">
        <v>154</v>
      </c>
      <c r="L5" s="14" t="s">
        <v>129</v>
      </c>
      <c r="M5" s="14" t="s">
        <v>138</v>
      </c>
      <c r="N5" s="5" t="s">
        <v>220</v>
      </c>
      <c r="O5" s="5" t="s">
        <v>218</v>
      </c>
      <c r="P5" s="5" t="s">
        <v>219</v>
      </c>
      <c r="Q5" s="5" t="s">
        <v>219</v>
      </c>
    </row>
    <row r="6" spans="1:17" ht="14" x14ac:dyDescent="0.3">
      <c r="A6" s="19">
        <v>1101</v>
      </c>
      <c r="B6" s="5" t="s">
        <v>49</v>
      </c>
      <c r="C6" s="60">
        <v>2261810</v>
      </c>
      <c r="D6" s="60">
        <v>2261810</v>
      </c>
      <c r="E6" s="8">
        <f>AVERAGE(C6:D6)</f>
        <v>2261810</v>
      </c>
      <c r="F6">
        <v>0</v>
      </c>
      <c r="G6">
        <v>0</v>
      </c>
      <c r="H6" s="8">
        <f>AVERAGE(F6:G6)</f>
        <v>0</v>
      </c>
      <c r="I6">
        <v>0</v>
      </c>
      <c r="J6">
        <v>0</v>
      </c>
      <c r="K6" s="8">
        <f>AVERAGE(I6:J6)</f>
        <v>0</v>
      </c>
      <c r="L6" s="8">
        <f>E6-H6-K6</f>
        <v>2261810</v>
      </c>
      <c r="M6">
        <v>0</v>
      </c>
      <c r="N6" s="5" t="s">
        <v>172</v>
      </c>
      <c r="O6" s="5" t="s">
        <v>10</v>
      </c>
    </row>
    <row r="7" spans="1:17" ht="14" x14ac:dyDescent="0.3">
      <c r="A7" s="19">
        <v>1102</v>
      </c>
      <c r="B7" s="5" t="s">
        <v>50</v>
      </c>
      <c r="C7" s="60">
        <v>310364</v>
      </c>
      <c r="D7" s="60">
        <v>5992700</v>
      </c>
      <c r="E7" s="8">
        <f t="shared" ref="E7:E73" si="0">AVERAGE(C7:D7)</f>
        <v>3151532</v>
      </c>
      <c r="F7" s="60">
        <v>-134977</v>
      </c>
      <c r="G7" s="60">
        <v>-871923</v>
      </c>
      <c r="H7" s="8">
        <f t="shared" ref="H7:H73" si="1">AVERAGE(F7:G7)</f>
        <v>-503450</v>
      </c>
      <c r="I7" s="60">
        <v>304082</v>
      </c>
      <c r="J7">
        <v>0</v>
      </c>
      <c r="K7" s="8">
        <f t="shared" ref="K7:K62" si="2">AVERAGE(I7:J7)</f>
        <v>152041</v>
      </c>
      <c r="L7" s="8">
        <f t="shared" ref="L7:L71" si="3">E7-H7-K7</f>
        <v>3502941</v>
      </c>
      <c r="M7" s="60">
        <v>101479</v>
      </c>
      <c r="N7" s="5" t="s">
        <v>172</v>
      </c>
      <c r="O7" s="5" t="s">
        <v>10</v>
      </c>
    </row>
    <row r="8" spans="1:17" ht="14" x14ac:dyDescent="0.3">
      <c r="A8" s="19">
        <v>1103</v>
      </c>
      <c r="B8" s="5" t="s">
        <v>51</v>
      </c>
      <c r="C8">
        <v>0</v>
      </c>
      <c r="D8">
        <v>0</v>
      </c>
      <c r="E8" s="8">
        <f t="shared" si="0"/>
        <v>0</v>
      </c>
      <c r="F8" s="60">
        <v>225849</v>
      </c>
      <c r="G8" s="60">
        <v>225849</v>
      </c>
      <c r="H8" s="8">
        <f t="shared" si="1"/>
        <v>225849</v>
      </c>
      <c r="I8">
        <v>0</v>
      </c>
      <c r="J8">
        <v>0</v>
      </c>
      <c r="K8" s="8">
        <f t="shared" si="2"/>
        <v>0</v>
      </c>
      <c r="L8" s="8">
        <f t="shared" si="3"/>
        <v>-225849</v>
      </c>
      <c r="M8">
        <v>0</v>
      </c>
      <c r="N8" s="5" t="s">
        <v>172</v>
      </c>
      <c r="O8" s="5" t="s">
        <v>10</v>
      </c>
    </row>
    <row r="9" spans="1:17" ht="14" x14ac:dyDescent="0.3">
      <c r="A9" s="19">
        <v>1104</v>
      </c>
      <c r="B9" s="5" t="s">
        <v>52</v>
      </c>
      <c r="C9">
        <v>0</v>
      </c>
      <c r="D9">
        <v>0</v>
      </c>
      <c r="E9" s="8">
        <f t="shared" si="0"/>
        <v>0</v>
      </c>
      <c r="F9" s="60">
        <v>-22559</v>
      </c>
      <c r="G9" s="60">
        <v>-22559</v>
      </c>
      <c r="H9" s="8">
        <f t="shared" si="1"/>
        <v>-22559</v>
      </c>
      <c r="I9">
        <v>0</v>
      </c>
      <c r="J9">
        <v>0</v>
      </c>
      <c r="K9" s="8">
        <f t="shared" si="2"/>
        <v>0</v>
      </c>
      <c r="L9" s="8">
        <f t="shared" si="3"/>
        <v>22559</v>
      </c>
      <c r="M9">
        <v>0</v>
      </c>
      <c r="N9" s="5" t="s">
        <v>172</v>
      </c>
      <c r="O9" s="5" t="s">
        <v>10</v>
      </c>
    </row>
    <row r="10" spans="1:17" ht="14" x14ac:dyDescent="0.3">
      <c r="A10" s="19">
        <v>1105</v>
      </c>
      <c r="B10" s="5" t="s">
        <v>53</v>
      </c>
      <c r="C10">
        <v>0</v>
      </c>
      <c r="D10">
        <v>0</v>
      </c>
      <c r="E10" s="8">
        <f t="shared" si="0"/>
        <v>0</v>
      </c>
      <c r="F10" s="60">
        <v>4066984</v>
      </c>
      <c r="G10" s="60">
        <v>3937973</v>
      </c>
      <c r="H10" s="8">
        <f t="shared" si="1"/>
        <v>4002478.5</v>
      </c>
      <c r="I10">
        <v>0</v>
      </c>
      <c r="J10">
        <v>0</v>
      </c>
      <c r="K10" s="8">
        <f t="shared" si="2"/>
        <v>0</v>
      </c>
      <c r="L10" s="8">
        <f t="shared" si="3"/>
        <v>-4002478.5</v>
      </c>
      <c r="M10">
        <v>0</v>
      </c>
      <c r="N10" s="5" t="s">
        <v>172</v>
      </c>
      <c r="O10" s="5" t="s">
        <v>10</v>
      </c>
    </row>
    <row r="11" spans="1:17" ht="14" x14ac:dyDescent="0.3">
      <c r="A11" s="19">
        <v>1107</v>
      </c>
      <c r="B11" s="5" t="s">
        <v>54</v>
      </c>
      <c r="C11" s="60">
        <v>-28440</v>
      </c>
      <c r="D11">
        <v>0</v>
      </c>
      <c r="E11" s="8">
        <f t="shared" si="0"/>
        <v>-14220</v>
      </c>
      <c r="F11" s="60">
        <v>4187763</v>
      </c>
      <c r="G11" s="60">
        <v>4101847</v>
      </c>
      <c r="H11" s="8">
        <f t="shared" si="1"/>
        <v>4144805</v>
      </c>
      <c r="I11">
        <v>0</v>
      </c>
      <c r="J11">
        <v>0</v>
      </c>
      <c r="K11" s="8">
        <f t="shared" si="2"/>
        <v>0</v>
      </c>
      <c r="L11" s="8">
        <f t="shared" si="3"/>
        <v>-4159025</v>
      </c>
      <c r="M11" s="60">
        <v>-2052</v>
      </c>
      <c r="N11" s="5" t="s">
        <v>172</v>
      </c>
      <c r="O11" s="5" t="s">
        <v>10</v>
      </c>
    </row>
    <row r="12" spans="1:17" ht="14" x14ac:dyDescent="0.3">
      <c r="A12" s="19">
        <v>1109</v>
      </c>
      <c r="B12" s="5" t="s">
        <v>55</v>
      </c>
      <c r="C12" s="60">
        <v>37109600</v>
      </c>
      <c r="D12" s="60">
        <v>37600204</v>
      </c>
      <c r="E12" s="8">
        <f t="shared" si="0"/>
        <v>37354902</v>
      </c>
      <c r="F12" s="60">
        <v>8977457</v>
      </c>
      <c r="G12" s="60">
        <v>9305073</v>
      </c>
      <c r="H12" s="8">
        <f t="shared" si="1"/>
        <v>9141265</v>
      </c>
      <c r="I12" s="60">
        <v>338409</v>
      </c>
      <c r="J12">
        <v>0</v>
      </c>
      <c r="K12" s="8">
        <f t="shared" si="2"/>
        <v>169204.5</v>
      </c>
      <c r="L12" s="8">
        <f t="shared" si="3"/>
        <v>28044432.5</v>
      </c>
      <c r="M12" s="60">
        <v>986169</v>
      </c>
      <c r="N12" s="5" t="s">
        <v>172</v>
      </c>
      <c r="O12" s="5" t="s">
        <v>10</v>
      </c>
    </row>
    <row r="13" spans="1:17" ht="14" x14ac:dyDescent="0.3">
      <c r="A13" s="19">
        <v>1113</v>
      </c>
      <c r="B13" s="5" t="s">
        <v>56</v>
      </c>
      <c r="C13">
        <v>0</v>
      </c>
      <c r="D13">
        <v>0</v>
      </c>
      <c r="E13" s="8">
        <f t="shared" si="0"/>
        <v>0</v>
      </c>
      <c r="F13" s="60">
        <v>453302</v>
      </c>
      <c r="G13" s="60">
        <v>453302</v>
      </c>
      <c r="H13" s="8">
        <f t="shared" si="1"/>
        <v>453302</v>
      </c>
      <c r="I13">
        <v>0</v>
      </c>
      <c r="J13">
        <v>0</v>
      </c>
      <c r="K13" s="8">
        <f t="shared" si="2"/>
        <v>0</v>
      </c>
      <c r="L13" s="8">
        <f t="shared" si="3"/>
        <v>-453302</v>
      </c>
      <c r="M13">
        <v>0</v>
      </c>
      <c r="N13" s="5" t="s">
        <v>172</v>
      </c>
      <c r="O13" s="5" t="s">
        <v>10</v>
      </c>
    </row>
    <row r="14" spans="1:17" ht="14" x14ac:dyDescent="0.3">
      <c r="A14" s="19">
        <v>1115</v>
      </c>
      <c r="B14" s="5" t="s">
        <v>57</v>
      </c>
      <c r="C14">
        <v>0</v>
      </c>
      <c r="D14">
        <v>0</v>
      </c>
      <c r="E14" s="8">
        <f t="shared" si="0"/>
        <v>0</v>
      </c>
      <c r="F14" s="60">
        <v>313443</v>
      </c>
      <c r="G14" s="60">
        <v>313443</v>
      </c>
      <c r="H14" s="8">
        <f t="shared" si="1"/>
        <v>313443</v>
      </c>
      <c r="I14">
        <v>0</v>
      </c>
      <c r="J14">
        <v>0</v>
      </c>
      <c r="K14" s="8">
        <f t="shared" si="2"/>
        <v>0</v>
      </c>
      <c r="L14" s="8">
        <f t="shared" si="3"/>
        <v>-313443</v>
      </c>
      <c r="M14">
        <v>0</v>
      </c>
      <c r="N14" s="5" t="s">
        <v>172</v>
      </c>
      <c r="O14" s="5" t="s">
        <v>10</v>
      </c>
    </row>
    <row r="15" spans="1:17" ht="14" x14ac:dyDescent="0.3">
      <c r="A15" s="19">
        <v>1135</v>
      </c>
      <c r="B15" s="5" t="s">
        <v>58</v>
      </c>
      <c r="C15">
        <v>0</v>
      </c>
      <c r="D15">
        <v>0</v>
      </c>
      <c r="E15" s="8">
        <f t="shared" si="0"/>
        <v>0</v>
      </c>
      <c r="F15">
        <v>607</v>
      </c>
      <c r="G15">
        <v>607</v>
      </c>
      <c r="H15" s="8">
        <f t="shared" si="1"/>
        <v>607</v>
      </c>
      <c r="I15">
        <v>0</v>
      </c>
      <c r="J15">
        <v>0</v>
      </c>
      <c r="K15" s="8">
        <f t="shared" si="2"/>
        <v>0</v>
      </c>
      <c r="L15" s="8">
        <f t="shared" si="3"/>
        <v>-607</v>
      </c>
      <c r="M15">
        <v>0</v>
      </c>
      <c r="N15" s="5" t="s">
        <v>172</v>
      </c>
      <c r="O15" s="5" t="s">
        <v>10</v>
      </c>
    </row>
    <row r="16" spans="1:17" ht="14" x14ac:dyDescent="0.3">
      <c r="A16" s="19">
        <v>1139</v>
      </c>
      <c r="B16" s="5" t="s">
        <v>59</v>
      </c>
      <c r="C16">
        <v>0</v>
      </c>
      <c r="D16">
        <v>0</v>
      </c>
      <c r="E16" s="8">
        <f t="shared" si="0"/>
        <v>0</v>
      </c>
      <c r="F16" s="60">
        <v>-7327</v>
      </c>
      <c r="G16" s="60">
        <v>-7327</v>
      </c>
      <c r="H16" s="8">
        <f t="shared" si="1"/>
        <v>-7327</v>
      </c>
      <c r="I16">
        <v>0</v>
      </c>
      <c r="J16">
        <v>0</v>
      </c>
      <c r="K16" s="8">
        <f t="shared" si="2"/>
        <v>0</v>
      </c>
      <c r="L16" s="8">
        <f t="shared" si="3"/>
        <v>7327</v>
      </c>
      <c r="M16">
        <v>0</v>
      </c>
      <c r="N16" s="5" t="s">
        <v>172</v>
      </c>
      <c r="O16" s="5" t="s">
        <v>10</v>
      </c>
    </row>
    <row r="17" spans="1:17" ht="14" x14ac:dyDescent="0.3">
      <c r="A17" s="19">
        <v>1201</v>
      </c>
      <c r="B17" s="5" t="s">
        <v>60</v>
      </c>
      <c r="C17" s="60">
        <v>43567</v>
      </c>
      <c r="D17" s="60">
        <v>43567</v>
      </c>
      <c r="E17" s="8">
        <f t="shared" si="0"/>
        <v>43567</v>
      </c>
      <c r="F17">
        <v>0</v>
      </c>
      <c r="G17">
        <v>0</v>
      </c>
      <c r="H17" s="8">
        <f t="shared" si="1"/>
        <v>0</v>
      </c>
      <c r="I17">
        <v>0</v>
      </c>
      <c r="J17">
        <v>0</v>
      </c>
      <c r="K17" s="8">
        <f t="shared" si="2"/>
        <v>0</v>
      </c>
      <c r="L17" s="8">
        <f t="shared" si="3"/>
        <v>43567</v>
      </c>
      <c r="M17">
        <v>0</v>
      </c>
      <c r="N17" s="5" t="s">
        <v>172</v>
      </c>
      <c r="O17" s="5" t="s">
        <v>10</v>
      </c>
    </row>
    <row r="18" spans="1:17" ht="14" x14ac:dyDescent="0.3">
      <c r="A18" s="19">
        <v>1202</v>
      </c>
      <c r="B18" s="5" t="s">
        <v>61</v>
      </c>
      <c r="C18" s="60">
        <v>821494</v>
      </c>
      <c r="D18" s="60">
        <v>856959</v>
      </c>
      <c r="E18" s="8">
        <f t="shared" si="0"/>
        <v>839226.5</v>
      </c>
      <c r="F18" s="60">
        <v>219263</v>
      </c>
      <c r="G18" s="60">
        <v>266680</v>
      </c>
      <c r="H18" s="8">
        <f t="shared" si="1"/>
        <v>242971.5</v>
      </c>
      <c r="I18">
        <v>0</v>
      </c>
      <c r="J18">
        <v>0</v>
      </c>
      <c r="K18" s="8">
        <f t="shared" si="2"/>
        <v>0</v>
      </c>
      <c r="L18" s="8">
        <f t="shared" si="3"/>
        <v>596255</v>
      </c>
      <c r="M18" s="60">
        <v>47416</v>
      </c>
      <c r="N18" s="5" t="s">
        <v>172</v>
      </c>
      <c r="O18" s="5" t="s">
        <v>10</v>
      </c>
    </row>
    <row r="19" spans="1:17" ht="14" x14ac:dyDescent="0.3">
      <c r="A19" s="19">
        <v>1209</v>
      </c>
      <c r="B19" s="5" t="s">
        <v>62</v>
      </c>
      <c r="C19" s="60">
        <v>13669920</v>
      </c>
      <c r="D19" s="60">
        <v>13918259</v>
      </c>
      <c r="E19" s="8">
        <f t="shared" si="0"/>
        <v>13794089.5</v>
      </c>
      <c r="F19" s="60">
        <v>6638100</v>
      </c>
      <c r="G19" s="60">
        <v>7490575</v>
      </c>
      <c r="H19" s="8">
        <f t="shared" si="1"/>
        <v>7064337.5</v>
      </c>
      <c r="I19" s="60">
        <v>6920</v>
      </c>
      <c r="J19">
        <v>0</v>
      </c>
      <c r="K19" s="8">
        <f t="shared" si="2"/>
        <v>3460</v>
      </c>
      <c r="L19" s="8">
        <f t="shared" si="3"/>
        <v>6726292</v>
      </c>
      <c r="M19" s="60">
        <v>852475</v>
      </c>
      <c r="N19" s="5" t="s">
        <v>172</v>
      </c>
      <c r="O19" s="5" t="s">
        <v>10</v>
      </c>
    </row>
    <row r="20" spans="1:17" ht="14" x14ac:dyDescent="0.3">
      <c r="A20" s="19">
        <v>1215</v>
      </c>
      <c r="B20" s="5" t="s">
        <v>63</v>
      </c>
      <c r="C20" s="60">
        <v>320116</v>
      </c>
      <c r="D20" s="60">
        <v>328012</v>
      </c>
      <c r="E20" s="8">
        <f t="shared" si="0"/>
        <v>324064</v>
      </c>
      <c r="F20" s="60">
        <v>209447</v>
      </c>
      <c r="G20" s="60">
        <v>228404</v>
      </c>
      <c r="H20" s="8">
        <f t="shared" si="1"/>
        <v>218925.5</v>
      </c>
      <c r="I20">
        <v>0</v>
      </c>
      <c r="J20">
        <v>0</v>
      </c>
      <c r="K20" s="8">
        <f t="shared" si="2"/>
        <v>0</v>
      </c>
      <c r="L20" s="8">
        <f t="shared" si="3"/>
        <v>105138.5</v>
      </c>
      <c r="M20" s="60">
        <v>18958</v>
      </c>
      <c r="N20" s="5" t="s">
        <v>172</v>
      </c>
      <c r="O20" s="5" t="s">
        <v>10</v>
      </c>
    </row>
    <row r="21" spans="1:17" ht="14" x14ac:dyDescent="0.3">
      <c r="A21" s="19">
        <v>1301</v>
      </c>
      <c r="B21" s="5" t="s">
        <v>64</v>
      </c>
      <c r="C21" s="60">
        <v>20470</v>
      </c>
      <c r="D21" s="60">
        <v>20470</v>
      </c>
      <c r="E21" s="8">
        <f t="shared" si="0"/>
        <v>20470</v>
      </c>
      <c r="F21">
        <v>0</v>
      </c>
      <c r="G21">
        <v>0</v>
      </c>
      <c r="H21" s="8">
        <f t="shared" si="1"/>
        <v>0</v>
      </c>
      <c r="I21">
        <v>0</v>
      </c>
      <c r="J21">
        <v>0</v>
      </c>
      <c r="K21" s="8">
        <f t="shared" si="2"/>
        <v>0</v>
      </c>
      <c r="L21" s="8">
        <f t="shared" si="3"/>
        <v>20470</v>
      </c>
      <c r="M21">
        <v>0</v>
      </c>
      <c r="N21" s="5" t="s">
        <v>175</v>
      </c>
      <c r="O21" s="5" t="s">
        <v>200</v>
      </c>
    </row>
    <row r="22" spans="1:17" ht="14" x14ac:dyDescent="0.3">
      <c r="A22" s="19">
        <v>1315</v>
      </c>
      <c r="B22" s="5" t="s">
        <v>65</v>
      </c>
      <c r="C22" s="60">
        <v>201817</v>
      </c>
      <c r="D22" s="60">
        <v>201817</v>
      </c>
      <c r="E22" s="8">
        <f t="shared" si="0"/>
        <v>201817</v>
      </c>
      <c r="F22" s="60">
        <v>142914</v>
      </c>
      <c r="G22" s="60">
        <v>148121</v>
      </c>
      <c r="H22" s="8">
        <f t="shared" si="1"/>
        <v>145517.5</v>
      </c>
      <c r="I22">
        <v>0</v>
      </c>
      <c r="J22">
        <v>0</v>
      </c>
      <c r="K22" s="8">
        <f t="shared" si="2"/>
        <v>0</v>
      </c>
      <c r="L22" s="8">
        <f t="shared" si="3"/>
        <v>56299.5</v>
      </c>
      <c r="M22" s="60">
        <v>5207</v>
      </c>
      <c r="N22" s="5" t="s">
        <v>172</v>
      </c>
      <c r="O22" s="5" t="s">
        <v>10</v>
      </c>
    </row>
    <row r="23" spans="1:17" ht="14" x14ac:dyDescent="0.3">
      <c r="A23" s="19">
        <v>1355</v>
      </c>
      <c r="B23" s="5" t="s">
        <v>66</v>
      </c>
      <c r="C23">
        <v>0</v>
      </c>
      <c r="D23">
        <v>0</v>
      </c>
      <c r="E23" s="8">
        <f t="shared" si="0"/>
        <v>0</v>
      </c>
      <c r="F23">
        <v>0</v>
      </c>
      <c r="G23">
        <v>0</v>
      </c>
      <c r="H23" s="8">
        <f t="shared" si="1"/>
        <v>0</v>
      </c>
      <c r="I23">
        <v>0</v>
      </c>
      <c r="J23">
        <v>0</v>
      </c>
      <c r="K23" s="8">
        <f t="shared" si="2"/>
        <v>0</v>
      </c>
      <c r="L23" s="8">
        <f t="shared" si="3"/>
        <v>0</v>
      </c>
      <c r="M23">
        <v>0</v>
      </c>
      <c r="N23" s="5" t="s">
        <v>172</v>
      </c>
      <c r="O23" s="5" t="s">
        <v>10</v>
      </c>
    </row>
    <row r="24" spans="1:17" ht="14" x14ac:dyDescent="0.3">
      <c r="A24" s="19">
        <v>1379</v>
      </c>
      <c r="B24" s="5" t="s">
        <v>67</v>
      </c>
      <c r="C24" s="60">
        <v>1315401</v>
      </c>
      <c r="D24" s="60">
        <v>1397982</v>
      </c>
      <c r="E24" s="8">
        <f t="shared" si="0"/>
        <v>1356691.5</v>
      </c>
      <c r="F24" s="60">
        <v>155563</v>
      </c>
      <c r="G24" s="60">
        <v>199249</v>
      </c>
      <c r="H24" s="8">
        <f t="shared" si="1"/>
        <v>177406</v>
      </c>
      <c r="I24" s="60">
        <v>3361</v>
      </c>
      <c r="J24">
        <v>0</v>
      </c>
      <c r="K24" s="8">
        <f t="shared" si="2"/>
        <v>1680.5</v>
      </c>
      <c r="L24" s="8">
        <f t="shared" si="3"/>
        <v>1177605</v>
      </c>
      <c r="M24" s="60">
        <v>43685</v>
      </c>
      <c r="N24" s="5" t="s">
        <v>175</v>
      </c>
      <c r="O24" s="5" t="s">
        <v>200</v>
      </c>
    </row>
    <row r="25" spans="1:17" ht="14" x14ac:dyDescent="0.3">
      <c r="A25" s="19">
        <v>1740</v>
      </c>
      <c r="B25" s="5" t="s">
        <v>68</v>
      </c>
      <c r="C25" s="60">
        <v>4506</v>
      </c>
      <c r="D25" s="60">
        <v>4506</v>
      </c>
      <c r="E25" s="8">
        <f t="shared" si="0"/>
        <v>4506</v>
      </c>
      <c r="F25">
        <v>0</v>
      </c>
      <c r="G25">
        <v>0</v>
      </c>
      <c r="H25" s="8">
        <f t="shared" si="1"/>
        <v>0</v>
      </c>
      <c r="I25">
        <v>0</v>
      </c>
      <c r="J25">
        <v>0</v>
      </c>
      <c r="K25" s="8">
        <f t="shared" si="2"/>
        <v>0</v>
      </c>
      <c r="L25" s="8">
        <f t="shared" si="3"/>
        <v>4506</v>
      </c>
      <c r="M25">
        <v>0</v>
      </c>
      <c r="N25" s="5" t="s">
        <v>13</v>
      </c>
      <c r="O25" s="5" t="s">
        <v>13</v>
      </c>
    </row>
    <row r="26" spans="1:17" ht="14" x14ac:dyDescent="0.3">
      <c r="A26" s="19">
        <v>1741</v>
      </c>
      <c r="B26" s="5" t="s">
        <v>69</v>
      </c>
      <c r="C26" s="60">
        <v>4656554</v>
      </c>
      <c r="D26" s="60">
        <v>4992092</v>
      </c>
      <c r="E26" s="8">
        <f t="shared" si="0"/>
        <v>4824323</v>
      </c>
      <c r="F26" s="60">
        <v>520788</v>
      </c>
      <c r="G26" s="60">
        <v>590918</v>
      </c>
      <c r="H26" s="8">
        <f t="shared" si="1"/>
        <v>555853</v>
      </c>
      <c r="I26">
        <v>0</v>
      </c>
      <c r="J26">
        <v>29</v>
      </c>
      <c r="K26" s="8">
        <f t="shared" si="2"/>
        <v>14.5</v>
      </c>
      <c r="L26" s="8">
        <f t="shared" si="3"/>
        <v>4268455.5</v>
      </c>
      <c r="M26" s="60">
        <v>145694</v>
      </c>
      <c r="N26" s="5" t="s">
        <v>13</v>
      </c>
      <c r="O26" s="5" t="s">
        <v>13</v>
      </c>
      <c r="P26" s="5" t="s">
        <v>202</v>
      </c>
    </row>
    <row r="27" spans="1:17" ht="14" x14ac:dyDescent="0.3">
      <c r="A27" s="19">
        <v>1744</v>
      </c>
      <c r="B27" s="5" t="s">
        <v>70</v>
      </c>
      <c r="C27" s="60">
        <v>5467</v>
      </c>
      <c r="D27" s="60">
        <v>5467</v>
      </c>
      <c r="E27" s="8">
        <f t="shared" si="0"/>
        <v>5467</v>
      </c>
      <c r="F27">
        <v>0</v>
      </c>
      <c r="G27">
        <v>0</v>
      </c>
      <c r="H27" s="8">
        <f t="shared" si="1"/>
        <v>0</v>
      </c>
      <c r="I27">
        <v>0</v>
      </c>
      <c r="J27">
        <v>0</v>
      </c>
      <c r="K27" s="8">
        <f t="shared" si="2"/>
        <v>0</v>
      </c>
      <c r="L27" s="8">
        <f t="shared" si="3"/>
        <v>5467</v>
      </c>
      <c r="M27">
        <v>0</v>
      </c>
      <c r="N27" s="5" t="s">
        <v>13</v>
      </c>
      <c r="O27" s="5" t="s">
        <v>13</v>
      </c>
    </row>
    <row r="28" spans="1:17" ht="14" x14ac:dyDescent="0.3">
      <c r="A28" s="19">
        <v>1748</v>
      </c>
      <c r="B28" s="5" t="s">
        <v>71</v>
      </c>
      <c r="C28" s="60">
        <v>123519202</v>
      </c>
      <c r="D28" s="60">
        <v>131600441</v>
      </c>
      <c r="E28" s="8">
        <f t="shared" si="0"/>
        <v>127559821.5</v>
      </c>
      <c r="F28" s="60">
        <v>30918348</v>
      </c>
      <c r="G28" s="60">
        <v>28212959</v>
      </c>
      <c r="H28" s="8">
        <f t="shared" si="1"/>
        <v>29565653.5</v>
      </c>
      <c r="I28" s="60">
        <v>3710</v>
      </c>
      <c r="J28" s="60">
        <v>5649</v>
      </c>
      <c r="K28" s="8">
        <f t="shared" si="2"/>
        <v>4679.5</v>
      </c>
      <c r="L28" s="8">
        <f t="shared" si="3"/>
        <v>97989488.5</v>
      </c>
      <c r="M28" s="60">
        <v>4490008</v>
      </c>
      <c r="N28" s="5" t="s">
        <v>140</v>
      </c>
      <c r="O28" s="5" t="s">
        <v>198</v>
      </c>
      <c r="Q28" s="5" t="s">
        <v>236</v>
      </c>
    </row>
    <row r="29" spans="1:17" ht="14" x14ac:dyDescent="0.3">
      <c r="A29" s="19">
        <v>1749</v>
      </c>
      <c r="B29" s="5" t="s">
        <v>72</v>
      </c>
      <c r="C29" s="60">
        <v>89918960</v>
      </c>
      <c r="D29" s="60">
        <v>96177321</v>
      </c>
      <c r="E29" s="8">
        <f t="shared" si="0"/>
        <v>93048140.5</v>
      </c>
      <c r="F29" s="60">
        <v>24783782</v>
      </c>
      <c r="G29" s="60">
        <v>23692994</v>
      </c>
      <c r="H29" s="8">
        <f t="shared" si="1"/>
        <v>24238388</v>
      </c>
      <c r="I29">
        <v>0</v>
      </c>
      <c r="J29" s="60">
        <v>79912</v>
      </c>
      <c r="K29" s="8">
        <f t="shared" si="2"/>
        <v>39956</v>
      </c>
      <c r="L29" s="8">
        <f t="shared" si="3"/>
        <v>68769796.5</v>
      </c>
      <c r="M29" s="60">
        <v>3571514</v>
      </c>
      <c r="N29" s="5" t="s">
        <v>140</v>
      </c>
      <c r="O29" s="5" t="s">
        <v>198</v>
      </c>
      <c r="Q29" s="5" t="s">
        <v>236</v>
      </c>
    </row>
    <row r="30" spans="1:17" ht="14" x14ac:dyDescent="0.3">
      <c r="A30" s="19">
        <v>1750</v>
      </c>
      <c r="B30" s="5" t="s">
        <v>73</v>
      </c>
      <c r="C30" s="60">
        <v>10390479</v>
      </c>
      <c r="D30" s="60">
        <v>10421741</v>
      </c>
      <c r="E30" s="8">
        <f t="shared" si="0"/>
        <v>10406110</v>
      </c>
      <c r="F30" s="60">
        <v>3586796</v>
      </c>
      <c r="G30" s="60">
        <v>3943050</v>
      </c>
      <c r="H30" s="8">
        <f t="shared" si="1"/>
        <v>3764923</v>
      </c>
      <c r="I30">
        <v>0</v>
      </c>
      <c r="J30">
        <v>0</v>
      </c>
      <c r="K30" s="8">
        <f t="shared" si="2"/>
        <v>0</v>
      </c>
      <c r="L30" s="8">
        <f t="shared" si="3"/>
        <v>6641187</v>
      </c>
      <c r="M30" s="60">
        <v>366295</v>
      </c>
      <c r="N30" s="5" t="s">
        <v>140</v>
      </c>
      <c r="O30" s="5" t="s">
        <v>198</v>
      </c>
      <c r="Q30" s="5" t="s">
        <v>236</v>
      </c>
    </row>
    <row r="31" spans="1:17" ht="14" x14ac:dyDescent="0.3">
      <c r="A31" s="19">
        <v>1751</v>
      </c>
      <c r="B31" s="5" t="s">
        <v>74</v>
      </c>
      <c r="C31" s="60">
        <v>86872434</v>
      </c>
      <c r="D31" s="60">
        <v>98619381</v>
      </c>
      <c r="E31" s="8">
        <f t="shared" si="0"/>
        <v>92745907.5</v>
      </c>
      <c r="F31" s="60">
        <v>28631447</v>
      </c>
      <c r="G31" s="60">
        <v>31574914</v>
      </c>
      <c r="H31" s="8">
        <f t="shared" si="1"/>
        <v>30103180.5</v>
      </c>
      <c r="I31">
        <v>-15</v>
      </c>
      <c r="J31">
        <v>-15</v>
      </c>
      <c r="K31" s="8">
        <f t="shared" si="2"/>
        <v>-15</v>
      </c>
      <c r="L31" s="8">
        <f t="shared" si="3"/>
        <v>62642742</v>
      </c>
      <c r="M31" s="60">
        <v>3542894</v>
      </c>
      <c r="N31" s="5" t="s">
        <v>140</v>
      </c>
      <c r="O31" s="5" t="s">
        <v>15</v>
      </c>
      <c r="P31" s="5" t="s">
        <v>202</v>
      </c>
      <c r="Q31" s="5" t="s">
        <v>236</v>
      </c>
    </row>
    <row r="32" spans="1:17" ht="14" x14ac:dyDescent="0.3">
      <c r="A32" s="19">
        <v>1752</v>
      </c>
      <c r="B32" s="5" t="s">
        <v>75</v>
      </c>
      <c r="C32" s="60">
        <v>16386622</v>
      </c>
      <c r="D32" s="60">
        <v>17526383</v>
      </c>
      <c r="E32" s="8">
        <f t="shared" si="0"/>
        <v>16956502.5</v>
      </c>
      <c r="F32" s="60">
        <v>3530257</v>
      </c>
      <c r="G32" s="60">
        <v>4248041</v>
      </c>
      <c r="H32" s="8">
        <f t="shared" si="1"/>
        <v>3889149</v>
      </c>
      <c r="I32">
        <v>0</v>
      </c>
      <c r="J32">
        <v>0</v>
      </c>
      <c r="K32" s="8">
        <f t="shared" si="2"/>
        <v>0</v>
      </c>
      <c r="L32" s="8">
        <f t="shared" si="3"/>
        <v>13067353.5</v>
      </c>
      <c r="M32" s="60">
        <v>846129</v>
      </c>
      <c r="N32" s="5" t="s">
        <v>140</v>
      </c>
      <c r="O32" s="5" t="s">
        <v>15</v>
      </c>
      <c r="P32" s="5" t="s">
        <v>202</v>
      </c>
      <c r="Q32" s="5" t="s">
        <v>236</v>
      </c>
    </row>
    <row r="33" spans="1:17" ht="14" x14ac:dyDescent="0.3">
      <c r="A33" s="19">
        <v>1753</v>
      </c>
      <c r="B33" s="5" t="s">
        <v>76</v>
      </c>
      <c r="C33" s="60">
        <v>84609098</v>
      </c>
      <c r="D33" s="60">
        <v>90256037</v>
      </c>
      <c r="E33" s="8">
        <f t="shared" si="0"/>
        <v>87432567.5</v>
      </c>
      <c r="F33" s="60">
        <v>42493502</v>
      </c>
      <c r="G33" s="60">
        <v>45434807</v>
      </c>
      <c r="H33" s="8">
        <f t="shared" si="1"/>
        <v>43964154.5</v>
      </c>
      <c r="I33">
        <v>0</v>
      </c>
      <c r="J33">
        <v>0</v>
      </c>
      <c r="K33" s="8">
        <f t="shared" si="2"/>
        <v>0</v>
      </c>
      <c r="L33" s="8">
        <f t="shared" si="3"/>
        <v>43468413</v>
      </c>
      <c r="M33" s="60">
        <v>3103856</v>
      </c>
      <c r="N33" s="5" t="s">
        <v>140</v>
      </c>
      <c r="O33" s="5" t="s">
        <v>17</v>
      </c>
      <c r="Q33" s="5" t="s">
        <v>236</v>
      </c>
    </row>
    <row r="34" spans="1:17" ht="14" x14ac:dyDescent="0.3">
      <c r="A34" s="19">
        <v>1754</v>
      </c>
      <c r="B34" s="5" t="s">
        <v>77</v>
      </c>
      <c r="C34" s="60">
        <v>9629331</v>
      </c>
      <c r="D34" s="60">
        <v>10309297</v>
      </c>
      <c r="E34" s="8">
        <f t="shared" si="0"/>
        <v>9969314</v>
      </c>
      <c r="F34" s="60">
        <v>1739255</v>
      </c>
      <c r="G34" s="60">
        <v>1731069</v>
      </c>
      <c r="H34" s="8">
        <f t="shared" si="1"/>
        <v>1735162</v>
      </c>
      <c r="I34">
        <v>0</v>
      </c>
      <c r="J34">
        <v>0</v>
      </c>
      <c r="K34" s="8">
        <f t="shared" si="2"/>
        <v>0</v>
      </c>
      <c r="L34" s="8">
        <f t="shared" si="3"/>
        <v>8234152</v>
      </c>
      <c r="M34" s="60">
        <v>517407</v>
      </c>
      <c r="N34" s="5" t="s">
        <v>143</v>
      </c>
      <c r="O34" s="5" t="s">
        <v>597</v>
      </c>
      <c r="Q34" s="5" t="s">
        <v>236</v>
      </c>
    </row>
    <row r="35" spans="1:17" ht="14" x14ac:dyDescent="0.3">
      <c r="A35" s="19">
        <v>1755</v>
      </c>
      <c r="B35" s="5" t="s">
        <v>78</v>
      </c>
      <c r="C35" s="60">
        <v>4330951</v>
      </c>
      <c r="D35" s="60">
        <v>4573150</v>
      </c>
      <c r="E35" s="8">
        <f t="shared" si="0"/>
        <v>4452050.5</v>
      </c>
      <c r="F35" s="60">
        <v>1749132</v>
      </c>
      <c r="G35" s="60">
        <v>1848858</v>
      </c>
      <c r="H35" s="8">
        <f t="shared" si="1"/>
        <v>1798995</v>
      </c>
      <c r="I35">
        <v>0</v>
      </c>
      <c r="J35">
        <v>0</v>
      </c>
      <c r="K35" s="8">
        <f t="shared" si="2"/>
        <v>0</v>
      </c>
      <c r="L35" s="8">
        <f t="shared" si="3"/>
        <v>2653055.5</v>
      </c>
      <c r="M35" s="60">
        <v>99726</v>
      </c>
      <c r="N35" s="5" t="s">
        <v>140</v>
      </c>
      <c r="O35" s="5" t="s">
        <v>198</v>
      </c>
      <c r="Q35" s="5" t="s">
        <v>236</v>
      </c>
    </row>
    <row r="36" spans="1:17" ht="14" x14ac:dyDescent="0.3">
      <c r="A36" s="19">
        <v>1756</v>
      </c>
      <c r="B36" s="5" t="s">
        <v>79</v>
      </c>
      <c r="C36" s="60">
        <v>2144074</v>
      </c>
      <c r="D36" s="60">
        <v>2172205</v>
      </c>
      <c r="E36" s="8">
        <f t="shared" si="0"/>
        <v>2158139.5</v>
      </c>
      <c r="F36" s="60">
        <v>1282925</v>
      </c>
      <c r="G36" s="60">
        <v>1325225</v>
      </c>
      <c r="H36" s="8">
        <f t="shared" si="1"/>
        <v>1304075</v>
      </c>
      <c r="I36">
        <v>0</v>
      </c>
      <c r="J36">
        <v>0</v>
      </c>
      <c r="K36" s="8">
        <f t="shared" si="2"/>
        <v>0</v>
      </c>
      <c r="L36" s="8">
        <f t="shared" si="3"/>
        <v>854064.5</v>
      </c>
      <c r="M36" s="60">
        <v>42300</v>
      </c>
      <c r="N36" s="5" t="s">
        <v>140</v>
      </c>
      <c r="O36" s="5" t="s">
        <v>17</v>
      </c>
      <c r="Q36" s="5" t="s">
        <v>236</v>
      </c>
    </row>
    <row r="37" spans="1:17" ht="14" x14ac:dyDescent="0.3">
      <c r="A37" s="19">
        <v>1757</v>
      </c>
      <c r="B37" s="5" t="s">
        <v>80</v>
      </c>
      <c r="C37" s="60">
        <v>653789</v>
      </c>
      <c r="D37" s="60">
        <v>653789</v>
      </c>
      <c r="E37" s="8">
        <f t="shared" si="0"/>
        <v>653789</v>
      </c>
      <c r="F37" s="60">
        <v>705246</v>
      </c>
      <c r="G37" s="60">
        <v>716492</v>
      </c>
      <c r="H37" s="8">
        <f t="shared" si="1"/>
        <v>710869</v>
      </c>
      <c r="I37">
        <v>0</v>
      </c>
      <c r="J37">
        <v>0</v>
      </c>
      <c r="K37" s="8">
        <f t="shared" si="2"/>
        <v>0</v>
      </c>
      <c r="L37" s="8">
        <f t="shared" si="3"/>
        <v>-57080</v>
      </c>
      <c r="M37" s="60">
        <v>11245</v>
      </c>
      <c r="N37" s="5" t="s">
        <v>143</v>
      </c>
      <c r="O37" s="5" t="s">
        <v>597</v>
      </c>
      <c r="Q37" s="5" t="s">
        <v>236</v>
      </c>
    </row>
    <row r="38" spans="1:17" ht="14" x14ac:dyDescent="0.3">
      <c r="A38" s="19">
        <v>1758</v>
      </c>
      <c r="B38" s="5" t="s">
        <v>81</v>
      </c>
      <c r="C38" s="60">
        <v>16221658</v>
      </c>
      <c r="D38" s="60">
        <v>16511150</v>
      </c>
      <c r="E38" s="8">
        <f t="shared" si="0"/>
        <v>16366404</v>
      </c>
      <c r="F38" s="60">
        <v>6269278</v>
      </c>
      <c r="G38" s="60">
        <v>7275006</v>
      </c>
      <c r="H38" s="8">
        <f t="shared" si="1"/>
        <v>6772142</v>
      </c>
      <c r="I38">
        <v>0</v>
      </c>
      <c r="J38">
        <v>0</v>
      </c>
      <c r="K38" s="8">
        <f t="shared" si="2"/>
        <v>0</v>
      </c>
      <c r="L38" s="8">
        <f t="shared" si="3"/>
        <v>9594262</v>
      </c>
      <c r="M38" s="60">
        <v>1080183</v>
      </c>
      <c r="N38" s="5" t="s">
        <v>142</v>
      </c>
      <c r="O38" s="5" t="s">
        <v>18</v>
      </c>
      <c r="Q38" s="5" t="s">
        <v>236</v>
      </c>
    </row>
    <row r="39" spans="1:17" ht="14" x14ac:dyDescent="0.3">
      <c r="A39" s="19">
        <v>1759</v>
      </c>
      <c r="B39" s="5" t="s">
        <v>82</v>
      </c>
      <c r="C39" s="60">
        <v>1771718</v>
      </c>
      <c r="D39" s="60">
        <v>2050983</v>
      </c>
      <c r="E39" s="8">
        <f t="shared" si="0"/>
        <v>1911350.5</v>
      </c>
      <c r="F39" s="60">
        <v>-861611</v>
      </c>
      <c r="G39" s="60">
        <v>-754073</v>
      </c>
      <c r="H39" s="8">
        <f t="shared" si="1"/>
        <v>-807842</v>
      </c>
      <c r="I39">
        <v>0</v>
      </c>
      <c r="J39">
        <v>0</v>
      </c>
      <c r="K39" s="8">
        <f t="shared" si="2"/>
        <v>0</v>
      </c>
      <c r="L39" s="8">
        <f t="shared" si="3"/>
        <v>2719192.5</v>
      </c>
      <c r="M39" s="60">
        <v>143351</v>
      </c>
      <c r="N39" s="5" t="s">
        <v>142</v>
      </c>
      <c r="O39" s="5" t="s">
        <v>18</v>
      </c>
      <c r="Q39" s="5" t="s">
        <v>236</v>
      </c>
    </row>
    <row r="40" spans="1:17" ht="14" x14ac:dyDescent="0.3">
      <c r="A40" s="19">
        <v>1760</v>
      </c>
      <c r="B40" s="5" t="s">
        <v>83</v>
      </c>
      <c r="C40" s="60">
        <v>15158556</v>
      </c>
      <c r="D40" s="60">
        <v>15608246</v>
      </c>
      <c r="E40" s="8">
        <f t="shared" si="0"/>
        <v>15383401</v>
      </c>
      <c r="F40" s="60">
        <v>8781589</v>
      </c>
      <c r="G40" s="60">
        <v>9475380</v>
      </c>
      <c r="H40" s="8">
        <f t="shared" si="1"/>
        <v>9128484.5</v>
      </c>
      <c r="I40">
        <v>0</v>
      </c>
      <c r="J40">
        <v>0</v>
      </c>
      <c r="K40" s="8">
        <f t="shared" si="2"/>
        <v>0</v>
      </c>
      <c r="L40" s="8">
        <f t="shared" si="3"/>
        <v>6254916.5</v>
      </c>
      <c r="M40" s="60">
        <v>693791</v>
      </c>
      <c r="N40" s="5" t="s">
        <v>141</v>
      </c>
      <c r="O40" s="5" t="s">
        <v>201</v>
      </c>
    </row>
    <row r="41" spans="1:17" ht="14" x14ac:dyDescent="0.3">
      <c r="A41" s="19">
        <v>1761</v>
      </c>
      <c r="B41" s="5" t="s">
        <v>84</v>
      </c>
      <c r="C41" s="60">
        <v>10900</v>
      </c>
      <c r="D41" s="60">
        <v>10707</v>
      </c>
      <c r="E41" s="8">
        <f t="shared" si="0"/>
        <v>10803.5</v>
      </c>
      <c r="F41" s="60">
        <v>-339599</v>
      </c>
      <c r="G41" s="60">
        <v>-339097</v>
      </c>
      <c r="H41" s="8">
        <f t="shared" si="1"/>
        <v>-339348</v>
      </c>
      <c r="I41">
        <v>0</v>
      </c>
      <c r="J41">
        <v>0</v>
      </c>
      <c r="K41" s="8">
        <f t="shared" si="2"/>
        <v>0</v>
      </c>
      <c r="L41" s="8">
        <f t="shared" si="3"/>
        <v>350151.5</v>
      </c>
      <c r="M41">
        <v>739</v>
      </c>
      <c r="N41" s="5" t="s">
        <v>175</v>
      </c>
      <c r="O41" s="5" t="s">
        <v>207</v>
      </c>
    </row>
    <row r="42" spans="1:17" ht="14" x14ac:dyDescent="0.3">
      <c r="A42" s="19">
        <v>1762</v>
      </c>
      <c r="B42" s="5" t="s">
        <v>85</v>
      </c>
      <c r="C42" s="60">
        <v>1547472</v>
      </c>
      <c r="D42" s="60">
        <v>1769508</v>
      </c>
      <c r="E42" s="8">
        <f t="shared" si="0"/>
        <v>1658490</v>
      </c>
      <c r="F42" s="60">
        <v>681152</v>
      </c>
      <c r="G42" s="60">
        <v>767170</v>
      </c>
      <c r="H42" s="8">
        <f t="shared" si="1"/>
        <v>724161</v>
      </c>
      <c r="I42">
        <v>0</v>
      </c>
      <c r="J42">
        <v>0</v>
      </c>
      <c r="K42" s="8">
        <f t="shared" si="2"/>
        <v>0</v>
      </c>
      <c r="L42" s="8">
        <f t="shared" si="3"/>
        <v>934329</v>
      </c>
      <c r="M42" s="60">
        <v>113441</v>
      </c>
      <c r="N42" s="5" t="s">
        <v>175</v>
      </c>
      <c r="O42" s="5" t="s">
        <v>207</v>
      </c>
    </row>
    <row r="43" spans="1:17" ht="14" x14ac:dyDescent="0.3">
      <c r="A43" s="19">
        <v>1763</v>
      </c>
      <c r="B43" s="5" t="s">
        <v>86</v>
      </c>
      <c r="C43" s="60">
        <v>1969367</v>
      </c>
      <c r="D43" s="60">
        <v>1969367</v>
      </c>
      <c r="E43" s="8">
        <f t="shared" si="0"/>
        <v>1969367</v>
      </c>
      <c r="F43" s="60">
        <v>1757920</v>
      </c>
      <c r="G43" s="60">
        <v>1838664</v>
      </c>
      <c r="H43" s="8">
        <f t="shared" si="1"/>
        <v>1798292</v>
      </c>
      <c r="I43">
        <v>0</v>
      </c>
      <c r="J43">
        <v>0</v>
      </c>
      <c r="K43" s="8">
        <f t="shared" si="2"/>
        <v>0</v>
      </c>
      <c r="L43" s="8">
        <f t="shared" si="3"/>
        <v>171075</v>
      </c>
      <c r="M43" s="60">
        <v>80744</v>
      </c>
      <c r="N43" s="5" t="s">
        <v>141</v>
      </c>
      <c r="O43" s="5" t="s">
        <v>201</v>
      </c>
    </row>
    <row r="44" spans="1:17" ht="14" x14ac:dyDescent="0.3">
      <c r="A44" s="19">
        <v>1777</v>
      </c>
      <c r="B44" s="5" t="s">
        <v>87</v>
      </c>
      <c r="C44" s="60">
        <v>329731</v>
      </c>
      <c r="D44" s="60">
        <v>329731</v>
      </c>
      <c r="E44" s="8">
        <f t="shared" si="0"/>
        <v>329731</v>
      </c>
      <c r="F44">
        <v>0</v>
      </c>
      <c r="G44">
        <v>0</v>
      </c>
      <c r="H44" s="8">
        <f t="shared" si="1"/>
        <v>0</v>
      </c>
      <c r="I44">
        <v>0</v>
      </c>
      <c r="J44">
        <v>0</v>
      </c>
      <c r="K44" s="8">
        <f t="shared" si="2"/>
        <v>0</v>
      </c>
      <c r="L44" s="8">
        <f t="shared" si="3"/>
        <v>329731</v>
      </c>
      <c r="M44">
        <v>0</v>
      </c>
      <c r="N44" s="5" t="s">
        <v>175</v>
      </c>
      <c r="O44" s="5" t="s">
        <v>212</v>
      </c>
    </row>
    <row r="45" spans="1:17" ht="14" x14ac:dyDescent="0.3">
      <c r="A45" s="19">
        <v>1778</v>
      </c>
      <c r="B45" s="5" t="s">
        <v>88</v>
      </c>
      <c r="C45" s="60">
        <v>5705460</v>
      </c>
      <c r="D45" s="60">
        <v>6333560</v>
      </c>
      <c r="E45" s="8">
        <f t="shared" si="0"/>
        <v>6019510</v>
      </c>
      <c r="F45" s="60">
        <v>2673282</v>
      </c>
      <c r="G45" s="60">
        <v>2829538</v>
      </c>
      <c r="H45" s="8">
        <f t="shared" si="1"/>
        <v>2751410</v>
      </c>
      <c r="I45">
        <v>0</v>
      </c>
      <c r="J45" s="60">
        <v>107095</v>
      </c>
      <c r="K45" s="8">
        <f t="shared" si="2"/>
        <v>53547.5</v>
      </c>
      <c r="L45" s="8">
        <f t="shared" si="3"/>
        <v>3214552.5</v>
      </c>
      <c r="M45" s="60">
        <v>158098</v>
      </c>
      <c r="N45" s="5" t="s">
        <v>175</v>
      </c>
      <c r="O45" s="5" t="s">
        <v>212</v>
      </c>
    </row>
    <row r="46" spans="1:17" ht="14" x14ac:dyDescent="0.3">
      <c r="A46" s="19">
        <v>1779</v>
      </c>
      <c r="B46" s="5" t="s">
        <v>89</v>
      </c>
      <c r="C46" s="60">
        <v>7874759</v>
      </c>
      <c r="D46" s="60">
        <v>8185504</v>
      </c>
      <c r="E46" s="8">
        <f t="shared" si="0"/>
        <v>8030131.5</v>
      </c>
      <c r="F46" s="60">
        <v>1808157</v>
      </c>
      <c r="G46" s="60">
        <v>1988678</v>
      </c>
      <c r="H46" s="8">
        <f t="shared" si="1"/>
        <v>1898417.5</v>
      </c>
      <c r="I46">
        <v>0</v>
      </c>
      <c r="J46">
        <v>0</v>
      </c>
      <c r="K46" s="8">
        <f t="shared" si="2"/>
        <v>0</v>
      </c>
      <c r="L46" s="8">
        <f t="shared" si="3"/>
        <v>6131714</v>
      </c>
      <c r="M46" s="60">
        <v>264191</v>
      </c>
      <c r="N46" s="5" t="s">
        <v>175</v>
      </c>
      <c r="O46" s="5" t="s">
        <v>207</v>
      </c>
    </row>
    <row r="47" spans="1:17" ht="14" x14ac:dyDescent="0.3">
      <c r="A47" s="19">
        <v>1780</v>
      </c>
      <c r="B47" s="5" t="s">
        <v>90</v>
      </c>
      <c r="C47" s="60">
        <v>251267</v>
      </c>
      <c r="D47" s="60">
        <v>595913</v>
      </c>
      <c r="E47" s="8">
        <f t="shared" si="0"/>
        <v>423590</v>
      </c>
      <c r="F47" s="60">
        <v>50892</v>
      </c>
      <c r="G47" s="60">
        <v>111827</v>
      </c>
      <c r="H47" s="8">
        <f t="shared" si="1"/>
        <v>81359.5</v>
      </c>
      <c r="I47">
        <v>0</v>
      </c>
      <c r="J47" s="60">
        <v>2853</v>
      </c>
      <c r="K47" s="8">
        <f t="shared" si="2"/>
        <v>1426.5</v>
      </c>
      <c r="L47" s="8">
        <f t="shared" si="3"/>
        <v>340804</v>
      </c>
      <c r="M47" s="60">
        <v>65984</v>
      </c>
      <c r="N47" s="5" t="s">
        <v>175</v>
      </c>
      <c r="O47" s="5" t="s">
        <v>156</v>
      </c>
    </row>
    <row r="48" spans="1:17" ht="14" x14ac:dyDescent="0.3">
      <c r="A48" s="19">
        <v>1781</v>
      </c>
      <c r="B48" s="5" t="s">
        <v>91</v>
      </c>
      <c r="C48" s="60">
        <v>16441087</v>
      </c>
      <c r="D48" s="60">
        <v>17666575</v>
      </c>
      <c r="E48" s="8">
        <f t="shared" si="0"/>
        <v>17053831</v>
      </c>
      <c r="F48" s="60">
        <v>7510710</v>
      </c>
      <c r="G48" s="60">
        <v>8495841</v>
      </c>
      <c r="H48" s="8">
        <f t="shared" si="1"/>
        <v>8003275.5</v>
      </c>
      <c r="I48">
        <v>0</v>
      </c>
      <c r="J48">
        <v>0</v>
      </c>
      <c r="K48" s="8">
        <f t="shared" si="2"/>
        <v>0</v>
      </c>
      <c r="L48" s="8">
        <f t="shared" si="3"/>
        <v>9050555.5</v>
      </c>
      <c r="M48" s="60">
        <v>1175009</v>
      </c>
      <c r="N48" s="5" t="s">
        <v>175</v>
      </c>
      <c r="O48" s="5" t="s">
        <v>144</v>
      </c>
    </row>
    <row r="49" spans="1:16" ht="14" x14ac:dyDescent="0.3">
      <c r="A49" s="19">
        <v>1784</v>
      </c>
      <c r="B49" s="5" t="s">
        <v>92</v>
      </c>
      <c r="C49" s="60">
        <v>3029505</v>
      </c>
      <c r="D49" s="60">
        <v>3503008</v>
      </c>
      <c r="E49" s="8">
        <f t="shared" si="0"/>
        <v>3266256.5</v>
      </c>
      <c r="F49" s="60">
        <v>983582</v>
      </c>
      <c r="G49" s="60">
        <v>1455843</v>
      </c>
      <c r="H49" s="8">
        <f t="shared" si="1"/>
        <v>1219712.5</v>
      </c>
      <c r="I49" s="60">
        <v>594757</v>
      </c>
      <c r="J49" s="60">
        <v>61774</v>
      </c>
      <c r="K49" s="8">
        <f t="shared" si="2"/>
        <v>328265.5</v>
      </c>
      <c r="L49" s="8">
        <f t="shared" si="3"/>
        <v>1718278.5</v>
      </c>
      <c r="M49" s="60">
        <v>821784</v>
      </c>
      <c r="N49" s="5" t="s">
        <v>175</v>
      </c>
      <c r="O49" s="5" t="s">
        <v>156</v>
      </c>
    </row>
    <row r="50" spans="1:16" ht="14" x14ac:dyDescent="0.3">
      <c r="A50" s="19">
        <v>1785</v>
      </c>
      <c r="B50" s="5" t="s">
        <v>93</v>
      </c>
      <c r="C50" s="60">
        <v>7042279</v>
      </c>
      <c r="D50" s="60">
        <v>9754076</v>
      </c>
      <c r="E50" s="8">
        <f t="shared" si="0"/>
        <v>8398177.5</v>
      </c>
      <c r="F50" s="60">
        <v>1623181</v>
      </c>
      <c r="G50" s="60">
        <v>2063361</v>
      </c>
      <c r="H50" s="8">
        <f t="shared" si="1"/>
        <v>1843271</v>
      </c>
      <c r="I50" s="60">
        <v>95486</v>
      </c>
      <c r="J50" s="60">
        <v>1388760</v>
      </c>
      <c r="K50" s="8">
        <f t="shared" si="2"/>
        <v>742123</v>
      </c>
      <c r="L50" s="8">
        <f t="shared" si="3"/>
        <v>5812783.5</v>
      </c>
      <c r="M50" s="60">
        <v>805047</v>
      </c>
      <c r="N50" s="5" t="s">
        <v>175</v>
      </c>
      <c r="O50" s="5" t="s">
        <v>156</v>
      </c>
    </row>
    <row r="51" spans="1:16" ht="14" x14ac:dyDescent="0.3">
      <c r="A51" s="19">
        <v>1786</v>
      </c>
      <c r="B51" s="5" t="s">
        <v>94</v>
      </c>
      <c r="C51" s="6">
        <v>0</v>
      </c>
      <c r="D51" s="6">
        <v>0</v>
      </c>
      <c r="E51" s="8">
        <f t="shared" si="0"/>
        <v>0</v>
      </c>
      <c r="F51">
        <v>0</v>
      </c>
      <c r="G51">
        <v>0</v>
      </c>
      <c r="H51" s="8">
        <f t="shared" si="1"/>
        <v>0</v>
      </c>
      <c r="I51">
        <v>0</v>
      </c>
      <c r="J51">
        <v>0</v>
      </c>
      <c r="K51" s="8">
        <f t="shared" si="2"/>
        <v>0</v>
      </c>
      <c r="L51" s="8">
        <f t="shared" si="3"/>
        <v>0</v>
      </c>
      <c r="M51">
        <v>0</v>
      </c>
      <c r="N51" s="5" t="s">
        <v>175</v>
      </c>
      <c r="O51" s="5" t="s">
        <v>156</v>
      </c>
    </row>
    <row r="52" spans="1:16" ht="14" x14ac:dyDescent="0.3">
      <c r="A52" s="19">
        <v>1840</v>
      </c>
      <c r="B52" s="5" t="s">
        <v>95</v>
      </c>
      <c r="C52" s="60">
        <v>565767</v>
      </c>
      <c r="D52" s="60">
        <v>565767</v>
      </c>
      <c r="E52" s="8">
        <f t="shared" si="0"/>
        <v>565767</v>
      </c>
      <c r="F52">
        <v>0</v>
      </c>
      <c r="G52">
        <v>0</v>
      </c>
      <c r="H52" s="8">
        <f t="shared" si="1"/>
        <v>0</v>
      </c>
      <c r="I52" s="60">
        <v>26675</v>
      </c>
      <c r="J52">
        <v>0</v>
      </c>
      <c r="K52" s="8">
        <f t="shared" si="2"/>
        <v>13337.5</v>
      </c>
      <c r="L52" s="8">
        <f t="shared" si="3"/>
        <v>552429.5</v>
      </c>
      <c r="M52">
        <v>0</v>
      </c>
      <c r="N52" s="5" t="s">
        <v>13</v>
      </c>
      <c r="O52" s="5" t="s">
        <v>12</v>
      </c>
    </row>
    <row r="53" spans="1:16" ht="14" x14ac:dyDescent="0.3">
      <c r="A53" s="19">
        <v>1841</v>
      </c>
      <c r="B53" s="5" t="s">
        <v>96</v>
      </c>
      <c r="C53" s="60">
        <v>79868556</v>
      </c>
      <c r="D53" s="60">
        <v>90919995</v>
      </c>
      <c r="E53" s="8">
        <f t="shared" si="0"/>
        <v>85394275.5</v>
      </c>
      <c r="F53" s="60">
        <v>22198941</v>
      </c>
      <c r="G53" s="60">
        <v>23366911</v>
      </c>
      <c r="H53" s="8">
        <f t="shared" si="1"/>
        <v>22782926</v>
      </c>
      <c r="I53" s="60">
        <v>5098303</v>
      </c>
      <c r="J53" s="60">
        <v>8059728</v>
      </c>
      <c r="K53" s="8">
        <f t="shared" si="2"/>
        <v>6579015.5</v>
      </c>
      <c r="L53" s="8">
        <f t="shared" si="3"/>
        <v>56032334</v>
      </c>
      <c r="M53" s="60">
        <v>1529675</v>
      </c>
      <c r="N53" s="5" t="s">
        <v>13</v>
      </c>
      <c r="O53" s="5" t="s">
        <v>628</v>
      </c>
      <c r="P53" s="5" t="s">
        <v>202</v>
      </c>
    </row>
    <row r="54" spans="1:16" ht="14" x14ac:dyDescent="0.3">
      <c r="A54" s="19">
        <v>1842</v>
      </c>
      <c r="B54" s="5" t="s">
        <v>726</v>
      </c>
      <c r="C54" s="60">
        <v>73263</v>
      </c>
      <c r="D54" s="60">
        <v>73263</v>
      </c>
      <c r="E54" s="8">
        <f t="shared" si="0"/>
        <v>73263</v>
      </c>
      <c r="F54" s="60">
        <v>21083</v>
      </c>
      <c r="G54" s="60">
        <v>22460</v>
      </c>
      <c r="H54" s="8">
        <f t="shared" si="1"/>
        <v>21771.5</v>
      </c>
      <c r="I54" s="60">
        <v>73263</v>
      </c>
      <c r="J54">
        <v>0</v>
      </c>
      <c r="K54" s="8">
        <f t="shared" si="2"/>
        <v>36631.5</v>
      </c>
      <c r="L54" s="8">
        <f t="shared" si="3"/>
        <v>14860</v>
      </c>
      <c r="M54" s="60">
        <v>1377</v>
      </c>
      <c r="N54" s="5" t="s">
        <v>140</v>
      </c>
      <c r="O54" s="5" t="s">
        <v>12</v>
      </c>
    </row>
    <row r="55" spans="1:16" ht="14" x14ac:dyDescent="0.3">
      <c r="A55" s="19">
        <v>1844</v>
      </c>
      <c r="B55" s="5" t="s">
        <v>97</v>
      </c>
      <c r="C55" s="60">
        <v>432597</v>
      </c>
      <c r="D55" s="60">
        <v>432597</v>
      </c>
      <c r="E55" s="8">
        <f t="shared" si="0"/>
        <v>432597</v>
      </c>
      <c r="F55">
        <v>0</v>
      </c>
      <c r="G55">
        <v>0</v>
      </c>
      <c r="H55" s="8">
        <f t="shared" si="1"/>
        <v>0</v>
      </c>
      <c r="I55">
        <v>0</v>
      </c>
      <c r="J55">
        <v>0</v>
      </c>
      <c r="K55" s="8">
        <f t="shared" si="2"/>
        <v>0</v>
      </c>
      <c r="L55" s="8">
        <f t="shared" si="3"/>
        <v>432597</v>
      </c>
      <c r="M55">
        <v>0</v>
      </c>
      <c r="N55" s="5" t="s">
        <v>13</v>
      </c>
      <c r="O55" s="5" t="s">
        <v>12</v>
      </c>
    </row>
    <row r="56" spans="1:16" ht="14" x14ac:dyDescent="0.3">
      <c r="A56" s="19">
        <v>1846</v>
      </c>
      <c r="B56" s="5" t="s">
        <v>98</v>
      </c>
      <c r="C56">
        <v>0</v>
      </c>
      <c r="D56">
        <v>0</v>
      </c>
      <c r="E56" s="8">
        <f t="shared" si="0"/>
        <v>0</v>
      </c>
      <c r="F56">
        <v>0</v>
      </c>
      <c r="G56">
        <v>0</v>
      </c>
      <c r="H56" s="8">
        <f t="shared" si="1"/>
        <v>0</v>
      </c>
      <c r="I56" s="60">
        <v>-73263</v>
      </c>
      <c r="J56">
        <v>0</v>
      </c>
      <c r="K56" s="8">
        <f t="shared" si="2"/>
        <v>-36631.5</v>
      </c>
      <c r="L56" s="8">
        <f t="shared" si="3"/>
        <v>36631.5</v>
      </c>
      <c r="M56">
        <v>0</v>
      </c>
      <c r="N56" s="5" t="s">
        <v>140</v>
      </c>
      <c r="O56" s="5" t="s">
        <v>12</v>
      </c>
    </row>
    <row r="57" spans="1:16" ht="14" x14ac:dyDescent="0.3">
      <c r="A57" s="19">
        <v>1847</v>
      </c>
      <c r="B57" s="5" t="s">
        <v>99</v>
      </c>
      <c r="C57" s="60">
        <v>878834</v>
      </c>
      <c r="D57" s="60">
        <v>878834</v>
      </c>
      <c r="E57" s="8">
        <f t="shared" si="0"/>
        <v>878834</v>
      </c>
      <c r="F57" s="60">
        <v>804953</v>
      </c>
      <c r="G57" s="60">
        <v>822705</v>
      </c>
      <c r="H57" s="8">
        <f t="shared" si="1"/>
        <v>813829</v>
      </c>
      <c r="I57">
        <v>0</v>
      </c>
      <c r="J57">
        <v>0</v>
      </c>
      <c r="K57" s="8">
        <f t="shared" si="2"/>
        <v>0</v>
      </c>
      <c r="L57" s="8">
        <f t="shared" si="3"/>
        <v>65005</v>
      </c>
      <c r="M57" s="60">
        <v>17752</v>
      </c>
      <c r="N57" s="5" t="s">
        <v>140</v>
      </c>
      <c r="O57" s="5" t="s">
        <v>12</v>
      </c>
    </row>
    <row r="58" spans="1:16" ht="14" x14ac:dyDescent="0.3">
      <c r="A58" s="19">
        <v>1848</v>
      </c>
      <c r="B58" s="5" t="s">
        <v>100</v>
      </c>
      <c r="C58" s="60">
        <v>56539317</v>
      </c>
      <c r="D58" s="60">
        <v>57559514</v>
      </c>
      <c r="E58" s="8">
        <f t="shared" si="0"/>
        <v>57049415.5</v>
      </c>
      <c r="F58" s="60">
        <v>18796366</v>
      </c>
      <c r="G58" s="60">
        <v>18374166</v>
      </c>
      <c r="H58" s="8">
        <f t="shared" si="1"/>
        <v>18585266</v>
      </c>
      <c r="I58">
        <v>0</v>
      </c>
      <c r="J58" s="60">
        <v>7204</v>
      </c>
      <c r="K58" s="8">
        <f t="shared" si="2"/>
        <v>3602</v>
      </c>
      <c r="L58" s="8">
        <f t="shared" si="3"/>
        <v>38460547.5</v>
      </c>
      <c r="M58" s="60">
        <v>1796943</v>
      </c>
      <c r="N58" s="5" t="s">
        <v>140</v>
      </c>
      <c r="O58" s="5" t="s">
        <v>12</v>
      </c>
    </row>
    <row r="59" spans="1:16" ht="14" x14ac:dyDescent="0.3">
      <c r="A59" s="19">
        <v>1849</v>
      </c>
      <c r="B59" s="5" t="s">
        <v>101</v>
      </c>
      <c r="C59" s="60">
        <v>26618980</v>
      </c>
      <c r="D59" s="60">
        <v>27097002</v>
      </c>
      <c r="E59" s="8">
        <f t="shared" si="0"/>
        <v>26857991</v>
      </c>
      <c r="F59" s="60">
        <v>8575976</v>
      </c>
      <c r="G59" s="60">
        <v>9365508</v>
      </c>
      <c r="H59" s="8">
        <f t="shared" si="1"/>
        <v>8970742</v>
      </c>
      <c r="I59">
        <v>0</v>
      </c>
      <c r="J59" s="60">
        <v>26500</v>
      </c>
      <c r="K59" s="8">
        <f t="shared" si="2"/>
        <v>13250</v>
      </c>
      <c r="L59" s="8">
        <f t="shared" si="3"/>
        <v>17873999</v>
      </c>
      <c r="M59" s="60">
        <v>1044260</v>
      </c>
      <c r="N59" s="5" t="s">
        <v>140</v>
      </c>
      <c r="O59" s="5" t="s">
        <v>12</v>
      </c>
    </row>
    <row r="60" spans="1:16" ht="14" x14ac:dyDescent="0.3">
      <c r="A60" s="19">
        <v>1850</v>
      </c>
      <c r="B60" s="5" t="s">
        <v>102</v>
      </c>
      <c r="C60" s="60">
        <v>2721233</v>
      </c>
      <c r="D60" s="60">
        <v>2827225</v>
      </c>
      <c r="E60" s="8">
        <f t="shared" si="0"/>
        <v>2774229</v>
      </c>
      <c r="F60" s="60">
        <v>944451</v>
      </c>
      <c r="G60" s="60">
        <v>1027723</v>
      </c>
      <c r="H60" s="8">
        <f t="shared" si="1"/>
        <v>986087</v>
      </c>
      <c r="I60">
        <v>0</v>
      </c>
      <c r="J60">
        <v>0</v>
      </c>
      <c r="K60" s="8">
        <f t="shared" si="2"/>
        <v>0</v>
      </c>
      <c r="L60" s="8">
        <f t="shared" si="3"/>
        <v>1788142</v>
      </c>
      <c r="M60" s="60">
        <v>87388</v>
      </c>
      <c r="N60" s="5" t="s">
        <v>140</v>
      </c>
      <c r="O60" s="5" t="s">
        <v>12</v>
      </c>
    </row>
    <row r="61" spans="1:16" ht="14" x14ac:dyDescent="0.3">
      <c r="A61" s="19">
        <v>1855</v>
      </c>
      <c r="B61" s="5" t="s">
        <v>103</v>
      </c>
      <c r="C61">
        <v>0</v>
      </c>
      <c r="D61">
        <v>0</v>
      </c>
      <c r="E61" s="8">
        <f t="shared" si="0"/>
        <v>0</v>
      </c>
      <c r="F61">
        <v>0</v>
      </c>
      <c r="G61">
        <v>0</v>
      </c>
      <c r="H61" s="8">
        <f t="shared" si="1"/>
        <v>0</v>
      </c>
      <c r="I61">
        <v>0</v>
      </c>
      <c r="J61">
        <v>0</v>
      </c>
      <c r="K61" s="8">
        <f t="shared" si="2"/>
        <v>0</v>
      </c>
      <c r="L61" s="8">
        <f t="shared" si="3"/>
        <v>0</v>
      </c>
      <c r="M61">
        <v>0</v>
      </c>
      <c r="N61" s="5" t="s">
        <v>140</v>
      </c>
      <c r="O61" s="5" t="s">
        <v>12</v>
      </c>
    </row>
    <row r="62" spans="1:16" ht="14" x14ac:dyDescent="0.3">
      <c r="A62" s="19">
        <v>1877</v>
      </c>
      <c r="B62" s="5" t="s">
        <v>104</v>
      </c>
      <c r="C62" s="60">
        <v>165586</v>
      </c>
      <c r="D62" s="60">
        <v>165586</v>
      </c>
      <c r="E62" s="8">
        <f t="shared" si="0"/>
        <v>165586</v>
      </c>
      <c r="F62">
        <v>0</v>
      </c>
      <c r="G62">
        <v>0</v>
      </c>
      <c r="H62" s="8">
        <f t="shared" si="1"/>
        <v>0</v>
      </c>
      <c r="I62">
        <v>0</v>
      </c>
      <c r="J62">
        <v>0</v>
      </c>
      <c r="K62" s="8">
        <f t="shared" si="2"/>
        <v>0</v>
      </c>
      <c r="L62" s="8">
        <f t="shared" si="3"/>
        <v>165586</v>
      </c>
      <c r="M62">
        <v>0</v>
      </c>
      <c r="N62" s="5" t="s">
        <v>140</v>
      </c>
      <c r="O62" s="5" t="s">
        <v>12</v>
      </c>
    </row>
    <row r="63" spans="1:16" x14ac:dyDescent="0.3">
      <c r="A63" s="5" t="s">
        <v>126</v>
      </c>
      <c r="C63" s="16">
        <f>SUBTOTAL(9,C$6:C62)</f>
        <v>734385478</v>
      </c>
      <c r="D63" s="16">
        <f>SUBTOTAL(9,D$6:D62)</f>
        <v>794741701</v>
      </c>
      <c r="E63" s="16">
        <f>SUBTOTAL(9,E$6:E62)</f>
        <v>764563589.5</v>
      </c>
      <c r="F63" s="16">
        <f>SUBTOTAL(9,F$6:F62)</f>
        <v>247647610</v>
      </c>
      <c r="G63" s="16">
        <f>SUBTOTAL(9,G$6:G62)</f>
        <v>257276252</v>
      </c>
      <c r="H63" s="16">
        <f>SUBTOTAL(9,H$6:H62)</f>
        <v>252461931</v>
      </c>
      <c r="I63" s="16">
        <f>SUBTOTAL(9,I$6:I62)</f>
        <v>6471688</v>
      </c>
      <c r="J63" s="16">
        <f>SUBTOTAL(9,J$6:J62)</f>
        <v>9739489</v>
      </c>
      <c r="K63" s="16">
        <f>SUBTOTAL(9,K$6:K62)</f>
        <v>8105588.5</v>
      </c>
      <c r="L63" s="16">
        <f>SUBTOTAL(9,L$6:L62)</f>
        <v>503996070</v>
      </c>
      <c r="M63" s="16">
        <f>SUBTOTAL(9,M$6:M62)</f>
        <v>28670162</v>
      </c>
    </row>
    <row r="64" spans="1:16" ht="14" x14ac:dyDescent="0.3">
      <c r="A64" s="5" t="s">
        <v>107</v>
      </c>
      <c r="B64" s="5" t="s">
        <v>108</v>
      </c>
      <c r="C64" s="60">
        <v>5383637</v>
      </c>
      <c r="D64" s="60">
        <v>8968492</v>
      </c>
      <c r="E64" s="8">
        <f t="shared" si="0"/>
        <v>7176064.5</v>
      </c>
      <c r="F64" s="6">
        <v>0</v>
      </c>
      <c r="G64" s="6">
        <v>0</v>
      </c>
      <c r="H64" s="8">
        <f t="shared" ref="H64:H71" si="4">AVERAGE(F64:G64)</f>
        <v>0</v>
      </c>
      <c r="I64" s="6">
        <v>0</v>
      </c>
      <c r="J64" s="6">
        <v>0</v>
      </c>
      <c r="K64" s="8">
        <f t="shared" ref="K64:K71" si="5">AVERAGE(I64:J64)</f>
        <v>0</v>
      </c>
      <c r="L64" s="8">
        <f t="shared" si="3"/>
        <v>7176064.5</v>
      </c>
      <c r="M64" s="6">
        <v>0</v>
      </c>
      <c r="N64" s="5" t="s">
        <v>140</v>
      </c>
      <c r="O64" s="5" t="s">
        <v>207</v>
      </c>
    </row>
    <row r="65" spans="1:15" x14ac:dyDescent="0.3">
      <c r="A65" s="5" t="s">
        <v>109</v>
      </c>
      <c r="B65" s="5" t="s">
        <v>110</v>
      </c>
      <c r="C65" s="6">
        <v>0</v>
      </c>
      <c r="D65" s="6">
        <v>0</v>
      </c>
      <c r="E65" s="8">
        <f t="shared" si="0"/>
        <v>0</v>
      </c>
      <c r="F65" s="6">
        <v>0</v>
      </c>
      <c r="G65" s="6">
        <v>0</v>
      </c>
      <c r="H65" s="8">
        <f t="shared" si="4"/>
        <v>0</v>
      </c>
      <c r="I65" s="6">
        <v>0</v>
      </c>
      <c r="J65" s="6">
        <v>0</v>
      </c>
      <c r="K65" s="8">
        <f t="shared" si="5"/>
        <v>0</v>
      </c>
      <c r="L65" s="8">
        <f t="shared" si="3"/>
        <v>0</v>
      </c>
      <c r="M65" s="6">
        <v>0</v>
      </c>
      <c r="N65" s="5" t="s">
        <v>140</v>
      </c>
      <c r="O65" s="5" t="s">
        <v>207</v>
      </c>
    </row>
    <row r="66" spans="1:15" x14ac:dyDescent="0.3">
      <c r="A66" s="5" t="s">
        <v>111</v>
      </c>
      <c r="B66" s="5" t="s">
        <v>112</v>
      </c>
      <c r="C66" s="6">
        <v>0</v>
      </c>
      <c r="D66" s="6">
        <v>0</v>
      </c>
      <c r="E66" s="8">
        <f t="shared" si="0"/>
        <v>0</v>
      </c>
      <c r="F66" s="6">
        <v>0</v>
      </c>
      <c r="G66" s="6">
        <v>0</v>
      </c>
      <c r="H66" s="8">
        <f t="shared" si="4"/>
        <v>0</v>
      </c>
      <c r="I66" s="6">
        <v>0</v>
      </c>
      <c r="J66" s="6">
        <v>0</v>
      </c>
      <c r="K66" s="8">
        <f t="shared" si="5"/>
        <v>0</v>
      </c>
      <c r="L66" s="8">
        <f t="shared" si="3"/>
        <v>0</v>
      </c>
      <c r="M66" s="6">
        <v>0</v>
      </c>
      <c r="N66" s="5" t="s">
        <v>140</v>
      </c>
      <c r="O66" s="5" t="s">
        <v>207</v>
      </c>
    </row>
    <row r="67" spans="1:15" x14ac:dyDescent="0.3">
      <c r="A67" s="5" t="s">
        <v>113</v>
      </c>
      <c r="B67" s="5" t="s">
        <v>114</v>
      </c>
      <c r="C67" s="6">
        <v>0</v>
      </c>
      <c r="D67" s="6">
        <v>0</v>
      </c>
      <c r="E67" s="8">
        <f t="shared" si="0"/>
        <v>0</v>
      </c>
      <c r="F67" s="6">
        <v>0</v>
      </c>
      <c r="G67" s="6">
        <v>0</v>
      </c>
      <c r="H67" s="8">
        <f t="shared" si="4"/>
        <v>0</v>
      </c>
      <c r="I67" s="6">
        <v>0</v>
      </c>
      <c r="J67" s="6">
        <v>0</v>
      </c>
      <c r="K67" s="8">
        <f t="shared" si="5"/>
        <v>0</v>
      </c>
      <c r="L67" s="8">
        <f t="shared" si="3"/>
        <v>0</v>
      </c>
      <c r="M67" s="6">
        <v>0</v>
      </c>
      <c r="N67" s="5" t="s">
        <v>140</v>
      </c>
      <c r="O67" s="5" t="s">
        <v>207</v>
      </c>
    </row>
    <row r="68" spans="1:15" x14ac:dyDescent="0.3">
      <c r="A68" s="5" t="s">
        <v>115</v>
      </c>
      <c r="B68" s="5" t="s">
        <v>116</v>
      </c>
      <c r="C68" s="6">
        <v>0</v>
      </c>
      <c r="D68" s="6">
        <v>0</v>
      </c>
      <c r="E68" s="8">
        <f t="shared" si="0"/>
        <v>0</v>
      </c>
      <c r="F68" s="6">
        <v>0</v>
      </c>
      <c r="G68" s="6">
        <v>0</v>
      </c>
      <c r="H68" s="8">
        <f t="shared" si="4"/>
        <v>0</v>
      </c>
      <c r="I68" s="6">
        <v>0</v>
      </c>
      <c r="J68" s="6">
        <v>0</v>
      </c>
      <c r="K68" s="8">
        <f t="shared" si="5"/>
        <v>0</v>
      </c>
      <c r="L68" s="8">
        <f t="shared" si="3"/>
        <v>0</v>
      </c>
      <c r="M68" s="6">
        <v>0</v>
      </c>
      <c r="N68" s="5" t="s">
        <v>140</v>
      </c>
      <c r="O68" s="5" t="s">
        <v>207</v>
      </c>
    </row>
    <row r="69" spans="1:15" x14ac:dyDescent="0.3">
      <c r="A69" s="5" t="s">
        <v>117</v>
      </c>
      <c r="B69" s="5" t="s">
        <v>118</v>
      </c>
      <c r="C69" s="6">
        <v>3.637978807091713E-12</v>
      </c>
      <c r="D69" s="6">
        <v>0</v>
      </c>
      <c r="E69" s="8">
        <f t="shared" si="0"/>
        <v>1.8189894035458565E-12</v>
      </c>
      <c r="F69" s="6">
        <v>0</v>
      </c>
      <c r="G69" s="6">
        <v>0</v>
      </c>
      <c r="H69" s="8">
        <f t="shared" si="4"/>
        <v>0</v>
      </c>
      <c r="I69" s="6">
        <v>0</v>
      </c>
      <c r="J69" s="6">
        <v>0</v>
      </c>
      <c r="K69" s="8">
        <f t="shared" si="5"/>
        <v>0</v>
      </c>
      <c r="L69" s="8">
        <f t="shared" si="3"/>
        <v>1.8189894035458565E-12</v>
      </c>
      <c r="M69" s="6">
        <v>0</v>
      </c>
      <c r="N69" s="5" t="s">
        <v>140</v>
      </c>
      <c r="O69" s="5" t="s">
        <v>207</v>
      </c>
    </row>
    <row r="70" spans="1:15" x14ac:dyDescent="0.3">
      <c r="A70" s="5" t="s">
        <v>119</v>
      </c>
      <c r="B70" s="5" t="s">
        <v>120</v>
      </c>
      <c r="C70" s="6">
        <v>4.5474735088646412E-12</v>
      </c>
      <c r="D70" s="6">
        <v>0</v>
      </c>
      <c r="E70" s="8">
        <f t="shared" si="0"/>
        <v>2.2737367544323206E-12</v>
      </c>
      <c r="F70" s="6">
        <v>0</v>
      </c>
      <c r="G70" s="6">
        <v>0</v>
      </c>
      <c r="H70" s="8">
        <f t="shared" si="4"/>
        <v>0</v>
      </c>
      <c r="I70" s="6">
        <v>0</v>
      </c>
      <c r="J70" s="6">
        <v>0</v>
      </c>
      <c r="K70" s="8">
        <f t="shared" si="5"/>
        <v>0</v>
      </c>
      <c r="L70" s="8">
        <f t="shared" si="3"/>
        <v>2.2737367544323206E-12</v>
      </c>
      <c r="M70" s="6">
        <v>0</v>
      </c>
      <c r="N70" s="5" t="s">
        <v>140</v>
      </c>
      <c r="O70" s="5" t="s">
        <v>207</v>
      </c>
    </row>
    <row r="71" spans="1:15" x14ac:dyDescent="0.3">
      <c r="A71" s="5" t="s">
        <v>121</v>
      </c>
      <c r="B71" s="5" t="s">
        <v>122</v>
      </c>
      <c r="C71" s="6">
        <v>0.27</v>
      </c>
      <c r="D71" s="6">
        <v>0.27</v>
      </c>
      <c r="E71" s="8">
        <f t="shared" si="0"/>
        <v>0.27</v>
      </c>
      <c r="F71" s="6">
        <v>0</v>
      </c>
      <c r="G71" s="6">
        <v>0</v>
      </c>
      <c r="H71" s="8">
        <f t="shared" si="4"/>
        <v>0</v>
      </c>
      <c r="I71" s="6">
        <v>0</v>
      </c>
      <c r="J71" s="6">
        <v>0</v>
      </c>
      <c r="K71" s="8">
        <f t="shared" si="5"/>
        <v>0</v>
      </c>
      <c r="L71" s="8">
        <f t="shared" si="3"/>
        <v>0.27</v>
      </c>
      <c r="M71" s="6">
        <v>0</v>
      </c>
      <c r="N71" s="5" t="s">
        <v>140</v>
      </c>
      <c r="O71" s="5" t="s">
        <v>207</v>
      </c>
    </row>
    <row r="72" spans="1:15" x14ac:dyDescent="0.3">
      <c r="A72" s="5" t="s">
        <v>127</v>
      </c>
      <c r="C72" s="5">
        <f>SUBTOTAL(9, C64:C71)</f>
        <v>5383637.2699999996</v>
      </c>
      <c r="D72" s="5">
        <f>SUBTOTAL(9, D64:D71)</f>
        <v>8968492.2699999996</v>
      </c>
      <c r="E72" s="5">
        <f t="shared" ref="E72:M72" si="6">SUBTOTAL(9,E64:E71)</f>
        <v>7176064.7699999996</v>
      </c>
      <c r="F72" s="5">
        <f t="shared" si="6"/>
        <v>0</v>
      </c>
      <c r="G72" s="5">
        <f t="shared" si="6"/>
        <v>0</v>
      </c>
      <c r="H72" s="5">
        <f t="shared" si="6"/>
        <v>0</v>
      </c>
      <c r="I72" s="5">
        <f t="shared" si="6"/>
        <v>0</v>
      </c>
      <c r="J72" s="5">
        <f t="shared" si="6"/>
        <v>0</v>
      </c>
      <c r="K72" s="5">
        <f t="shared" si="6"/>
        <v>0</v>
      </c>
      <c r="L72" s="5">
        <f t="shared" si="6"/>
        <v>7176064.7699999996</v>
      </c>
      <c r="M72" s="5">
        <f t="shared" si="6"/>
        <v>0</v>
      </c>
    </row>
    <row r="73" spans="1:15" x14ac:dyDescent="0.3">
      <c r="A73" s="5" t="s">
        <v>130</v>
      </c>
      <c r="C73" s="6">
        <v>0</v>
      </c>
      <c r="D73" s="6">
        <v>0</v>
      </c>
      <c r="E73" s="8">
        <f t="shared" si="0"/>
        <v>0</v>
      </c>
      <c r="F73" s="6">
        <v>0</v>
      </c>
      <c r="G73" s="6">
        <v>0</v>
      </c>
      <c r="H73" s="8">
        <f t="shared" si="1"/>
        <v>0</v>
      </c>
      <c r="I73" s="8"/>
      <c r="J73" s="8">
        <v>2.6999999769032001E-2</v>
      </c>
      <c r="K73" s="8">
        <f>AVERAGE(I73:J73)</f>
        <v>2.6999999769032001E-2</v>
      </c>
      <c r="L73" s="8">
        <f>E73-H73-K73</f>
        <v>-2.6999999769032001E-2</v>
      </c>
      <c r="M73" s="6"/>
      <c r="N73" s="5" t="s">
        <v>140</v>
      </c>
      <c r="O73" s="5" t="s">
        <v>207</v>
      </c>
    </row>
    <row r="74" spans="1:15" x14ac:dyDescent="0.3">
      <c r="A74" s="5" t="s">
        <v>128</v>
      </c>
      <c r="C74" s="16">
        <f>SUBTOTAL(9,C$6:C73)</f>
        <v>739769115.26999998</v>
      </c>
      <c r="D74" s="16">
        <f>SUBTOTAL(9,D$6:D73)</f>
        <v>803710193.26999998</v>
      </c>
      <c r="E74" s="16">
        <f>SUBTOTAL(9,E$6:E73)</f>
        <v>771739654.26999998</v>
      </c>
      <c r="F74" s="16">
        <f>SUBTOTAL(9,F$6:F73)</f>
        <v>247647610</v>
      </c>
      <c r="G74" s="16">
        <f>SUBTOTAL(9,G$6:G73)</f>
        <v>257276252</v>
      </c>
      <c r="H74" s="16">
        <f>SUBTOTAL(9,H$6:H73)</f>
        <v>252461931</v>
      </c>
      <c r="I74" s="16">
        <f>SUBTOTAL(9,I$6:I73)</f>
        <v>6471688</v>
      </c>
      <c r="J74" s="16">
        <f>SUBTOTAL(9,J$6:J73)</f>
        <v>9739489.0269999988</v>
      </c>
      <c r="K74" s="16">
        <f>SUBTOTAL(9,K$6:K73)</f>
        <v>8105588.5269999998</v>
      </c>
      <c r="L74" s="16">
        <f>SUBTOTAL(9,L$6:L73)</f>
        <v>511172134.74299997</v>
      </c>
      <c r="M74" s="16">
        <f>SUBTOTAL(9,M$6:M73)</f>
        <v>28670162</v>
      </c>
    </row>
    <row r="76" spans="1:15" s="63" customFormat="1" x14ac:dyDescent="0.3">
      <c r="A76" s="62" t="s">
        <v>699</v>
      </c>
      <c r="C76" s="61">
        <v>679767856</v>
      </c>
      <c r="D76" s="61">
        <v>710793362</v>
      </c>
      <c r="E76" s="61"/>
      <c r="F76" s="61">
        <v>245078293</v>
      </c>
      <c r="G76" s="61">
        <v>274481047</v>
      </c>
      <c r="H76" s="61"/>
      <c r="I76" s="61">
        <v>3750888</v>
      </c>
      <c r="J76" s="61">
        <v>2946394</v>
      </c>
      <c r="M76" s="63">
        <f>'6.0'!C132</f>
        <v>27001358</v>
      </c>
    </row>
    <row r="77" spans="1:15" s="63" customFormat="1" x14ac:dyDescent="0.3">
      <c r="M77" s="63">
        <f>SUM('6.2'!E18:E19)</f>
        <v>1668808</v>
      </c>
    </row>
    <row r="78" spans="1:15" s="63" customFormat="1" x14ac:dyDescent="0.3">
      <c r="A78" s="63" t="s">
        <v>123</v>
      </c>
      <c r="C78" s="63">
        <f>ROUND(C76-C74,0)</f>
        <v>-60001259</v>
      </c>
      <c r="D78" s="63">
        <f t="shared" ref="D78:J78" si="7">ROUND(D76-D74,0)</f>
        <v>-92916831</v>
      </c>
      <c r="F78" s="63">
        <f t="shared" si="7"/>
        <v>-2569317</v>
      </c>
      <c r="G78" s="63">
        <f t="shared" si="7"/>
        <v>17204795</v>
      </c>
      <c r="I78" s="63">
        <f t="shared" si="7"/>
        <v>-2720800</v>
      </c>
      <c r="J78" s="63">
        <f t="shared" si="7"/>
        <v>-6793095</v>
      </c>
      <c r="M78" s="63">
        <f>ROUND(M76+M77-M74,2)</f>
        <v>4</v>
      </c>
    </row>
    <row r="82" spans="4:4" x14ac:dyDescent="0.3">
      <c r="D82" s="16"/>
    </row>
  </sheetData>
  <autoFilter ref="A5:Q73" xr:uid="{00000000-0001-0000-1C00-000000000000}"/>
  <sortState xmlns:xlrd2="http://schemas.microsoft.com/office/spreadsheetml/2017/richdata2" ref="A85:P172">
    <sortCondition ref="A85:A172"/>
  </sortState>
  <printOptions horizontalCentered="1" gridLines="1"/>
  <pageMargins left="0.19685039370078741" right="0.19685039370078741" top="0.98425196850393704" bottom="0.59055118110236227" header="0.19685039370078741" footer="0.19685039370078741"/>
  <pageSetup scale="43" pageOrder="overThenDown" orientation="landscape" r:id="rId1"/>
  <headerFooter scaleWithDoc="0">
    <oddHeader xml:space="preserve">&amp;C2023 "Status Quo Methods" Cost Allocation Model for MECL </oddHeader>
    <oddFooter>&amp;LPage &amp;P of &amp;N&amp;RJune 27, 2025</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dimension ref="A1:I47"/>
  <sheetViews>
    <sheetView view="pageBreakPreview" zoomScale="40" zoomScaleNormal="100" zoomScaleSheetLayoutView="40" workbookViewId="0">
      <selection activeCell="E21" sqref="E21"/>
    </sheetView>
  </sheetViews>
  <sheetFormatPr defaultColWidth="8.7109375" defaultRowHeight="13.5" x14ac:dyDescent="0.3"/>
  <cols>
    <col min="1" max="1" width="8.7109375" style="5"/>
    <col min="2" max="2" width="25.7109375" style="5" customWidth="1"/>
    <col min="3" max="6" width="10.7109375" style="5" customWidth="1"/>
    <col min="7" max="8" width="20.7109375" style="5" customWidth="1"/>
    <col min="9" max="16384" width="8.7109375" style="5"/>
  </cols>
  <sheetData>
    <row r="1" spans="1:7" x14ac:dyDescent="0.3">
      <c r="A1" s="5" t="s">
        <v>708</v>
      </c>
    </row>
    <row r="2" spans="1:7" x14ac:dyDescent="0.3">
      <c r="A2" s="44" t="s">
        <v>702</v>
      </c>
    </row>
    <row r="4" spans="1:7" x14ac:dyDescent="0.3">
      <c r="A4" s="5" t="s">
        <v>171</v>
      </c>
      <c r="C4" s="5" t="s">
        <v>489</v>
      </c>
    </row>
    <row r="5" spans="1:7" x14ac:dyDescent="0.3">
      <c r="A5" s="5" t="s">
        <v>47</v>
      </c>
      <c r="B5" s="5" t="s">
        <v>48</v>
      </c>
      <c r="C5" s="15" t="s">
        <v>105</v>
      </c>
      <c r="D5" s="15" t="s">
        <v>106</v>
      </c>
      <c r="E5" s="15" t="s">
        <v>488</v>
      </c>
      <c r="F5" s="15" t="s">
        <v>154</v>
      </c>
    </row>
    <row r="6" spans="1:7" ht="14" x14ac:dyDescent="0.3">
      <c r="A6" s="5" t="s">
        <v>159</v>
      </c>
      <c r="B6" s="5" t="s">
        <v>160</v>
      </c>
      <c r="C6" s="60">
        <v>27633145</v>
      </c>
      <c r="D6" s="60">
        <v>30593274</v>
      </c>
      <c r="E6" s="8">
        <f>D6-C6</f>
        <v>2960129</v>
      </c>
      <c r="F6" s="8">
        <f>AVERAGE(C6:D6)</f>
        <v>29113209.5</v>
      </c>
    </row>
    <row r="7" spans="1:7" ht="14" x14ac:dyDescent="0.3">
      <c r="A7" s="5" t="s">
        <v>161</v>
      </c>
      <c r="B7" s="5" t="s">
        <v>162</v>
      </c>
      <c r="C7" s="60">
        <v>573341</v>
      </c>
      <c r="D7" s="60">
        <v>573341</v>
      </c>
      <c r="E7" s="8">
        <f t="shared" ref="E7:E10" si="0">D7-C7</f>
        <v>0</v>
      </c>
      <c r="F7" s="8">
        <f>AVERAGE(C7:D7)</f>
        <v>573341</v>
      </c>
    </row>
    <row r="8" spans="1:7" ht="14" x14ac:dyDescent="0.3">
      <c r="A8" s="5" t="s">
        <v>163</v>
      </c>
      <c r="B8" s="5" t="s">
        <v>164</v>
      </c>
      <c r="C8" s="95">
        <v>383238</v>
      </c>
      <c r="D8" s="95">
        <v>359680</v>
      </c>
      <c r="E8" s="97">
        <f t="shared" si="0"/>
        <v>-23558</v>
      </c>
      <c r="F8" s="97">
        <f>AVERAGE(C8:D8)</f>
        <v>371459</v>
      </c>
      <c r="G8" s="90"/>
    </row>
    <row r="9" spans="1:7" ht="14" x14ac:dyDescent="0.3">
      <c r="A9" s="5" t="s">
        <v>165</v>
      </c>
      <c r="B9" s="5" t="s">
        <v>166</v>
      </c>
      <c r="C9" s="95">
        <v>16408452</v>
      </c>
      <c r="D9" s="95">
        <v>16409526</v>
      </c>
      <c r="E9" s="97">
        <f t="shared" si="0"/>
        <v>1074</v>
      </c>
      <c r="F9" s="97">
        <f>AVERAGE(C9:D9)</f>
        <v>16408989</v>
      </c>
      <c r="G9" s="90"/>
    </row>
    <row r="10" spans="1:7" ht="14" x14ac:dyDescent="0.3">
      <c r="A10" s="5">
        <v>4500</v>
      </c>
      <c r="B10" s="5" t="s">
        <v>727</v>
      </c>
      <c r="C10" s="95">
        <v>350530</v>
      </c>
      <c r="D10" s="95">
        <v>350530</v>
      </c>
      <c r="E10" s="97">
        <f t="shared" si="0"/>
        <v>0</v>
      </c>
      <c r="F10" s="97">
        <f>AVERAGE(C10:D10)</f>
        <v>350530</v>
      </c>
      <c r="G10" s="90"/>
    </row>
    <row r="11" spans="1:7" x14ac:dyDescent="0.3">
      <c r="A11" s="5" t="s">
        <v>169</v>
      </c>
      <c r="C11" s="90">
        <f>SUM(C6:C10)</f>
        <v>45348706</v>
      </c>
      <c r="D11" s="90">
        <f t="shared" ref="D11:F11" si="1">SUM(D6:D10)</f>
        <v>48286351</v>
      </c>
      <c r="E11" s="90">
        <f t="shared" si="1"/>
        <v>2937645</v>
      </c>
      <c r="F11" s="90">
        <f t="shared" si="1"/>
        <v>46817528.5</v>
      </c>
      <c r="G11" s="90"/>
    </row>
    <row r="12" spans="1:7" x14ac:dyDescent="0.3">
      <c r="C12" s="90"/>
      <c r="D12" s="90"/>
      <c r="E12" s="97"/>
      <c r="F12" s="97"/>
      <c r="G12" s="90"/>
    </row>
    <row r="13" spans="1:7" x14ac:dyDescent="0.3">
      <c r="C13" s="90" t="s">
        <v>137</v>
      </c>
      <c r="D13" s="90"/>
      <c r="E13" s="90"/>
      <c r="F13" s="90"/>
      <c r="G13" s="90"/>
    </row>
    <row r="14" spans="1:7" x14ac:dyDescent="0.3">
      <c r="C14" s="98" t="s">
        <v>105</v>
      </c>
      <c r="D14" s="98" t="s">
        <v>106</v>
      </c>
      <c r="E14" s="98" t="s">
        <v>488</v>
      </c>
      <c r="F14" s="98" t="s">
        <v>154</v>
      </c>
      <c r="G14" s="90" t="s">
        <v>218</v>
      </c>
    </row>
    <row r="15" spans="1:7" ht="14" x14ac:dyDescent="0.3">
      <c r="A15" s="5" t="s">
        <v>167</v>
      </c>
      <c r="B15" s="5" t="s">
        <v>168</v>
      </c>
      <c r="C15" s="95">
        <v>14670324</v>
      </c>
      <c r="D15" s="95">
        <v>15031308</v>
      </c>
      <c r="E15" s="97">
        <f>D15-C15</f>
        <v>360984</v>
      </c>
      <c r="F15" s="97">
        <f>AVERAGE(C15:D15)</f>
        <v>14850816</v>
      </c>
      <c r="G15" s="90" t="s">
        <v>236</v>
      </c>
    </row>
    <row r="16" spans="1:7" ht="14" x14ac:dyDescent="0.3">
      <c r="A16" s="5" t="s">
        <v>167</v>
      </c>
      <c r="B16" s="5" t="s">
        <v>168</v>
      </c>
      <c r="C16" s="95">
        <v>5831178</v>
      </c>
      <c r="D16" s="95">
        <v>6408775</v>
      </c>
      <c r="E16" s="97">
        <f>D16-C16</f>
        <v>577597</v>
      </c>
      <c r="F16" s="97">
        <f>AVERAGE(C16:D16)</f>
        <v>6119976.5</v>
      </c>
      <c r="G16" s="90" t="s">
        <v>12</v>
      </c>
    </row>
    <row r="17" spans="1:8" ht="14" x14ac:dyDescent="0.3">
      <c r="B17" s="5" t="s">
        <v>727</v>
      </c>
      <c r="C17" s="95">
        <v>19118</v>
      </c>
      <c r="D17" s="95">
        <v>43270</v>
      </c>
      <c r="E17" s="97">
        <f>D17-C17</f>
        <v>24152</v>
      </c>
      <c r="F17" s="97">
        <f>AVERAGE(C17:D17)</f>
        <v>31194</v>
      </c>
      <c r="G17" s="90" t="s">
        <v>204</v>
      </c>
    </row>
    <row r="18" spans="1:8" x14ac:dyDescent="0.3">
      <c r="A18" s="5" t="s">
        <v>170</v>
      </c>
      <c r="C18" s="90">
        <f>SUM(C15:C17)</f>
        <v>20520620</v>
      </c>
      <c r="D18" s="90">
        <f>SUM(D15:D17)</f>
        <v>21483353</v>
      </c>
      <c r="E18" s="90">
        <f>SUM(E15:E17)</f>
        <v>962733</v>
      </c>
      <c r="F18" s="90">
        <f>SUM(F15:F17)</f>
        <v>21001986.5</v>
      </c>
      <c r="G18" s="90"/>
    </row>
    <row r="19" spans="1:8" ht="14" x14ac:dyDescent="0.3">
      <c r="B19" s="44" t="s">
        <v>715</v>
      </c>
      <c r="C19" s="90"/>
      <c r="D19" s="90"/>
      <c r="E19" s="95">
        <v>706075</v>
      </c>
      <c r="F19" s="97"/>
      <c r="G19" s="90" t="s">
        <v>236</v>
      </c>
    </row>
    <row r="20" spans="1:8" x14ac:dyDescent="0.3">
      <c r="C20" s="90"/>
      <c r="D20" s="90"/>
      <c r="E20" s="90"/>
      <c r="F20" s="90"/>
      <c r="G20" s="90"/>
    </row>
    <row r="21" spans="1:8" x14ac:dyDescent="0.3">
      <c r="C21" s="90" t="s">
        <v>155</v>
      </c>
      <c r="D21" s="90"/>
      <c r="E21" s="90"/>
      <c r="F21" s="90"/>
      <c r="G21" s="90"/>
    </row>
    <row r="22" spans="1:8" x14ac:dyDescent="0.3">
      <c r="C22" s="98" t="s">
        <v>105</v>
      </c>
      <c r="D22" s="98" t="s">
        <v>106</v>
      </c>
      <c r="E22" s="98" t="s">
        <v>488</v>
      </c>
      <c r="F22" s="98" t="s">
        <v>154</v>
      </c>
      <c r="G22" s="90" t="s">
        <v>218</v>
      </c>
    </row>
    <row r="23" spans="1:8" x14ac:dyDescent="0.3">
      <c r="B23" s="5" t="s">
        <v>124</v>
      </c>
      <c r="C23" s="5">
        <f>SUM(C6:C8)-C15</f>
        <v>13919400</v>
      </c>
      <c r="D23" s="5">
        <f>SUM(D6:D8)-D15</f>
        <v>16494987</v>
      </c>
      <c r="E23" s="8">
        <f>D23-C23</f>
        <v>2575587</v>
      </c>
      <c r="F23" s="8">
        <f>AVERAGE(C23:D23)</f>
        <v>15207193.5</v>
      </c>
      <c r="G23" s="5" t="s">
        <v>236</v>
      </c>
    </row>
    <row r="24" spans="1:8" x14ac:dyDescent="0.3">
      <c r="B24" s="5" t="s">
        <v>12</v>
      </c>
      <c r="C24" s="5">
        <f>C9-C16</f>
        <v>10577274</v>
      </c>
      <c r="D24" s="5">
        <f>D9-D16</f>
        <v>10000751</v>
      </c>
      <c r="E24" s="8">
        <f>D24-C24</f>
        <v>-576523</v>
      </c>
      <c r="F24" s="8">
        <f>AVERAGE(C24:D24)</f>
        <v>10289012.5</v>
      </c>
      <c r="G24" s="5" t="s">
        <v>12</v>
      </c>
    </row>
    <row r="25" spans="1:8" x14ac:dyDescent="0.3">
      <c r="B25" s="5" t="s">
        <v>727</v>
      </c>
      <c r="C25" s="5">
        <f>C10-C17</f>
        <v>331412</v>
      </c>
      <c r="D25" s="5">
        <f>D10-D17</f>
        <v>307260</v>
      </c>
      <c r="E25" s="8">
        <f>D25-C25</f>
        <v>-24152</v>
      </c>
      <c r="F25" s="8">
        <f>AVERAGE(C25:D25)</f>
        <v>319336</v>
      </c>
      <c r="G25" s="5" t="s">
        <v>204</v>
      </c>
    </row>
    <row r="26" spans="1:8" x14ac:dyDescent="0.3">
      <c r="B26" s="5" t="s">
        <v>155</v>
      </c>
      <c r="C26" s="5">
        <f>SUM(C23:C25)</f>
        <v>24828086</v>
      </c>
      <c r="D26" s="5">
        <f t="shared" ref="D26:F26" si="2">SUM(D23:D25)</f>
        <v>26802998</v>
      </c>
      <c r="E26" s="5">
        <f t="shared" si="2"/>
        <v>1974912</v>
      </c>
      <c r="F26" s="5">
        <f t="shared" si="2"/>
        <v>25815542</v>
      </c>
    </row>
    <row r="28" spans="1:8" x14ac:dyDescent="0.3">
      <c r="A28" s="5" t="s">
        <v>185</v>
      </c>
      <c r="C28" s="5" t="s">
        <v>489</v>
      </c>
    </row>
    <row r="29" spans="1:8" x14ac:dyDescent="0.3">
      <c r="A29" s="5" t="s">
        <v>47</v>
      </c>
      <c r="B29" s="5" t="s">
        <v>48</v>
      </c>
      <c r="C29" s="15" t="s">
        <v>105</v>
      </c>
      <c r="D29" s="15" t="s">
        <v>106</v>
      </c>
      <c r="E29" s="15" t="s">
        <v>488</v>
      </c>
      <c r="F29" s="15" t="s">
        <v>154</v>
      </c>
      <c r="G29" s="5" t="s">
        <v>220</v>
      </c>
      <c r="H29" s="5" t="s">
        <v>218</v>
      </c>
    </row>
    <row r="30" spans="1:8" ht="14" x14ac:dyDescent="0.3">
      <c r="A30" s="5" t="s">
        <v>180</v>
      </c>
      <c r="B30" s="5" t="s">
        <v>181</v>
      </c>
      <c r="C30" s="60">
        <v>282000</v>
      </c>
      <c r="D30" s="60">
        <v>282000</v>
      </c>
      <c r="E30" s="8">
        <f>D30-C30</f>
        <v>0</v>
      </c>
      <c r="F30" s="8">
        <f>AVERAGE(C30:D30)</f>
        <v>282000</v>
      </c>
      <c r="G30" s="5" t="s">
        <v>238</v>
      </c>
      <c r="H30" s="5" t="s">
        <v>204</v>
      </c>
    </row>
    <row r="31" spans="1:8" ht="14" x14ac:dyDescent="0.3">
      <c r="A31" s="5" t="s">
        <v>180</v>
      </c>
      <c r="B31" s="5" t="s">
        <v>182</v>
      </c>
      <c r="C31" s="60">
        <v>4519693</v>
      </c>
      <c r="D31" s="60">
        <v>4566642</v>
      </c>
      <c r="E31" s="8">
        <f>D31-C31</f>
        <v>46949</v>
      </c>
      <c r="F31" s="8">
        <f>AVERAGE(C31:D31)</f>
        <v>4543167.5</v>
      </c>
      <c r="G31" s="5" t="s">
        <v>238</v>
      </c>
      <c r="H31" s="5" t="s">
        <v>12</v>
      </c>
    </row>
    <row r="32" spans="1:8" ht="14" x14ac:dyDescent="0.3">
      <c r="A32" s="5" t="s">
        <v>183</v>
      </c>
      <c r="B32" s="5" t="s">
        <v>184</v>
      </c>
      <c r="C32" s="60">
        <v>2683013</v>
      </c>
      <c r="D32" s="60">
        <v>2693829</v>
      </c>
      <c r="E32" s="8">
        <f>D32-C32</f>
        <v>10816</v>
      </c>
      <c r="F32" s="8">
        <f>AVERAGE(C32:D32)</f>
        <v>2688421</v>
      </c>
      <c r="G32" s="5" t="s">
        <v>239</v>
      </c>
      <c r="H32" s="5" t="s">
        <v>156</v>
      </c>
    </row>
    <row r="33" spans="1:9" x14ac:dyDescent="0.3">
      <c r="A33" s="5" t="s">
        <v>169</v>
      </c>
      <c r="C33" s="5">
        <f>SUM(C30:C32)</f>
        <v>7484706</v>
      </c>
      <c r="D33" s="5">
        <f>SUM(D30:D32)</f>
        <v>7542471</v>
      </c>
      <c r="E33" s="5">
        <f>SUM(E30:E32)</f>
        <v>57765</v>
      </c>
      <c r="F33" s="5">
        <f>SUM(F30:F32)</f>
        <v>7513588.5</v>
      </c>
    </row>
    <row r="35" spans="1:9" x14ac:dyDescent="0.3">
      <c r="C35" s="5" t="s">
        <v>137</v>
      </c>
    </row>
    <row r="36" spans="1:9" x14ac:dyDescent="0.3">
      <c r="A36" s="5" t="s">
        <v>47</v>
      </c>
      <c r="B36" s="5" t="s">
        <v>48</v>
      </c>
      <c r="C36" s="15" t="s">
        <v>105</v>
      </c>
      <c r="D36" s="15" t="s">
        <v>106</v>
      </c>
      <c r="E36" s="15" t="s">
        <v>488</v>
      </c>
      <c r="F36" s="15" t="s">
        <v>154</v>
      </c>
      <c r="G36" s="5" t="s">
        <v>220</v>
      </c>
      <c r="H36" s="5" t="s">
        <v>218</v>
      </c>
    </row>
    <row r="37" spans="1:9" ht="14" x14ac:dyDescent="0.3">
      <c r="A37" s="57" t="s">
        <v>697</v>
      </c>
      <c r="B37" s="5" t="s">
        <v>181</v>
      </c>
      <c r="C37" s="60">
        <v>82034</v>
      </c>
      <c r="D37" s="60">
        <v>85954</v>
      </c>
      <c r="E37" s="8">
        <f>D37-C37</f>
        <v>3920</v>
      </c>
      <c r="F37" s="8">
        <f>AVERAGE(C37:D37)</f>
        <v>83994</v>
      </c>
      <c r="G37" s="5" t="s">
        <v>238</v>
      </c>
      <c r="H37" s="5" t="s">
        <v>204</v>
      </c>
      <c r="I37" s="44" t="s">
        <v>706</v>
      </c>
    </row>
    <row r="38" spans="1:9" ht="14" x14ac:dyDescent="0.3">
      <c r="A38" s="57" t="s">
        <v>697</v>
      </c>
      <c r="B38" s="5" t="s">
        <v>182</v>
      </c>
      <c r="C38" s="60">
        <v>1712930</v>
      </c>
      <c r="D38" s="60">
        <v>1771083</v>
      </c>
      <c r="E38" s="8">
        <f>D38-C38</f>
        <v>58153</v>
      </c>
      <c r="F38" s="8">
        <f>AVERAGE(C38:D38)</f>
        <v>1742006.5</v>
      </c>
      <c r="G38" s="5" t="s">
        <v>238</v>
      </c>
      <c r="H38" s="5" t="s">
        <v>12</v>
      </c>
    </row>
    <row r="39" spans="1:9" ht="14" x14ac:dyDescent="0.3">
      <c r="A39" s="57" t="s">
        <v>698</v>
      </c>
      <c r="B39" s="5" t="s">
        <v>184</v>
      </c>
      <c r="C39" s="60">
        <v>1627154</v>
      </c>
      <c r="D39" s="60">
        <v>1706686</v>
      </c>
      <c r="E39" s="8">
        <f>D39-C39</f>
        <v>79532</v>
      </c>
      <c r="F39" s="8">
        <f>AVERAGE(C39:D39)</f>
        <v>1666920</v>
      </c>
    </row>
    <row r="40" spans="1:9" x14ac:dyDescent="0.3">
      <c r="A40" s="5" t="s">
        <v>170</v>
      </c>
      <c r="C40" s="5">
        <f>SUM(C37:C39)</f>
        <v>3422118</v>
      </c>
      <c r="D40" s="5">
        <f>SUM(D37:D39)</f>
        <v>3563723</v>
      </c>
      <c r="E40" s="5">
        <f>SUM(E37:E39)</f>
        <v>141605</v>
      </c>
      <c r="F40" s="5">
        <f>SUM(F37:F39)</f>
        <v>3492920.5</v>
      </c>
    </row>
    <row r="42" spans="1:9" x14ac:dyDescent="0.3">
      <c r="C42" s="5" t="s">
        <v>155</v>
      </c>
    </row>
    <row r="43" spans="1:9" x14ac:dyDescent="0.3">
      <c r="A43" s="5" t="s">
        <v>47</v>
      </c>
      <c r="B43" s="5" t="s">
        <v>48</v>
      </c>
      <c r="C43" s="15" t="s">
        <v>105</v>
      </c>
      <c r="D43" s="15" t="s">
        <v>106</v>
      </c>
      <c r="E43" s="15" t="s">
        <v>488</v>
      </c>
      <c r="F43" s="15" t="s">
        <v>154</v>
      </c>
      <c r="G43" s="5" t="s">
        <v>220</v>
      </c>
      <c r="H43" s="5" t="s">
        <v>218</v>
      </c>
    </row>
    <row r="44" spans="1:9" x14ac:dyDescent="0.3">
      <c r="A44" s="5" t="s">
        <v>180</v>
      </c>
      <c r="B44" s="5" t="s">
        <v>181</v>
      </c>
      <c r="C44" s="5">
        <f t="shared" ref="C44:D46" si="3">C30-C37</f>
        <v>199966</v>
      </c>
      <c r="D44" s="5">
        <f t="shared" si="3"/>
        <v>196046</v>
      </c>
      <c r="E44" s="8">
        <f>D44-C44</f>
        <v>-3920</v>
      </c>
      <c r="F44" s="8">
        <f>AVERAGE(C44:D44)</f>
        <v>198006</v>
      </c>
      <c r="G44" s="5" t="s">
        <v>238</v>
      </c>
      <c r="H44" s="5" t="s">
        <v>204</v>
      </c>
    </row>
    <row r="45" spans="1:9" x14ac:dyDescent="0.3">
      <c r="A45" s="5" t="s">
        <v>180</v>
      </c>
      <c r="B45" s="5" t="s">
        <v>182</v>
      </c>
      <c r="C45" s="5">
        <f t="shared" si="3"/>
        <v>2806763</v>
      </c>
      <c r="D45" s="5">
        <f t="shared" si="3"/>
        <v>2795559</v>
      </c>
      <c r="E45" s="8">
        <f>D45-C45</f>
        <v>-11204</v>
      </c>
      <c r="F45" s="8">
        <f>AVERAGE(C45:D45)</f>
        <v>2801161</v>
      </c>
      <c r="G45" s="5" t="s">
        <v>238</v>
      </c>
      <c r="H45" s="5" t="s">
        <v>12</v>
      </c>
    </row>
    <row r="46" spans="1:9" x14ac:dyDescent="0.3">
      <c r="A46" s="5" t="s">
        <v>183</v>
      </c>
      <c r="B46" s="5" t="s">
        <v>184</v>
      </c>
      <c r="C46" s="5">
        <f t="shared" si="3"/>
        <v>1055859</v>
      </c>
      <c r="D46" s="5">
        <f t="shared" si="3"/>
        <v>987143</v>
      </c>
      <c r="E46" s="8">
        <f>D46-C46</f>
        <v>-68716</v>
      </c>
      <c r="F46" s="8">
        <f>AVERAGE(C46:D46)</f>
        <v>1021501</v>
      </c>
      <c r="G46" s="5" t="s">
        <v>239</v>
      </c>
      <c r="H46" s="5" t="s">
        <v>156</v>
      </c>
    </row>
    <row r="47" spans="1:9" x14ac:dyDescent="0.3">
      <c r="A47" s="5" t="s">
        <v>155</v>
      </c>
      <c r="C47" s="5">
        <f>SUM(C44:C46)</f>
        <v>4062588</v>
      </c>
      <c r="D47" s="5">
        <f>SUM(D44:D46)</f>
        <v>3978748</v>
      </c>
      <c r="E47" s="5">
        <f>SUM(E44:E46)</f>
        <v>-83840</v>
      </c>
      <c r="F47" s="5">
        <f>SUM(F44:F46)</f>
        <v>4020668</v>
      </c>
    </row>
  </sheetData>
  <printOptions horizontalCentered="1" gridLines="1"/>
  <pageMargins left="0.19685039370078741" right="0.19685039370078741" top="0.98425196850393704" bottom="0.59055118110236227" header="0.19685039370078741" footer="0.19685039370078741"/>
  <pageSetup scale="65" pageOrder="overThenDown" orientation="landscape" r:id="rId1"/>
  <headerFooter scaleWithDoc="0">
    <oddHeader xml:space="preserve">&amp;C2023 "Status Quo Methods" Cost Allocation Model for MECL </oddHeader>
    <oddFooter>&amp;LPage &amp;P of &amp;N&amp;RJune 27, 2025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dimension ref="A1:B31"/>
  <sheetViews>
    <sheetView view="pageBreakPreview" zoomScale="40" zoomScaleNormal="100" zoomScaleSheetLayoutView="40" workbookViewId="0">
      <selection activeCell="E21" sqref="E21"/>
    </sheetView>
  </sheetViews>
  <sheetFormatPr defaultColWidth="8.7109375" defaultRowHeight="13.5" x14ac:dyDescent="0.3"/>
  <cols>
    <col min="1" max="2" width="25.7109375" style="19" customWidth="1"/>
    <col min="3" max="16384" width="8.7109375" style="19"/>
  </cols>
  <sheetData>
    <row r="1" spans="1:2" x14ac:dyDescent="0.3">
      <c r="A1" s="19" t="s">
        <v>564</v>
      </c>
    </row>
    <row r="2" spans="1:2" x14ac:dyDescent="0.3">
      <c r="A2" s="19" t="s">
        <v>0</v>
      </c>
    </row>
    <row r="4" spans="1:2" x14ac:dyDescent="0.3">
      <c r="A4" s="19" t="s">
        <v>1</v>
      </c>
      <c r="B4" s="19" t="s">
        <v>25</v>
      </c>
    </row>
    <row r="5" spans="1:2" x14ac:dyDescent="0.3">
      <c r="A5" s="20" t="s">
        <v>2</v>
      </c>
      <c r="B5" s="20" t="s">
        <v>26</v>
      </c>
    </row>
    <row r="6" spans="1:2" x14ac:dyDescent="0.3">
      <c r="A6" s="20" t="s">
        <v>3</v>
      </c>
      <c r="B6" s="20" t="s">
        <v>664</v>
      </c>
    </row>
    <row r="7" spans="1:2" x14ac:dyDescent="0.3">
      <c r="A7" s="20" t="s">
        <v>46</v>
      </c>
      <c r="B7" s="20" t="s">
        <v>27</v>
      </c>
    </row>
    <row r="8" spans="1:2" x14ac:dyDescent="0.3">
      <c r="A8" s="20" t="s">
        <v>4</v>
      </c>
      <c r="B8" s="20" t="s">
        <v>28</v>
      </c>
    </row>
    <row r="9" spans="1:2" x14ac:dyDescent="0.3">
      <c r="A9" s="20" t="s">
        <v>5</v>
      </c>
      <c r="B9" s="20" t="s">
        <v>29</v>
      </c>
    </row>
    <row r="10" spans="1:2" x14ac:dyDescent="0.3">
      <c r="A10" s="20" t="s">
        <v>6</v>
      </c>
      <c r="B10" s="20" t="s">
        <v>30</v>
      </c>
    </row>
    <row r="11" spans="1:2" x14ac:dyDescent="0.3">
      <c r="A11" s="20" t="s">
        <v>7</v>
      </c>
      <c r="B11" s="20" t="s">
        <v>31</v>
      </c>
    </row>
    <row r="12" spans="1:2" x14ac:dyDescent="0.3">
      <c r="A12" s="20" t="s">
        <v>8</v>
      </c>
      <c r="B12" s="20" t="s">
        <v>32</v>
      </c>
    </row>
    <row r="13" spans="1:2" x14ac:dyDescent="0.3">
      <c r="A13" s="20" t="s">
        <v>9</v>
      </c>
      <c r="B13" s="20" t="s">
        <v>33</v>
      </c>
    </row>
    <row r="14" spans="1:2" x14ac:dyDescent="0.3">
      <c r="B14" s="20" t="s">
        <v>34</v>
      </c>
    </row>
    <row r="15" spans="1:2" x14ac:dyDescent="0.3">
      <c r="A15" s="19" t="s">
        <v>44</v>
      </c>
      <c r="B15" s="20" t="s">
        <v>35</v>
      </c>
    </row>
    <row r="16" spans="1:2" x14ac:dyDescent="0.3">
      <c r="A16" s="20" t="s">
        <v>10</v>
      </c>
      <c r="B16" s="20" t="s">
        <v>17</v>
      </c>
    </row>
    <row r="17" spans="1:2" x14ac:dyDescent="0.3">
      <c r="A17" s="20" t="s">
        <v>11</v>
      </c>
      <c r="B17" s="20" t="s">
        <v>18</v>
      </c>
    </row>
    <row r="18" spans="1:2" x14ac:dyDescent="0.3">
      <c r="A18" s="20" t="s">
        <v>12</v>
      </c>
      <c r="B18" s="20" t="s">
        <v>19</v>
      </c>
    </row>
    <row r="19" spans="1:2" x14ac:dyDescent="0.3">
      <c r="A19" s="20" t="s">
        <v>13</v>
      </c>
      <c r="B19" s="20" t="s">
        <v>20</v>
      </c>
    </row>
    <row r="20" spans="1:2" x14ac:dyDescent="0.3">
      <c r="A20" s="20" t="s">
        <v>14</v>
      </c>
      <c r="B20" s="20" t="s">
        <v>21</v>
      </c>
    </row>
    <row r="21" spans="1:2" x14ac:dyDescent="0.3">
      <c r="A21" s="20" t="s">
        <v>15</v>
      </c>
      <c r="B21" s="20" t="s">
        <v>36</v>
      </c>
    </row>
    <row r="22" spans="1:2" x14ac:dyDescent="0.3">
      <c r="A22" s="20" t="s">
        <v>16</v>
      </c>
      <c r="B22" s="20" t="s">
        <v>37</v>
      </c>
    </row>
    <row r="23" spans="1:2" x14ac:dyDescent="0.3">
      <c r="A23" s="20" t="s">
        <v>17</v>
      </c>
      <c r="B23" s="20" t="s">
        <v>38</v>
      </c>
    </row>
    <row r="24" spans="1:2" x14ac:dyDescent="0.3">
      <c r="A24" s="20" t="s">
        <v>18</v>
      </c>
      <c r="B24" s="20" t="s">
        <v>39</v>
      </c>
    </row>
    <row r="25" spans="1:2" x14ac:dyDescent="0.3">
      <c r="A25" s="20" t="s">
        <v>19</v>
      </c>
      <c r="B25" s="20" t="s">
        <v>40</v>
      </c>
    </row>
    <row r="26" spans="1:2" x14ac:dyDescent="0.3">
      <c r="A26" s="20" t="s">
        <v>20</v>
      </c>
      <c r="B26" s="20" t="s">
        <v>41</v>
      </c>
    </row>
    <row r="27" spans="1:2" x14ac:dyDescent="0.3">
      <c r="A27" s="20" t="s">
        <v>21</v>
      </c>
      <c r="B27" s="20" t="s">
        <v>42</v>
      </c>
    </row>
    <row r="28" spans="1:2" x14ac:dyDescent="0.3">
      <c r="A28" s="20" t="s">
        <v>22</v>
      </c>
      <c r="B28" s="20" t="s">
        <v>43</v>
      </c>
    </row>
    <row r="29" spans="1:2" x14ac:dyDescent="0.3">
      <c r="A29" s="20" t="s">
        <v>23</v>
      </c>
    </row>
    <row r="30" spans="1:2" x14ac:dyDescent="0.3">
      <c r="A30" s="20" t="s">
        <v>24</v>
      </c>
    </row>
    <row r="31" spans="1:2" x14ac:dyDescent="0.3">
      <c r="A31" s="20" t="s">
        <v>597</v>
      </c>
    </row>
  </sheetData>
  <printOptions horizontalCentered="1" gridLines="1"/>
  <pageMargins left="0.19685039370078741" right="0.19685039370078741" top="0.98425196850393704" bottom="0.59055118110236227" header="0.19685039370078741" footer="0.19685039370078741"/>
  <pageSetup scale="85" pageOrder="overThenDown" orientation="landscape" r:id="rId1"/>
  <headerFooter scaleWithDoc="0">
    <oddHeader xml:space="preserve">&amp;C2023 "Status Quo Methods" Cost Allocation Model for MECL </oddHeader>
    <oddFooter>&amp;LPage &amp;P of &amp;N&amp;RJune 27,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76</vt:i4>
      </vt:variant>
    </vt:vector>
  </HeadingPairs>
  <TitlesOfParts>
    <vt:vector size="104" baseType="lpstr">
      <vt:lpstr>Index</vt:lpstr>
      <vt:lpstr>1.0</vt:lpstr>
      <vt:lpstr>1.1</vt:lpstr>
      <vt:lpstr>1.2</vt:lpstr>
      <vt:lpstr>1.3</vt:lpstr>
      <vt:lpstr>1.4</vt:lpstr>
      <vt:lpstr>2.0</vt:lpstr>
      <vt:lpstr>2.1</vt:lpstr>
      <vt:lpstr>2.2</vt:lpstr>
      <vt:lpstr>2.4</vt:lpstr>
      <vt:lpstr>2.5</vt:lpstr>
      <vt:lpstr>3.0</vt:lpstr>
      <vt:lpstr>3.1</vt:lpstr>
      <vt:lpstr>3.2</vt:lpstr>
      <vt:lpstr>3.3</vt:lpstr>
      <vt:lpstr>3.4</vt:lpstr>
      <vt:lpstr>3.5</vt:lpstr>
      <vt:lpstr>3.6</vt:lpstr>
      <vt:lpstr>4.0</vt:lpstr>
      <vt:lpstr>4.1</vt:lpstr>
      <vt:lpstr>4.2</vt:lpstr>
      <vt:lpstr>5.0</vt:lpstr>
      <vt:lpstr>5.1</vt:lpstr>
      <vt:lpstr>5.2</vt:lpstr>
      <vt:lpstr>6.0</vt:lpstr>
      <vt:lpstr>6.1</vt:lpstr>
      <vt:lpstr>6.2</vt:lpstr>
      <vt:lpstr>6.3</vt:lpstr>
      <vt:lpstr>Assets_BasisFunc</vt:lpstr>
      <vt:lpstr>Assets_PresHeader</vt:lpstr>
      <vt:lpstr>Assets_UsedforAlloc</vt:lpstr>
      <vt:lpstr>GP_Direct</vt:lpstr>
      <vt:lpstr>GP_First</vt:lpstr>
      <vt:lpstr>GP_Second</vt:lpstr>
      <vt:lpstr>List_Allocators</vt:lpstr>
      <vt:lpstr>List_Classes</vt:lpstr>
      <vt:lpstr>List_Functions</vt:lpstr>
      <vt:lpstr>'1.0'!Print_Area</vt:lpstr>
      <vt:lpstr>'1.1'!Print_Area</vt:lpstr>
      <vt:lpstr>'1.2'!Print_Area</vt:lpstr>
      <vt:lpstr>'1.3'!Print_Area</vt:lpstr>
      <vt:lpstr>'1.4'!Print_Area</vt:lpstr>
      <vt:lpstr>'2.1'!Print_Area</vt:lpstr>
      <vt:lpstr>'2.2'!Print_Area</vt:lpstr>
      <vt:lpstr>'2.4'!Print_Area</vt:lpstr>
      <vt:lpstr>'3.0'!Print_Area</vt:lpstr>
      <vt:lpstr>'3.1'!Print_Area</vt:lpstr>
      <vt:lpstr>'3.2'!Print_Area</vt:lpstr>
      <vt:lpstr>'3.3'!Print_Area</vt:lpstr>
      <vt:lpstr>'3.4'!Print_Area</vt:lpstr>
      <vt:lpstr>'3.5'!Print_Area</vt:lpstr>
      <vt:lpstr>'3.6'!Print_Area</vt:lpstr>
      <vt:lpstr>'4.0'!Print_Area</vt:lpstr>
      <vt:lpstr>'4.1'!Print_Area</vt:lpstr>
      <vt:lpstr>'4.2'!Print_Area</vt:lpstr>
      <vt:lpstr>'6.0'!Print_Area</vt:lpstr>
      <vt:lpstr>'6.1'!Print_Area</vt:lpstr>
      <vt:lpstr>'6.2'!Print_Area</vt:lpstr>
      <vt:lpstr>Index!Print_Area</vt:lpstr>
      <vt:lpstr>'1.0'!Print_Titles</vt:lpstr>
      <vt:lpstr>'1.1'!Print_Titles</vt:lpstr>
      <vt:lpstr>'1.2'!Print_Titles</vt:lpstr>
      <vt:lpstr>'1.3'!Print_Titles</vt:lpstr>
      <vt:lpstr>'1.4'!Print_Titles</vt:lpstr>
      <vt:lpstr>'2.0'!Print_Titles</vt:lpstr>
      <vt:lpstr>'2.1'!Print_Titles</vt:lpstr>
      <vt:lpstr>'2.2'!Print_Titles</vt:lpstr>
      <vt:lpstr>'2.4'!Print_Titles</vt:lpstr>
      <vt:lpstr>'2.5'!Print_Titles</vt:lpstr>
      <vt:lpstr>'3.0'!Print_Titles</vt:lpstr>
      <vt:lpstr>'3.1'!Print_Titles</vt:lpstr>
      <vt:lpstr>'3.2'!Print_Titles</vt:lpstr>
      <vt:lpstr>'3.3'!Print_Titles</vt:lpstr>
      <vt:lpstr>'3.4'!Print_Titles</vt:lpstr>
      <vt:lpstr>'3.5'!Print_Titles</vt:lpstr>
      <vt:lpstr>'3.6'!Print_Titles</vt:lpstr>
      <vt:lpstr>'4.0'!Print_Titles</vt:lpstr>
      <vt:lpstr>'4.1'!Print_Titles</vt:lpstr>
      <vt:lpstr>'4.2'!Print_Titles</vt:lpstr>
      <vt:lpstr>'5.0'!Print_Titles</vt:lpstr>
      <vt:lpstr>'5.1'!Print_Titles</vt:lpstr>
      <vt:lpstr>'5.2'!Print_Titles</vt:lpstr>
      <vt:lpstr>'6.0'!Print_Titles</vt:lpstr>
      <vt:lpstr>'6.1'!Print_Titles</vt:lpstr>
      <vt:lpstr>'6.2'!Print_Titles</vt:lpstr>
      <vt:lpstr>'6.3'!Print_Titles</vt:lpstr>
      <vt:lpstr>Index!Print_Titles</vt:lpstr>
      <vt:lpstr>RR_Demand</vt:lpstr>
      <vt:lpstr>RR_Function</vt:lpstr>
      <vt:lpstr>RR_Labour</vt:lpstr>
      <vt:lpstr>RR_Reporting</vt:lpstr>
      <vt:lpstr>RR_TB</vt:lpstr>
      <vt:lpstr>RR_Vehicle</vt:lpstr>
      <vt:lpstr>Table_Allocators</vt:lpstr>
      <vt:lpstr>Table_Allocators_Demand</vt:lpstr>
      <vt:lpstr>Table_Allocators_Energy</vt:lpstr>
      <vt:lpstr>Table_Allocators_Site</vt:lpstr>
      <vt:lpstr>Table_AllocByFunction</vt:lpstr>
      <vt:lpstr>Table_Classification</vt:lpstr>
      <vt:lpstr>Table_FinalAlloc</vt:lpstr>
      <vt:lpstr>Table_FinalAlloc_D</vt:lpstr>
      <vt:lpstr>Table_FinalAlloc_E</vt:lpstr>
      <vt:lpstr>Table_FinalAlloc_S</vt:lpstr>
      <vt:lpstr>Table_FunctionAllocators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Chymko Consulting</dc:creator>
  <cp:lastModifiedBy>Patrick Bowman</cp:lastModifiedBy>
  <cp:lastPrinted>2025-06-26T18:34:28Z</cp:lastPrinted>
  <dcterms:created xsi:type="dcterms:W3CDTF">2015-02-20T22:21:00Z</dcterms:created>
  <dcterms:modified xsi:type="dcterms:W3CDTF">2025-06-26T18:35:16Z</dcterms:modified>
</cp:coreProperties>
</file>