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filterPrivacy="1"/>
  <xr:revisionPtr revIDLastSave="0" documentId="13_ncr:1_{B59AF8F7-E8F4-486A-9A4A-B09201214871}" xr6:coauthVersionLast="36" xr6:coauthVersionMax="36" xr10:uidLastSave="{00000000-0000-0000-0000-000000000000}"/>
  <bookViews>
    <workbookView xWindow="0" yWindow="0" windowWidth="22260" windowHeight="12645" tabRatio="854" activeTab="2" xr2:uid="{00000000-000D-0000-FFFF-FFFF00000000}"/>
  </bookViews>
  <sheets>
    <sheet name="IR-15" sheetId="10" r:id="rId1"/>
    <sheet name="IR-15 Farms" sheetId="8" r:id="rId2"/>
    <sheet name="IR-15 Other" sheetId="11" r:id="rId3"/>
  </sheets>
  <definedNames>
    <definedName name="_xlnm.Print_Area" localSheetId="0">'IR-15'!$A$1:$N$38,'IR-15'!$P$1:$V$30,'IR-15'!$X$1:$AE$22</definedName>
    <definedName name="_xlnm.Print_Area" localSheetId="1">'IR-15 Farms'!$A$3:$O$33</definedName>
    <definedName name="_xlnm.Print_Area" localSheetId="2">'IR-15 Other'!$Z$3:$AV$21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0" l="1"/>
  <c r="F16" i="10"/>
  <c r="K35" i="10" l="1"/>
  <c r="J35" i="10"/>
  <c r="P28" i="10"/>
  <c r="P27" i="10"/>
  <c r="P26" i="10"/>
  <c r="H35" i="10"/>
  <c r="AC17" i="10" l="1"/>
  <c r="AE17" i="10" s="1"/>
  <c r="AE20" i="10" s="1"/>
  <c r="AA15" i="10"/>
  <c r="AA21" i="10" s="1"/>
  <c r="AS11" i="11" l="1"/>
  <c r="AT11" i="11" s="1"/>
  <c r="AT13" i="11" s="1"/>
  <c r="K28" i="10"/>
  <c r="L22" i="10"/>
  <c r="K22" i="10" s="1"/>
  <c r="L21" i="10"/>
  <c r="H21" i="10" s="1"/>
  <c r="N35" i="10" s="1"/>
  <c r="N37" i="10" s="1"/>
  <c r="D22" i="10"/>
  <c r="D21" i="10"/>
  <c r="L17" i="10"/>
  <c r="AC14" i="10" s="1"/>
  <c r="AE14" i="10" s="1"/>
  <c r="G17" i="10"/>
  <c r="AC13" i="10" s="1"/>
  <c r="AE13" i="10" s="1"/>
  <c r="F17" i="10"/>
  <c r="D17" i="10"/>
  <c r="AC11" i="10" s="1"/>
  <c r="AE11" i="10" s="1"/>
  <c r="L16" i="10"/>
  <c r="G16" i="10"/>
  <c r="AS13" i="11" l="1"/>
  <c r="H17" i="10"/>
  <c r="AC12" i="10"/>
  <c r="AE12" i="10" s="1"/>
  <c r="K32" i="10"/>
  <c r="AC15" i="10"/>
  <c r="J21" i="10"/>
  <c r="K21" i="10" s="1"/>
  <c r="K31" i="10" s="1"/>
  <c r="N17" i="10"/>
  <c r="H16" i="10"/>
  <c r="AE15" i="10" l="1"/>
  <c r="AE21" i="10" s="1"/>
  <c r="J27" i="10"/>
  <c r="J32" i="10" s="1"/>
  <c r="H26" i="10"/>
  <c r="N16" i="10"/>
  <c r="N18" i="10" s="1"/>
  <c r="J31" i="10" l="1"/>
  <c r="H32" i="10"/>
  <c r="N32" i="10" s="1"/>
  <c r="S12" i="10" s="1"/>
  <c r="V12" i="10" s="1"/>
  <c r="H31" i="10"/>
  <c r="N31" i="10" s="1"/>
  <c r="H22" i="11"/>
  <c r="AU11" i="11" s="1"/>
  <c r="AU13" i="11" s="1"/>
  <c r="AV13" i="11" s="1"/>
  <c r="X20" i="11"/>
  <c r="W20" i="11"/>
  <c r="V20" i="11"/>
  <c r="U20" i="11"/>
  <c r="S20" i="11"/>
  <c r="R20" i="11"/>
  <c r="L20" i="11"/>
  <c r="T20" i="11" s="1"/>
  <c r="AB19" i="11"/>
  <c r="X19" i="11"/>
  <c r="W19" i="11"/>
  <c r="V19" i="11"/>
  <c r="U19" i="11"/>
  <c r="S19" i="11"/>
  <c r="R19" i="11"/>
  <c r="L19" i="11"/>
  <c r="T19" i="11" s="1"/>
  <c r="AB18" i="11"/>
  <c r="X18" i="11"/>
  <c r="W18" i="11"/>
  <c r="V18" i="11"/>
  <c r="U18" i="11"/>
  <c r="S18" i="11"/>
  <c r="R18" i="11"/>
  <c r="L18" i="11"/>
  <c r="T18" i="11" s="1"/>
  <c r="X17" i="11"/>
  <c r="W17" i="11"/>
  <c r="V17" i="11"/>
  <c r="U17" i="11"/>
  <c r="S17" i="11"/>
  <c r="R17" i="11"/>
  <c r="L17" i="11"/>
  <c r="T17" i="11" s="1"/>
  <c r="X16" i="11"/>
  <c r="W16" i="11"/>
  <c r="V16" i="11"/>
  <c r="U16" i="11"/>
  <c r="S16" i="11"/>
  <c r="R16" i="11"/>
  <c r="L16" i="11"/>
  <c r="T16" i="11" s="1"/>
  <c r="X15" i="11"/>
  <c r="W15" i="11"/>
  <c r="V15" i="11"/>
  <c r="U15" i="11"/>
  <c r="S15" i="11"/>
  <c r="R15" i="11"/>
  <c r="L15" i="11"/>
  <c r="T15" i="11" s="1"/>
  <c r="AG14" i="11"/>
  <c r="AF14" i="11"/>
  <c r="X14" i="11"/>
  <c r="W14" i="11"/>
  <c r="V14" i="11"/>
  <c r="U14" i="11"/>
  <c r="S14" i="11"/>
  <c r="R14" i="11"/>
  <c r="L14" i="11"/>
  <c r="T14" i="11" s="1"/>
  <c r="AG13" i="11"/>
  <c r="AF13" i="11"/>
  <c r="X13" i="11"/>
  <c r="W13" i="11"/>
  <c r="V13" i="11"/>
  <c r="U13" i="11"/>
  <c r="S13" i="11"/>
  <c r="R13" i="11"/>
  <c r="L13" i="11"/>
  <c r="T13" i="11" s="1"/>
  <c r="AG12" i="11"/>
  <c r="AF12" i="11"/>
  <c r="X12" i="11"/>
  <c r="W12" i="11"/>
  <c r="V12" i="11"/>
  <c r="U12" i="11"/>
  <c r="S12" i="11"/>
  <c r="R12" i="11"/>
  <c r="L12" i="11"/>
  <c r="T12" i="11" s="1"/>
  <c r="AG11" i="11"/>
  <c r="AF11" i="11"/>
  <c r="X11" i="11"/>
  <c r="W11" i="11"/>
  <c r="V11" i="11"/>
  <c r="U11" i="11"/>
  <c r="S11" i="11"/>
  <c r="R11" i="11"/>
  <c r="L11" i="11"/>
  <c r="T11" i="11" s="1"/>
  <c r="X10" i="11"/>
  <c r="W10" i="11"/>
  <c r="V10" i="11"/>
  <c r="U10" i="11"/>
  <c r="S10" i="11"/>
  <c r="R10" i="11"/>
  <c r="L10" i="11"/>
  <c r="T10" i="11" s="1"/>
  <c r="X9" i="11"/>
  <c r="W9" i="11"/>
  <c r="V9" i="11"/>
  <c r="U9" i="11"/>
  <c r="S9" i="11"/>
  <c r="R9" i="11"/>
  <c r="L9" i="11"/>
  <c r="AN14" i="11" l="1"/>
  <c r="AH11" i="11"/>
  <c r="AI11" i="11" s="1"/>
  <c r="AN11" i="11"/>
  <c r="AN12" i="11"/>
  <c r="AN13" i="11"/>
  <c r="AB20" i="11"/>
  <c r="AH12" i="11"/>
  <c r="AI12" i="11" s="1"/>
  <c r="AH13" i="11"/>
  <c r="AI13" i="11" s="1"/>
  <c r="P22" i="11"/>
  <c r="AH14" i="11"/>
  <c r="AI14" i="11" s="1"/>
  <c r="S11" i="10"/>
  <c r="N33" i="10"/>
  <c r="T9" i="11"/>
  <c r="X22" i="11" s="1"/>
  <c r="S13" i="10" l="1"/>
  <c r="V11" i="10"/>
  <c r="V13" i="10" s="1"/>
  <c r="N21" i="8"/>
  <c r="M21" i="8"/>
  <c r="L21" i="8"/>
  <c r="N19" i="8"/>
  <c r="M19" i="8"/>
  <c r="L19" i="8"/>
  <c r="K21" i="8"/>
  <c r="K19" i="8"/>
  <c r="T15" i="10" l="1"/>
  <c r="Q15" i="10"/>
  <c r="F26" i="8"/>
  <c r="E23" i="8"/>
  <c r="N25" i="8" s="1"/>
  <c r="D23" i="8"/>
  <c r="M25" i="8" s="1"/>
  <c r="C23" i="8"/>
  <c r="L25" i="8" s="1"/>
  <c r="B23" i="8"/>
  <c r="K25" i="8" s="1"/>
  <c r="F22" i="8"/>
  <c r="F21" i="8"/>
  <c r="F20" i="8"/>
  <c r="F19" i="8"/>
  <c r="F18" i="8"/>
  <c r="F17" i="8"/>
  <c r="F16" i="8"/>
  <c r="F15" i="8"/>
  <c r="F14" i="8"/>
  <c r="F13" i="8"/>
  <c r="F12" i="8"/>
  <c r="F11" i="8"/>
  <c r="O25" i="8" l="1"/>
  <c r="L27" i="8" s="1"/>
  <c r="N27" i="8"/>
  <c r="F23" i="8"/>
  <c r="L31" i="8" l="1"/>
  <c r="L29" i="8"/>
  <c r="N29" i="8"/>
  <c r="N31" i="8"/>
  <c r="M27" i="8"/>
  <c r="K27" i="8"/>
  <c r="O27" i="8" l="1"/>
  <c r="K29" i="8"/>
  <c r="K31" i="8"/>
  <c r="M31" i="8"/>
  <c r="M29" i="8"/>
  <c r="O29" i="8" l="1"/>
  <c r="O3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at customer meter</t>
        </r>
      </text>
    </comment>
    <comment ref="A10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at customer meter</t>
        </r>
      </text>
    </comment>
    <comment ref="A12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2 cannibis grow ops, 3 fish farms and 2 greenhouse ops from Other &gt; 5000 kWh</t>
        </r>
      </text>
    </comment>
    <comment ref="U12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Cell AR13 in "IR-15 Other"</t>
        </r>
      </text>
    </comment>
    <comment ref="H21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Cell O31 in "IR-15 Farms"</t>
        </r>
      </text>
    </comment>
    <comment ref="J21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Cell O29 in "IR-15 Farms"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2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Includes one farm disconnected in May 2020, that used 8,337 kWh in Jan 2020.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K8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Maximum kWh/h for the month</t>
        </r>
      </text>
    </comment>
    <comment ref="L8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Estimated using premises 96239 and 59414</t>
        </r>
      </text>
    </comment>
    <comment ref="AF8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Meter read at beginning of month, so reading is usage for previous month</t>
        </r>
      </text>
    </comment>
    <comment ref="C21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Meter read at beginning of month, so reading is usage for previous month</t>
        </r>
      </text>
    </comment>
  </commentList>
</comments>
</file>

<file path=xl/sharedStrings.xml><?xml version="1.0" encoding="utf-8"?>
<sst xmlns="http://schemas.openxmlformats.org/spreadsheetml/2006/main" count="279" uniqueCount="155">
  <si>
    <t>Potato</t>
  </si>
  <si>
    <t>Dairy</t>
  </si>
  <si>
    <t>Hog</t>
  </si>
  <si>
    <t>Poultry</t>
  </si>
  <si>
    <t>Farms</t>
  </si>
  <si>
    <t>Total</t>
  </si>
  <si>
    <t>Energy</t>
  </si>
  <si>
    <t>Customer</t>
  </si>
  <si>
    <t>Base</t>
  </si>
  <si>
    <t>revenue</t>
  </si>
  <si>
    <t>( $ x 1,000 )</t>
  </si>
  <si>
    <t>Monthly</t>
  </si>
  <si>
    <t>service</t>
  </si>
  <si>
    <t>Revised</t>
  </si>
  <si>
    <t>NCP</t>
  </si>
  <si>
    <t>kWh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</si>
  <si>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</si>
  <si>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</si>
  <si>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</si>
  <si>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</si>
  <si>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</si>
  <si>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</si>
  <si>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</si>
  <si>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</si>
  <si>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</si>
  <si>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</si>
  <si>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</si>
  <si>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</si>
  <si>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Small Industrial</t>
  </si>
  <si>
    <t>Rate 110 and 130 Farm energy sales</t>
  </si>
  <si>
    <t>month</t>
  </si>
  <si>
    <t># of sites</t>
  </si>
  <si>
    <t>From "2020 Cost Allocation Study farm data saved.xlsx"</t>
  </si>
  <si>
    <t>Number of accounts</t>
  </si>
  <si>
    <t>total kWh</t>
  </si>
  <si>
    <t>"Dairy</t>
  </si>
  <si>
    <t>monthly</t>
  </si>
  <si>
    <t>bills.xlsx"</t>
  </si>
  <si>
    <t>"Poultry</t>
  </si>
  <si>
    <t>"Hog</t>
  </si>
  <si>
    <t>"Potato</t>
  </si>
  <si>
    <t>First blk kWh as % of total kWh</t>
  </si>
  <si>
    <t>Total kWh / kW demand</t>
  </si>
  <si>
    <t>From Farm hourly data meters - July 2018 to June 2019</t>
  </si>
  <si>
    <t>total billing demand ( kW-mo )</t>
  </si>
  <si>
    <t>first blk kWh at 200 kWh / kW</t>
  </si>
  <si>
    <t>Total Farm kWh for 2020</t>
  </si>
  <si>
    <t>Weighting based on 2020 kWh</t>
  </si>
  <si>
    <t>Weighted first block kWh %</t>
  </si>
  <si>
    <t>Weighted total kWh / kW</t>
  </si>
  <si>
    <t>Totals</t>
  </si>
  <si>
    <t>Month</t>
  </si>
  <si>
    <t>Kool</t>
  </si>
  <si>
    <t>Breeze</t>
  </si>
  <si>
    <t>Schurman</t>
  </si>
  <si>
    <t>Krista</t>
  </si>
  <si>
    <t>Ocean</t>
  </si>
  <si>
    <t>Trout</t>
  </si>
  <si>
    <t>Farms Inc</t>
  </si>
  <si>
    <t>Aqua</t>
  </si>
  <si>
    <t>Bounty</t>
  </si>
  <si>
    <t>Canada's</t>
  </si>
  <si>
    <t>Island</t>
  </si>
  <si>
    <t>Garden</t>
  </si>
  <si>
    <t>15 minute metered demand  ( kW )</t>
  </si>
  <si>
    <t>First block kWh at 200 kWh / kW demand</t>
  </si>
  <si>
    <t>total</t>
  </si>
  <si>
    <t>Premise 92365:</t>
  </si>
  <si>
    <t>kW for 1CP hour</t>
  </si>
  <si>
    <t>kWh for December</t>
  </si>
  <si>
    <t>Total group:</t>
  </si>
  <si>
    <t>estimated kW for 1CP hour</t>
  </si>
  <si>
    <t>Day</t>
  </si>
  <si>
    <t>kW</t>
  </si>
  <si>
    <t>hr ending</t>
  </si>
  <si>
    <t>Premise 92365</t>
  </si>
  <si>
    <t>Estimated</t>
  </si>
  <si>
    <t>Combined</t>
  </si>
  <si>
    <t>Total group</t>
  </si>
  <si>
    <t>Jan 2021</t>
  </si>
  <si>
    <t>Monthly billed kWh</t>
  </si>
  <si>
    <t>First</t>
  </si>
  <si>
    <t>Second</t>
  </si>
  <si>
    <t>Demand</t>
  </si>
  <si>
    <t>Block</t>
  </si>
  <si>
    <t>( $ / kWh )</t>
  </si>
  <si>
    <t>2020 CAS average costs</t>
  </si>
  <si>
    <t>1CP</t>
  </si>
  <si>
    <t>2020 fully allocated costs:</t>
  </si>
  <si>
    <t>2020 allocator quantities:</t>
  </si>
  <si>
    <t xml:space="preserve">  - 7 accounts from "Other"</t>
  </si>
  <si>
    <t>2020 billing determinents</t>
  </si>
  <si>
    <t>Suggested Farm Rate design:</t>
  </si>
  <si>
    <t xml:space="preserve">  - First block energy (ave Energy cost + 1/2 Demand costs)</t>
  </si>
  <si>
    <t>( 200 kWh / kW )</t>
  </si>
  <si>
    <t xml:space="preserve">  - Second block energy (average Energy cost)</t>
  </si>
  <si>
    <t>Check revenue from suggested charges:</t>
  </si>
  <si>
    <t>Billing determinents</t>
  </si>
  <si>
    <t>Revenue  ( $ x 1,000 )</t>
  </si>
  <si>
    <t>energy</t>
  </si>
  <si>
    <t>block</t>
  </si>
  <si>
    <t>2020 Residential Rate charges</t>
  </si>
  <si>
    <t>( $ / mo )</t>
  </si>
  <si>
    <t>Farm Rate</t>
  </si>
  <si>
    <t>proposed</t>
  </si>
  <si>
    <t>under</t>
  </si>
  <si>
    <t>2020 CAS</t>
  </si>
  <si>
    <t>from</t>
  </si>
  <si>
    <t>( $000 )</t>
  </si>
  <si>
    <t>2017 base revenue  ( $000 )</t>
  </si>
  <si>
    <t>RTC ratio  ( % )</t>
  </si>
  <si>
    <t xml:space="preserve">  - 7 accounts from "Other &gt; 5,000 kWh"</t>
  </si>
  <si>
    <t xml:space="preserve">  - Demand charge (Customer costs + 1/2 Demand costs)</t>
  </si>
  <si>
    <t>Increase</t>
  </si>
  <si>
    <t>Increase of</t>
  </si>
  <si>
    <t>$ x 1,000 corresponds to a</t>
  </si>
  <si>
    <t>% increase on average</t>
  </si>
  <si>
    <t>Table IR-15b:  Increase in bills under suggested Farm Rate</t>
  </si>
  <si>
    <t>Table IR-15a: Design of a Farm Rate</t>
  </si>
  <si>
    <t xml:space="preserve">  - 2020 Cost Allocation Study "Farms"</t>
  </si>
  <si>
    <t>($ x 1,000)</t>
  </si>
  <si>
    <t>($ / kW-yr)</t>
  </si>
  <si>
    <t>($ / year)</t>
  </si>
  <si>
    <t>(kW)</t>
  </si>
  <si>
    <t>Ave # bills</t>
  </si>
  <si>
    <t>($ / MWh)</t>
  </si>
  <si>
    <t>(MWh)</t>
  </si>
  <si>
    <t>(kW-mo)</t>
  </si>
  <si>
    <t># of bills</t>
  </si>
  <si>
    <t>($ / kW-mo)</t>
  </si>
  <si>
    <t xml:space="preserve">  - 2020 CAS "Farms"</t>
  </si>
  <si>
    <t>Customer-related</t>
  </si>
  <si>
    <t>NCP Demand-related</t>
  </si>
  <si>
    <t>Energy-related</t>
  </si>
  <si>
    <t>1CP Demand-related</t>
  </si>
  <si>
    <t>2020 allocated costs</t>
  </si>
  <si>
    <t>&gt; 5,000 kWh"</t>
  </si>
  <si>
    <t>accounts</t>
  </si>
  <si>
    <t>From</t>
  </si>
  <si>
    <t>Less 7 "Other</t>
  </si>
  <si>
    <t>System 1CP - hour ending 18:00 December 16. 2020</t>
  </si>
  <si>
    <t>Farms NCPs - 2020</t>
  </si>
  <si>
    <t>maximum</t>
  </si>
  <si>
    <t>Premise 92365 - 2020</t>
  </si>
  <si>
    <t>14:00</t>
  </si>
  <si>
    <t>8:00</t>
  </si>
  <si>
    <t>Group</t>
  </si>
  <si>
    <t>Table IR-15c:  Year round Residential subset in 2020 CAS</t>
  </si>
  <si>
    <t>Decrease in revenue due to Farm Rate</t>
  </si>
  <si>
    <t>Revenue using 2020 SI Rates</t>
  </si>
  <si>
    <t>RTC using SI Rate</t>
  </si>
  <si>
    <t>Farm Rates</t>
  </si>
  <si>
    <t xml:space="preserve"> (uses first block based on 100 kW instead of 200 kW)</t>
  </si>
  <si>
    <t>(basic revenue rates only)</t>
  </si>
  <si>
    <t>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</si>
</sst>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  <numFmt numFmtId="167" formatCode="_(* #,##0.000_);_(* \(#,##0.000\);_(* &quot;-&quot;??_);_(@_)"/>
    <numFmt numFmtId="168" formatCode="_(&quot;$&quot;* #,##0.0000_);_(&quot;$&quot;* \(#,##0.00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0" xfId="1" applyNumberFormat="1" applyFont="1"/>
    <xf numFmtId="164" fontId="3" fillId="0" borderId="0" xfId="1" applyNumberFormat="1" applyFont="1"/>
    <xf numFmtId="165" fontId="3" fillId="0" borderId="2" xfId="1" applyNumberFormat="1" applyFont="1" applyBorder="1"/>
    <xf numFmtId="165" fontId="3" fillId="0" borderId="0" xfId="0" applyNumberFormat="1" applyFont="1"/>
    <xf numFmtId="167" fontId="3" fillId="0" borderId="0" xfId="1" applyNumberFormat="1" applyFont="1"/>
    <xf numFmtId="167" fontId="3" fillId="0" borderId="0" xfId="0" applyNumberFormat="1" applyFont="1"/>
    <xf numFmtId="164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3" fontId="3" fillId="0" borderId="0" xfId="0" applyNumberFormat="1" applyFont="1"/>
    <xf numFmtId="43" fontId="3" fillId="0" borderId="0" xfId="0" applyNumberFormat="1" applyFont="1" applyAlignment="1">
      <alignment horizontal="center"/>
    </xf>
    <xf numFmtId="43" fontId="3" fillId="0" borderId="0" xfId="1" applyFont="1"/>
    <xf numFmtId="6" fontId="3" fillId="0" borderId="1" xfId="0" quotePrefix="1" applyNumberFormat="1" applyFont="1" applyBorder="1" applyAlignment="1">
      <alignment horizontal="center"/>
    </xf>
    <xf numFmtId="0" fontId="3" fillId="0" borderId="1" xfId="0" applyFont="1" applyBorder="1"/>
    <xf numFmtId="43" fontId="3" fillId="0" borderId="0" xfId="1" applyFont="1" applyAlignment="1">
      <alignment horizontal="center"/>
    </xf>
    <xf numFmtId="6" fontId="3" fillId="0" borderId="0" xfId="0" quotePrefix="1" applyNumberFormat="1" applyFont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165" fontId="3" fillId="0" borderId="0" xfId="0" applyNumberFormat="1" applyFont="1" applyBorder="1"/>
    <xf numFmtId="165" fontId="3" fillId="0" borderId="2" xfId="0" applyNumberFormat="1" applyFont="1" applyBorder="1"/>
    <xf numFmtId="166" fontId="3" fillId="0" borderId="0" xfId="1" applyNumberFormat="1" applyFo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3" fontId="3" fillId="0" borderId="0" xfId="1" applyNumberFormat="1" applyFont="1"/>
    <xf numFmtId="0" fontId="4" fillId="0" borderId="14" xfId="0" applyFont="1" applyBorder="1" applyAlignment="1">
      <alignment horizontal="center"/>
    </xf>
    <xf numFmtId="0" fontId="4" fillId="0" borderId="0" xfId="0" applyFont="1"/>
    <xf numFmtId="0" fontId="4" fillId="0" borderId="10" xfId="0" applyFont="1" applyBorder="1" applyAlignment="1">
      <alignment horizontal="center"/>
    </xf>
    <xf numFmtId="44" fontId="4" fillId="0" borderId="11" xfId="2" applyNumberFormat="1" applyFont="1" applyBorder="1"/>
    <xf numFmtId="44" fontId="4" fillId="0" borderId="11" xfId="2" applyFont="1" applyBorder="1"/>
    <xf numFmtId="168" fontId="4" fillId="0" borderId="11" xfId="2" applyNumberFormat="1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5" fontId="3" fillId="0" borderId="3" xfId="1" applyNumberFormat="1" applyFont="1" applyBorder="1"/>
    <xf numFmtId="0" fontId="3" fillId="0" borderId="4" xfId="0" applyFont="1" applyBorder="1"/>
    <xf numFmtId="165" fontId="3" fillId="0" borderId="4" xfId="1" applyNumberFormat="1" applyFont="1" applyBorder="1"/>
    <xf numFmtId="165" fontId="3" fillId="0" borderId="5" xfId="0" applyNumberFormat="1" applyFont="1" applyBorder="1"/>
    <xf numFmtId="0" fontId="3" fillId="0" borderId="6" xfId="0" applyFont="1" applyBorder="1"/>
    <xf numFmtId="0" fontId="3" fillId="0" borderId="7" xfId="0" applyFont="1" applyBorder="1"/>
    <xf numFmtId="0" fontId="3" fillId="2" borderId="8" xfId="0" applyFont="1" applyFill="1" applyBorder="1"/>
    <xf numFmtId="0" fontId="3" fillId="2" borderId="1" xfId="0" applyFont="1" applyFill="1" applyBorder="1"/>
    <xf numFmtId="43" fontId="3" fillId="2" borderId="9" xfId="0" applyNumberFormat="1" applyFont="1" applyFill="1" applyBorder="1"/>
    <xf numFmtId="1" fontId="3" fillId="0" borderId="0" xfId="0" applyNumberFormat="1" applyFont="1"/>
    <xf numFmtId="20" fontId="3" fillId="0" borderId="0" xfId="0" applyNumberFormat="1" applyFont="1" applyAlignment="1">
      <alignment horizontal="center"/>
    </xf>
    <xf numFmtId="165" fontId="3" fillId="0" borderId="0" xfId="1" applyNumberFormat="1" applyFont="1" applyFill="1"/>
    <xf numFmtId="165" fontId="3" fillId="0" borderId="0" xfId="1" quotePrefix="1" applyNumberFormat="1" applyFont="1" applyFill="1"/>
    <xf numFmtId="165" fontId="3" fillId="2" borderId="0" xfId="1" applyNumberFormat="1" applyFont="1" applyFill="1"/>
    <xf numFmtId="165" fontId="3" fillId="0" borderId="0" xfId="1" quotePrefix="1" applyNumberFormat="1" applyFont="1"/>
    <xf numFmtId="0" fontId="3" fillId="0" borderId="0" xfId="0" quotePrefix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37"/>
  <sheetViews>
    <sheetView workbookViewId="0">
      <selection activeCell="F39" sqref="F39"/>
    </sheetView>
  </sheetViews>
  <sheetFormatPr defaultRowHeight="14.25" x14ac:dyDescent="0.2"/>
  <cols>
    <col min="1" max="3" width="9.140625" style="1"/>
    <col min="4" max="4" width="10.7109375" style="1" customWidth="1"/>
    <col min="5" max="5" width="1.7109375" style="1" customWidth="1"/>
    <col min="6" max="8" width="10.7109375" style="1" customWidth="1"/>
    <col min="9" max="9" width="1.7109375" style="1" customWidth="1"/>
    <col min="10" max="12" width="10.7109375" style="1" customWidth="1"/>
    <col min="13" max="13" width="1.7109375" style="1" customWidth="1"/>
    <col min="14" max="14" width="10.7109375" style="1" customWidth="1"/>
    <col min="15" max="15" width="9.140625" style="1"/>
    <col min="16" max="16" width="11.7109375" style="1" customWidth="1"/>
    <col min="17" max="17" width="14.85546875" style="1" bestFit="1" customWidth="1"/>
    <col min="18" max="19" width="11.7109375" style="1" customWidth="1"/>
    <col min="20" max="22" width="10.7109375" style="1" customWidth="1"/>
    <col min="23" max="26" width="9.140625" style="1"/>
    <col min="27" max="27" width="10.7109375" style="1" customWidth="1"/>
    <col min="28" max="28" width="1.7109375" style="1" customWidth="1"/>
    <col min="29" max="29" width="10.7109375" style="1" customWidth="1"/>
    <col min="30" max="30" width="1.7109375" style="1" customWidth="1"/>
    <col min="31" max="31" width="10.7109375" style="1" customWidth="1"/>
    <col min="32" max="16384" width="9.140625" style="1"/>
  </cols>
  <sheetData>
    <row r="1" spans="1:31" x14ac:dyDescent="0.2">
      <c r="H1" s="4" t="s">
        <v>118</v>
      </c>
      <c r="J1" s="4"/>
      <c r="K1" s="4"/>
    </row>
    <row r="2" spans="1:31" x14ac:dyDescent="0.2">
      <c r="J2" s="4"/>
      <c r="K2" s="4"/>
    </row>
    <row r="3" spans="1:31" x14ac:dyDescent="0.2">
      <c r="F3" s="3"/>
      <c r="G3" s="3" t="s">
        <v>83</v>
      </c>
      <c r="H3" s="3"/>
      <c r="J3" s="3"/>
      <c r="K3" s="3" t="s">
        <v>6</v>
      </c>
      <c r="L3" s="3"/>
      <c r="N3" s="4"/>
      <c r="S3" s="4" t="s">
        <v>117</v>
      </c>
      <c r="AA3" s="13" t="s">
        <v>147</v>
      </c>
    </row>
    <row r="4" spans="1:31" x14ac:dyDescent="0.2">
      <c r="F4" s="4"/>
      <c r="G4" s="4"/>
      <c r="H4" s="4"/>
      <c r="J4" s="4" t="s">
        <v>81</v>
      </c>
      <c r="K4" s="4" t="s">
        <v>82</v>
      </c>
      <c r="L4" s="4"/>
      <c r="N4" s="4"/>
      <c r="S4" s="4">
        <v>2020</v>
      </c>
      <c r="AB4" s="14"/>
      <c r="AC4" s="13"/>
      <c r="AD4" s="14"/>
    </row>
    <row r="5" spans="1:31" ht="15" thickBot="1" x14ac:dyDescent="0.25">
      <c r="D5" s="5" t="s">
        <v>7</v>
      </c>
      <c r="E5" s="4"/>
      <c r="F5" s="5" t="s">
        <v>87</v>
      </c>
      <c r="G5" s="5" t="s">
        <v>14</v>
      </c>
      <c r="H5" s="5" t="s">
        <v>5</v>
      </c>
      <c r="I5" s="4"/>
      <c r="J5" s="5" t="s">
        <v>84</v>
      </c>
      <c r="K5" s="5" t="s">
        <v>84</v>
      </c>
      <c r="L5" s="5" t="s">
        <v>5</v>
      </c>
      <c r="N5" s="5" t="s">
        <v>5</v>
      </c>
      <c r="S5" s="4" t="s">
        <v>9</v>
      </c>
      <c r="T5" s="4" t="s">
        <v>8</v>
      </c>
      <c r="U5" s="4"/>
      <c r="V5" s="4"/>
      <c r="AA5" s="2"/>
      <c r="AB5" s="2"/>
      <c r="AC5" s="3" t="s">
        <v>135</v>
      </c>
      <c r="AD5" s="2"/>
      <c r="AE5" s="3"/>
    </row>
    <row r="6" spans="1:31" x14ac:dyDescent="0.2">
      <c r="D6" s="13"/>
      <c r="E6" s="4"/>
      <c r="F6" s="4"/>
      <c r="G6" s="4"/>
      <c r="H6" s="13"/>
      <c r="I6" s="4"/>
      <c r="J6" s="13" t="s">
        <v>94</v>
      </c>
      <c r="K6" s="13"/>
      <c r="L6" s="13"/>
      <c r="N6" s="13"/>
      <c r="S6" s="4" t="s">
        <v>105</v>
      </c>
      <c r="T6" s="4" t="s">
        <v>9</v>
      </c>
      <c r="U6" s="4" t="s">
        <v>76</v>
      </c>
      <c r="V6" s="4"/>
      <c r="AA6" s="4"/>
      <c r="AC6" s="4" t="s">
        <v>139</v>
      </c>
      <c r="AE6" s="4"/>
    </row>
    <row r="7" spans="1:31" x14ac:dyDescent="0.2">
      <c r="D7" s="13" t="s">
        <v>122</v>
      </c>
      <c r="E7" s="4"/>
      <c r="F7" s="4" t="s">
        <v>121</v>
      </c>
      <c r="G7" s="4" t="s">
        <v>121</v>
      </c>
      <c r="H7" s="4" t="s">
        <v>121</v>
      </c>
      <c r="I7" s="4"/>
      <c r="J7" s="13"/>
      <c r="K7" s="13"/>
      <c r="L7" s="13" t="s">
        <v>125</v>
      </c>
      <c r="S7" s="4" t="s">
        <v>104</v>
      </c>
      <c r="T7" s="4" t="s">
        <v>107</v>
      </c>
      <c r="U7" s="4">
        <v>2020</v>
      </c>
      <c r="V7" s="4"/>
      <c r="AA7" s="4" t="s">
        <v>138</v>
      </c>
      <c r="AC7" s="4" t="s">
        <v>136</v>
      </c>
      <c r="AE7" s="4"/>
    </row>
    <row r="8" spans="1:31" x14ac:dyDescent="0.2">
      <c r="A8" s="1" t="s">
        <v>86</v>
      </c>
      <c r="D8" s="9">
        <v>312.45940264235293</v>
      </c>
      <c r="F8" s="15">
        <v>222.05191946459172</v>
      </c>
      <c r="G8" s="16">
        <v>72.397650706345544</v>
      </c>
      <c r="H8" s="4"/>
      <c r="L8" s="17">
        <v>82.453246581995444</v>
      </c>
      <c r="S8" s="4" t="s">
        <v>103</v>
      </c>
      <c r="T8" s="4" t="s">
        <v>106</v>
      </c>
      <c r="U8" s="4" t="s">
        <v>9</v>
      </c>
      <c r="V8" s="4" t="s">
        <v>113</v>
      </c>
      <c r="AA8" s="4" t="s">
        <v>106</v>
      </c>
      <c r="AC8" s="4" t="s">
        <v>137</v>
      </c>
      <c r="AE8" s="4" t="s">
        <v>13</v>
      </c>
    </row>
    <row r="9" spans="1:31" ht="15" thickBot="1" x14ac:dyDescent="0.25">
      <c r="D9" s="9"/>
      <c r="F9" s="15"/>
      <c r="G9" s="16"/>
      <c r="H9" s="4"/>
      <c r="L9" s="17"/>
      <c r="S9" s="4" t="s">
        <v>10</v>
      </c>
      <c r="T9" s="4" t="s">
        <v>10</v>
      </c>
      <c r="U9" s="4" t="s">
        <v>10</v>
      </c>
      <c r="V9" s="4" t="s">
        <v>10</v>
      </c>
      <c r="AA9" s="18" t="s">
        <v>108</v>
      </c>
      <c r="AB9" s="19"/>
      <c r="AC9" s="18" t="s">
        <v>108</v>
      </c>
      <c r="AD9" s="19"/>
      <c r="AE9" s="18" t="s">
        <v>108</v>
      </c>
    </row>
    <row r="10" spans="1:31" x14ac:dyDescent="0.2">
      <c r="A10" s="1" t="s">
        <v>89</v>
      </c>
      <c r="D10" s="9" t="s">
        <v>124</v>
      </c>
      <c r="F10" s="16" t="s">
        <v>123</v>
      </c>
      <c r="G10" s="16" t="s">
        <v>123</v>
      </c>
      <c r="H10" s="4"/>
      <c r="L10" s="20" t="s">
        <v>126</v>
      </c>
      <c r="AA10" s="21"/>
      <c r="AB10" s="14"/>
      <c r="AC10" s="21"/>
      <c r="AD10" s="14"/>
      <c r="AE10" s="21"/>
    </row>
    <row r="11" spans="1:31" x14ac:dyDescent="0.2">
      <c r="A11" s="1" t="s">
        <v>130</v>
      </c>
      <c r="D11" s="9">
        <v>523</v>
      </c>
      <c r="F11" s="6">
        <v>8166</v>
      </c>
      <c r="G11" s="22">
        <v>10288</v>
      </c>
      <c r="H11" s="4"/>
      <c r="L11" s="6">
        <v>47023</v>
      </c>
      <c r="P11" s="1" t="s">
        <v>119</v>
      </c>
      <c r="S11" s="9">
        <f>N31</f>
        <v>6682.5782801072919</v>
      </c>
      <c r="T11" s="6">
        <v>5742</v>
      </c>
      <c r="U11" s="6"/>
      <c r="V11" s="6">
        <f>S11-T11</f>
        <v>940.5782801072919</v>
      </c>
      <c r="X11" s="1" t="s">
        <v>131</v>
      </c>
      <c r="AA11" s="23">
        <v>19212</v>
      </c>
      <c r="AC11" s="6">
        <f>D17</f>
        <v>2.1872158184964707</v>
      </c>
      <c r="AD11" s="6"/>
      <c r="AE11" s="6">
        <f>AA11-AC11</f>
        <v>19209.812784181504</v>
      </c>
    </row>
    <row r="12" spans="1:31" x14ac:dyDescent="0.2">
      <c r="A12" s="1" t="s">
        <v>90</v>
      </c>
      <c r="D12" s="6">
        <v>7</v>
      </c>
      <c r="F12" s="6">
        <v>1864</v>
      </c>
      <c r="G12" s="22">
        <v>4026</v>
      </c>
      <c r="H12" s="4"/>
      <c r="L12" s="6">
        <v>14930</v>
      </c>
      <c r="P12" s="1" t="s">
        <v>111</v>
      </c>
      <c r="S12" s="24">
        <f>N32</f>
        <v>1854.7319132280027</v>
      </c>
      <c r="T12" s="6"/>
      <c r="U12" s="6">
        <v>1712</v>
      </c>
      <c r="V12" s="8">
        <f>S12-U12</f>
        <v>142.73191322800267</v>
      </c>
      <c r="X12" s="1" t="s">
        <v>134</v>
      </c>
      <c r="AA12" s="23">
        <v>31801</v>
      </c>
      <c r="AC12" s="6">
        <f>F17</f>
        <v>413.904777881999</v>
      </c>
      <c r="AD12" s="6"/>
      <c r="AE12" s="6">
        <f t="shared" ref="AE12:AE14" si="0">AA12-AC12</f>
        <v>31387.095222118001</v>
      </c>
    </row>
    <row r="13" spans="1:31" x14ac:dyDescent="0.2">
      <c r="D13" s="9"/>
      <c r="F13" s="15"/>
      <c r="G13" s="16"/>
      <c r="H13" s="4"/>
      <c r="L13" s="17"/>
      <c r="S13" s="9">
        <f>S11+S12</f>
        <v>8537.3101933352955</v>
      </c>
      <c r="V13" s="9">
        <f>V11+V12</f>
        <v>1083.3101933352946</v>
      </c>
      <c r="X13" s="1" t="s">
        <v>132</v>
      </c>
      <c r="AA13" s="23">
        <v>10368</v>
      </c>
      <c r="AC13" s="6">
        <f>G17</f>
        <v>291.47294174374713</v>
      </c>
      <c r="AD13" s="6"/>
      <c r="AE13" s="6">
        <f t="shared" si="0"/>
        <v>10076.527058256253</v>
      </c>
    </row>
    <row r="14" spans="1:31" x14ac:dyDescent="0.2">
      <c r="G14" s="4"/>
      <c r="H14" s="4"/>
      <c r="L14" s="25"/>
      <c r="X14" s="1" t="s">
        <v>133</v>
      </c>
      <c r="AA14" s="24">
        <v>49841</v>
      </c>
      <c r="AC14" s="8">
        <f>L17</f>
        <v>1231.0269714691922</v>
      </c>
      <c r="AD14" s="6"/>
      <c r="AE14" s="8">
        <f t="shared" si="0"/>
        <v>48609.973028530811</v>
      </c>
    </row>
    <row r="15" spans="1:31" x14ac:dyDescent="0.2">
      <c r="A15" s="1" t="s">
        <v>88</v>
      </c>
      <c r="D15" s="4" t="s">
        <v>120</v>
      </c>
      <c r="F15" s="4" t="s">
        <v>120</v>
      </c>
      <c r="G15" s="4" t="s">
        <v>120</v>
      </c>
      <c r="H15" s="4" t="s">
        <v>120</v>
      </c>
      <c r="L15" s="4" t="s">
        <v>120</v>
      </c>
      <c r="N15" s="4" t="s">
        <v>120</v>
      </c>
      <c r="P15" s="1" t="s">
        <v>114</v>
      </c>
      <c r="Q15" s="9">
        <f>V13</f>
        <v>1083.3101933352946</v>
      </c>
      <c r="R15" s="1" t="s">
        <v>115</v>
      </c>
      <c r="T15" s="7">
        <f>100*V13/S13</f>
        <v>12.689127708877059</v>
      </c>
      <c r="U15" s="1" t="s">
        <v>116</v>
      </c>
      <c r="AA15" s="6">
        <f>SUM(AA11:AA14)</f>
        <v>111222</v>
      </c>
      <c r="AC15" s="6">
        <f>SUM(AC11:AC14)</f>
        <v>1938.5919069134347</v>
      </c>
      <c r="AD15" s="6"/>
      <c r="AE15" s="6">
        <f>SUM(AE11:AE14)</f>
        <v>109283.40809308656</v>
      </c>
    </row>
    <row r="16" spans="1:31" x14ac:dyDescent="0.2">
      <c r="A16" s="1" t="s">
        <v>130</v>
      </c>
      <c r="D16" s="6">
        <f>D8*D11/1000</f>
        <v>163.41626758195059</v>
      </c>
      <c r="F16" s="6">
        <f>F8*F11/1000</f>
        <v>1813.2759743478559</v>
      </c>
      <c r="G16" s="6">
        <f>G8*G11/1000</f>
        <v>744.827030466883</v>
      </c>
      <c r="H16" s="22">
        <f>F16+G16</f>
        <v>2558.1030048147391</v>
      </c>
      <c r="J16" s="6"/>
      <c r="K16" s="6"/>
      <c r="L16" s="6">
        <f>L8*L11/1000</f>
        <v>3877.1990140251719</v>
      </c>
      <c r="N16" s="6">
        <f>D16+H16+L16</f>
        <v>6598.7182864218612</v>
      </c>
      <c r="AA16" s="6"/>
      <c r="AC16" s="6"/>
      <c r="AD16" s="6"/>
      <c r="AE16" s="6"/>
    </row>
    <row r="17" spans="1:31" x14ac:dyDescent="0.2">
      <c r="A17" s="1" t="s">
        <v>90</v>
      </c>
      <c r="D17" s="6">
        <f>D8*D12/1000</f>
        <v>2.1872158184964707</v>
      </c>
      <c r="F17" s="6">
        <f t="shared" ref="F17:G17" si="1">F8*F12/1000</f>
        <v>413.904777881999</v>
      </c>
      <c r="G17" s="6">
        <f t="shared" si="1"/>
        <v>291.47294174374713</v>
      </c>
      <c r="H17" s="22">
        <f>F17+G17</f>
        <v>705.37771962574607</v>
      </c>
      <c r="L17" s="6">
        <f>L8*L12/1000</f>
        <v>1231.0269714691922</v>
      </c>
      <c r="N17" s="8">
        <f>D17+H17+L17</f>
        <v>1938.5919069134347</v>
      </c>
      <c r="X17" s="1" t="s">
        <v>109</v>
      </c>
      <c r="AA17" s="6">
        <v>103055</v>
      </c>
      <c r="AC17" s="6">
        <f>U12</f>
        <v>1712</v>
      </c>
      <c r="AD17" s="6"/>
      <c r="AE17" s="6">
        <f t="shared" ref="AE17" si="2">AA17-AC17</f>
        <v>101343</v>
      </c>
    </row>
    <row r="18" spans="1:31" x14ac:dyDescent="0.2">
      <c r="D18" s="9"/>
      <c r="G18" s="4"/>
      <c r="H18" s="4"/>
      <c r="L18" s="25"/>
      <c r="N18" s="9">
        <f>N16+N17</f>
        <v>8537.3101933352955</v>
      </c>
      <c r="AA18" s="7"/>
      <c r="AC18" s="6"/>
      <c r="AD18" s="6"/>
      <c r="AE18" s="7"/>
    </row>
    <row r="19" spans="1:31" x14ac:dyDescent="0.2">
      <c r="G19" s="4"/>
      <c r="H19" s="4"/>
      <c r="L19" s="25"/>
      <c r="X19" s="1" t="s">
        <v>148</v>
      </c>
      <c r="AA19" s="7"/>
      <c r="AC19" s="6"/>
      <c r="AD19" s="6"/>
      <c r="AE19" s="8">
        <v>500</v>
      </c>
    </row>
    <row r="20" spans="1:31" x14ac:dyDescent="0.2">
      <c r="A20" s="1" t="s">
        <v>91</v>
      </c>
      <c r="D20" s="4" t="s">
        <v>128</v>
      </c>
      <c r="H20" s="4" t="s">
        <v>127</v>
      </c>
      <c r="J20" s="20" t="s">
        <v>126</v>
      </c>
      <c r="K20" s="20" t="s">
        <v>126</v>
      </c>
      <c r="L20" s="20" t="s">
        <v>126</v>
      </c>
      <c r="AE20" s="6">
        <f>AE17-AE19</f>
        <v>100843</v>
      </c>
    </row>
    <row r="21" spans="1:31" x14ac:dyDescent="0.2">
      <c r="A21" s="1" t="s">
        <v>130</v>
      </c>
      <c r="D21" s="6">
        <f>D11*12</f>
        <v>6276</v>
      </c>
      <c r="H21" s="6">
        <f>L21/0.28</f>
        <v>167939.28571428571</v>
      </c>
      <c r="J21" s="6">
        <f>L21*0.669</f>
        <v>31458.387000000002</v>
      </c>
      <c r="K21" s="6">
        <f>L21-J21</f>
        <v>15564.612999999998</v>
      </c>
      <c r="L21" s="6">
        <f>L11</f>
        <v>47023</v>
      </c>
      <c r="X21" s="1" t="s">
        <v>110</v>
      </c>
      <c r="AA21" s="7">
        <f>100*AA17/AA15</f>
        <v>92.657028285770807</v>
      </c>
      <c r="AE21" s="7">
        <f>100*AE20/AE15</f>
        <v>92.276587781836838</v>
      </c>
    </row>
    <row r="22" spans="1:31" x14ac:dyDescent="0.2">
      <c r="A22" s="1" t="s">
        <v>90</v>
      </c>
      <c r="D22" s="6">
        <f>D12*12</f>
        <v>84</v>
      </c>
      <c r="H22" s="6">
        <v>36249</v>
      </c>
      <c r="J22" s="6">
        <v>7221</v>
      </c>
      <c r="K22" s="6">
        <f>L22-J22</f>
        <v>7709</v>
      </c>
      <c r="L22" s="6">
        <f>L12</f>
        <v>14930</v>
      </c>
    </row>
    <row r="23" spans="1:31" ht="15" x14ac:dyDescent="0.25">
      <c r="D23" s="6"/>
      <c r="H23" s="6"/>
      <c r="J23" s="6"/>
      <c r="K23" s="6"/>
      <c r="L23" s="6"/>
      <c r="P23" s="26">
        <v>2020</v>
      </c>
      <c r="Q23" s="27"/>
    </row>
    <row r="24" spans="1:31" ht="15" x14ac:dyDescent="0.25">
      <c r="D24" s="28"/>
      <c r="H24" s="6"/>
      <c r="J24" s="6"/>
      <c r="K24" s="6"/>
      <c r="L24" s="6"/>
      <c r="P24" s="29" t="s">
        <v>76</v>
      </c>
      <c r="Q24" s="29" t="s">
        <v>28</v>
      </c>
    </row>
    <row r="25" spans="1:31" ht="15" x14ac:dyDescent="0.25">
      <c r="A25" s="30" t="s">
        <v>92</v>
      </c>
      <c r="D25" s="6"/>
      <c r="H25" s="6" t="s">
        <v>129</v>
      </c>
      <c r="J25" s="6" t="s">
        <v>125</v>
      </c>
      <c r="K25" s="6" t="s">
        <v>125</v>
      </c>
      <c r="L25" s="6"/>
      <c r="P25" s="31" t="s">
        <v>151</v>
      </c>
      <c r="Q25" s="31" t="s">
        <v>154</v>
      </c>
    </row>
    <row r="26" spans="1:31" ht="15" x14ac:dyDescent="0.25">
      <c r="A26" s="1" t="s">
        <v>112</v>
      </c>
      <c r="D26" s="6"/>
      <c r="H26" s="28">
        <f>(D16+D17+H16*0.5+H17*0.5)*1000/(H21+H22)</f>
        <v>8.802384717288124</v>
      </c>
      <c r="J26" s="6"/>
      <c r="K26" s="6"/>
      <c r="L26" s="6"/>
      <c r="P26" s="32">
        <f>+H26</f>
        <v>8.802384717288124</v>
      </c>
      <c r="Q26" s="33">
        <v>7.46</v>
      </c>
    </row>
    <row r="27" spans="1:31" ht="15" x14ac:dyDescent="0.25">
      <c r="A27" s="1" t="s">
        <v>93</v>
      </c>
      <c r="D27" s="6"/>
      <c r="H27" s="6"/>
      <c r="J27" s="28">
        <f>L8+(H16*0.5+H17*0.5)*1000/(J21+J22)</f>
        <v>124.63955016070113</v>
      </c>
      <c r="K27" s="6"/>
      <c r="L27" s="6"/>
      <c r="P27" s="34">
        <f>+J27/1000</f>
        <v>0.12463955016070113</v>
      </c>
      <c r="Q27" s="34">
        <v>0.1731</v>
      </c>
    </row>
    <row r="28" spans="1:31" ht="15" x14ac:dyDescent="0.25">
      <c r="A28" s="1" t="s">
        <v>95</v>
      </c>
      <c r="K28" s="15">
        <f>L8</f>
        <v>82.453246581995444</v>
      </c>
      <c r="P28" s="34">
        <f>+K28/1000</f>
        <v>8.2453246581995446E-2</v>
      </c>
      <c r="Q28" s="34">
        <v>8.72E-2</v>
      </c>
    </row>
    <row r="29" spans="1:31" x14ac:dyDescent="0.2">
      <c r="K29" s="15"/>
      <c r="P29" s="35" t="s">
        <v>153</v>
      </c>
      <c r="Q29" s="36"/>
    </row>
    <row r="30" spans="1:31" x14ac:dyDescent="0.2">
      <c r="A30" s="1" t="s">
        <v>96</v>
      </c>
      <c r="H30" s="4" t="s">
        <v>120</v>
      </c>
      <c r="J30" s="4" t="s">
        <v>120</v>
      </c>
      <c r="K30" s="4" t="s">
        <v>120</v>
      </c>
      <c r="N30" s="4" t="s">
        <v>120</v>
      </c>
    </row>
    <row r="31" spans="1:31" x14ac:dyDescent="0.2">
      <c r="A31" s="1" t="s">
        <v>130</v>
      </c>
      <c r="H31" s="6">
        <f>H21*H26/1000</f>
        <v>1478.2662020037124</v>
      </c>
      <c r="I31" s="6"/>
      <c r="J31" s="6">
        <f>J21*J27/1000</f>
        <v>3920.9592044612486</v>
      </c>
      <c r="K31" s="6">
        <f>K21*K28/1000</f>
        <v>1283.3528736423316</v>
      </c>
      <c r="L31" s="6"/>
      <c r="M31" s="6"/>
      <c r="N31" s="6">
        <f>SUM(H31:K31)</f>
        <v>6682.5782801072919</v>
      </c>
    </row>
    <row r="32" spans="1:31" x14ac:dyDescent="0.2">
      <c r="A32" s="1" t="s">
        <v>90</v>
      </c>
      <c r="H32" s="6">
        <f>H22*H26/1000</f>
        <v>319.07764361697718</v>
      </c>
      <c r="I32" s="6"/>
      <c r="J32" s="6">
        <f>J22*J27/1000</f>
        <v>900.02219171042282</v>
      </c>
      <c r="K32" s="6">
        <f>K22*K28/1000</f>
        <v>635.63207790060278</v>
      </c>
      <c r="L32" s="6"/>
      <c r="M32" s="6"/>
      <c r="N32" s="8">
        <f>SUM(H32:K32)</f>
        <v>1854.7319132280027</v>
      </c>
    </row>
    <row r="33" spans="1:14" x14ac:dyDescent="0.2">
      <c r="N33" s="9">
        <f>N31+N32</f>
        <v>8537.3101933352955</v>
      </c>
    </row>
    <row r="34" spans="1:14" ht="15" thickBot="1" x14ac:dyDescent="0.25"/>
    <row r="35" spans="1:14" x14ac:dyDescent="0.2">
      <c r="A35" s="37" t="s">
        <v>149</v>
      </c>
      <c r="B35" s="38"/>
      <c r="C35" s="38"/>
      <c r="D35" s="38"/>
      <c r="E35" s="38"/>
      <c r="F35" s="38"/>
      <c r="G35" s="38"/>
      <c r="H35" s="39">
        <f>+((H21+H22)*Q26)/1000</f>
        <v>1523.2446114285715</v>
      </c>
      <c r="I35" s="38"/>
      <c r="J35" s="39">
        <f>+((J21+J22)/2*Q27)</f>
        <v>3347.7009448500003</v>
      </c>
      <c r="K35" s="39">
        <f>+((K21+K22+(J21+J22)/2)*Q28)</f>
        <v>3715.8803267999997</v>
      </c>
      <c r="L35" s="38"/>
      <c r="M35" s="38"/>
      <c r="N35" s="40">
        <f>+H35+J35+K35</f>
        <v>8586.8258830785708</v>
      </c>
    </row>
    <row r="36" spans="1:14" x14ac:dyDescent="0.2">
      <c r="A36" s="41" t="s">
        <v>152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42"/>
    </row>
    <row r="37" spans="1:14" ht="15" thickBot="1" x14ac:dyDescent="0.25">
      <c r="A37" s="43" t="s">
        <v>150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5">
        <f>+N35/N18</f>
        <v>1.0057999169084813</v>
      </c>
    </row>
  </sheetData>
  <mergeCells count="2">
    <mergeCell ref="P29:Q29"/>
    <mergeCell ref="P23:Q23"/>
  </mergeCells>
  <printOptions horizontalCentered="1"/>
  <pageMargins left="0.7" right="0.7" top="0.75" bottom="0.75" header="0.3" footer="0.3"/>
  <pageSetup scale="94" orientation="landscape" horizontalDpi="204" verticalDpi="196" r:id="rId1"/>
  <headerFooter>
    <oddHeader>&amp;R&amp;"Arial,Regular"IR-15 - Attachment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O33"/>
  <sheetViews>
    <sheetView workbookViewId="0">
      <selection activeCell="F39" sqref="F39"/>
    </sheetView>
  </sheetViews>
  <sheetFormatPr defaultRowHeight="15" x14ac:dyDescent="0.25"/>
  <cols>
    <col min="2" max="6" width="12.7109375" customWidth="1"/>
    <col min="11" max="11" width="13.42578125" customWidth="1"/>
    <col min="12" max="12" width="13.28515625" customWidth="1"/>
    <col min="13" max="14" width="11.7109375" customWidth="1"/>
    <col min="15" max="15" width="13.140625" customWidth="1"/>
  </cols>
  <sheetData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/>
      <c r="B4" s="1" t="s">
        <v>32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/>
      <c r="B6" s="2"/>
      <c r="C6" s="2"/>
      <c r="D6" s="3" t="s">
        <v>29</v>
      </c>
      <c r="E6" s="2"/>
      <c r="F6" s="2"/>
      <c r="G6" s="1"/>
      <c r="H6" s="1"/>
      <c r="I6" s="1"/>
      <c r="J6" s="1"/>
      <c r="K6" s="2" t="s">
        <v>43</v>
      </c>
      <c r="L6" s="2"/>
      <c r="M6" s="2"/>
      <c r="N6" s="2"/>
      <c r="O6" s="1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4" t="s">
        <v>40</v>
      </c>
      <c r="L7" s="4" t="s">
        <v>35</v>
      </c>
      <c r="M7" s="4" t="s">
        <v>38</v>
      </c>
      <c r="N7" s="4" t="s">
        <v>39</v>
      </c>
      <c r="O7" s="1"/>
    </row>
    <row r="8" spans="1:15" x14ac:dyDescent="0.25">
      <c r="A8" s="4">
        <v>2020</v>
      </c>
      <c r="B8" s="4" t="s">
        <v>0</v>
      </c>
      <c r="C8" s="4" t="s">
        <v>1</v>
      </c>
      <c r="D8" s="4" t="s">
        <v>3</v>
      </c>
      <c r="E8" s="4" t="s">
        <v>2</v>
      </c>
      <c r="F8" s="4" t="s">
        <v>5</v>
      </c>
      <c r="G8" s="1"/>
      <c r="H8" s="1"/>
      <c r="I8" s="1"/>
      <c r="J8" s="1"/>
      <c r="K8" s="4" t="s">
        <v>36</v>
      </c>
      <c r="L8" s="4" t="s">
        <v>36</v>
      </c>
      <c r="M8" s="4" t="s">
        <v>36</v>
      </c>
      <c r="N8" s="4" t="s">
        <v>36</v>
      </c>
      <c r="O8" s="1"/>
    </row>
    <row r="9" spans="1:15" ht="15.75" thickBot="1" x14ac:dyDescent="0.3">
      <c r="A9" s="5" t="s">
        <v>30</v>
      </c>
      <c r="B9" s="5" t="s">
        <v>15</v>
      </c>
      <c r="C9" s="5" t="s">
        <v>15</v>
      </c>
      <c r="D9" s="5" t="s">
        <v>15</v>
      </c>
      <c r="E9" s="5" t="s">
        <v>15</v>
      </c>
      <c r="F9" s="5" t="s">
        <v>15</v>
      </c>
      <c r="G9" s="1"/>
      <c r="H9" s="1"/>
      <c r="I9" s="1"/>
      <c r="J9" s="1"/>
      <c r="K9" s="5" t="s">
        <v>37</v>
      </c>
      <c r="L9" s="5" t="s">
        <v>37</v>
      </c>
      <c r="M9" s="5" t="s">
        <v>37</v>
      </c>
      <c r="N9" s="5" t="s">
        <v>37</v>
      </c>
      <c r="O9" s="5" t="s">
        <v>50</v>
      </c>
    </row>
    <row r="10" spans="1:15" x14ac:dyDescent="0.2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4" t="s">
        <v>27</v>
      </c>
      <c r="B11" s="6">
        <v>4332003</v>
      </c>
      <c r="C11" s="6">
        <v>1219643</v>
      </c>
      <c r="D11" s="6">
        <v>112672</v>
      </c>
      <c r="E11" s="6">
        <v>213506</v>
      </c>
      <c r="F11" s="6">
        <f>SUM(B11:E11)</f>
        <v>5877824</v>
      </c>
      <c r="G11" s="1"/>
      <c r="H11" s="1" t="s">
        <v>33</v>
      </c>
      <c r="I11" s="1"/>
      <c r="J11" s="1"/>
      <c r="K11" s="6">
        <v>50</v>
      </c>
      <c r="L11" s="6">
        <v>30</v>
      </c>
      <c r="M11" s="6">
        <v>4</v>
      </c>
      <c r="N11" s="6">
        <v>3</v>
      </c>
      <c r="O11" s="1"/>
    </row>
    <row r="12" spans="1:15" x14ac:dyDescent="0.25">
      <c r="A12" s="4" t="s">
        <v>26</v>
      </c>
      <c r="B12" s="6">
        <v>3957150</v>
      </c>
      <c r="C12" s="6">
        <v>1262106</v>
      </c>
      <c r="D12" s="6">
        <v>107607</v>
      </c>
      <c r="E12" s="6">
        <v>218200</v>
      </c>
      <c r="F12" s="6">
        <f t="shared" ref="F12:F22" si="0">SUM(B12:E12)</f>
        <v>5545063</v>
      </c>
      <c r="G12" s="1"/>
      <c r="H12" s="1"/>
      <c r="I12" s="1"/>
      <c r="J12" s="1"/>
      <c r="K12" s="6"/>
      <c r="L12" s="6"/>
      <c r="M12" s="6"/>
      <c r="N12" s="6"/>
      <c r="O12" s="1"/>
    </row>
    <row r="13" spans="1:15" x14ac:dyDescent="0.25">
      <c r="A13" s="4" t="s">
        <v>25</v>
      </c>
      <c r="B13" s="6">
        <v>3149541</v>
      </c>
      <c r="C13" s="6">
        <v>1120934</v>
      </c>
      <c r="D13" s="6">
        <v>106691</v>
      </c>
      <c r="E13" s="6">
        <v>194489</v>
      </c>
      <c r="F13" s="6">
        <f t="shared" si="0"/>
        <v>4571655</v>
      </c>
      <c r="G13" s="1"/>
      <c r="H13" s="1" t="s">
        <v>34</v>
      </c>
      <c r="I13" s="1"/>
      <c r="J13" s="1"/>
      <c r="K13" s="6">
        <v>6013202</v>
      </c>
      <c r="L13" s="6">
        <v>4563615</v>
      </c>
      <c r="M13" s="6">
        <v>445160</v>
      </c>
      <c r="N13" s="6">
        <v>1802160</v>
      </c>
      <c r="O13" s="1"/>
    </row>
    <row r="14" spans="1:15" x14ac:dyDescent="0.25">
      <c r="A14" s="4" t="s">
        <v>24</v>
      </c>
      <c r="B14" s="6">
        <v>2774020</v>
      </c>
      <c r="C14" s="6">
        <v>1105992</v>
      </c>
      <c r="D14" s="6">
        <v>92071</v>
      </c>
      <c r="E14" s="6">
        <v>205816</v>
      </c>
      <c r="F14" s="6">
        <f t="shared" si="0"/>
        <v>4177899</v>
      </c>
      <c r="G14" s="1"/>
      <c r="H14" s="1"/>
      <c r="I14" s="1"/>
      <c r="J14" s="1"/>
      <c r="K14" s="6"/>
      <c r="L14" s="6"/>
      <c r="M14" s="6"/>
      <c r="N14" s="6"/>
      <c r="O14" s="1"/>
    </row>
    <row r="15" spans="1:15" x14ac:dyDescent="0.25">
      <c r="A15" s="4" t="s">
        <v>23</v>
      </c>
      <c r="B15" s="6">
        <v>2195273</v>
      </c>
      <c r="C15" s="6">
        <v>993556</v>
      </c>
      <c r="D15" s="6">
        <v>87528</v>
      </c>
      <c r="E15" s="6">
        <v>189965</v>
      </c>
      <c r="F15" s="6">
        <f t="shared" si="0"/>
        <v>3466322</v>
      </c>
      <c r="G15" s="1"/>
      <c r="H15" s="1" t="s">
        <v>44</v>
      </c>
      <c r="I15" s="1"/>
      <c r="J15" s="1"/>
      <c r="K15" s="6">
        <v>22738</v>
      </c>
      <c r="L15" s="6">
        <v>15385</v>
      </c>
      <c r="M15" s="6">
        <v>1760</v>
      </c>
      <c r="N15" s="6">
        <v>4698</v>
      </c>
      <c r="O15" s="1"/>
    </row>
    <row r="16" spans="1:15" x14ac:dyDescent="0.25">
      <c r="A16" s="4" t="s">
        <v>22</v>
      </c>
      <c r="B16" s="6">
        <v>1894969</v>
      </c>
      <c r="C16" s="6">
        <v>990561</v>
      </c>
      <c r="D16" s="6">
        <v>88501</v>
      </c>
      <c r="E16" s="6">
        <v>216904</v>
      </c>
      <c r="F16" s="6">
        <f t="shared" si="0"/>
        <v>3190935</v>
      </c>
      <c r="G16" s="1"/>
      <c r="H16" s="1"/>
      <c r="I16" s="1"/>
      <c r="J16" s="1"/>
      <c r="K16" s="6"/>
      <c r="L16" s="6"/>
      <c r="M16" s="6"/>
      <c r="N16" s="6"/>
      <c r="O16" s="1"/>
    </row>
    <row r="17" spans="1:15" x14ac:dyDescent="0.25">
      <c r="A17" s="4" t="s">
        <v>21</v>
      </c>
      <c r="B17" s="6">
        <v>1502541</v>
      </c>
      <c r="C17" s="6">
        <v>1030302</v>
      </c>
      <c r="D17" s="6">
        <v>103098</v>
      </c>
      <c r="E17" s="6">
        <v>229814</v>
      </c>
      <c r="F17" s="6">
        <f t="shared" si="0"/>
        <v>2865755</v>
      </c>
      <c r="G17" s="1"/>
      <c r="H17" s="1" t="s">
        <v>45</v>
      </c>
      <c r="I17" s="1"/>
      <c r="J17" s="1"/>
      <c r="K17" s="6">
        <v>4086927</v>
      </c>
      <c r="L17" s="6">
        <v>3037100</v>
      </c>
      <c r="M17" s="6">
        <v>330240</v>
      </c>
      <c r="N17" s="6">
        <v>939500</v>
      </c>
      <c r="O17" s="1"/>
    </row>
    <row r="18" spans="1:15" x14ac:dyDescent="0.25">
      <c r="A18" s="4" t="s">
        <v>20</v>
      </c>
      <c r="B18" s="6">
        <v>1108832</v>
      </c>
      <c r="C18" s="6">
        <v>1118836</v>
      </c>
      <c r="D18" s="6">
        <v>121937</v>
      </c>
      <c r="E18" s="6">
        <v>256514</v>
      </c>
      <c r="F18" s="6">
        <f t="shared" si="0"/>
        <v>2606119</v>
      </c>
      <c r="G18" s="1"/>
      <c r="H18" s="1"/>
      <c r="I18" s="1"/>
      <c r="J18" s="1"/>
      <c r="K18" s="6"/>
      <c r="L18" s="6"/>
      <c r="M18" s="6"/>
      <c r="N18" s="6"/>
      <c r="O18" s="1"/>
    </row>
    <row r="19" spans="1:15" x14ac:dyDescent="0.25">
      <c r="A19" s="4" t="s">
        <v>19</v>
      </c>
      <c r="B19" s="6">
        <v>802834</v>
      </c>
      <c r="C19" s="6">
        <v>1048218</v>
      </c>
      <c r="D19" s="6">
        <v>92161</v>
      </c>
      <c r="E19" s="6">
        <v>227752</v>
      </c>
      <c r="F19" s="6">
        <f t="shared" si="0"/>
        <v>2170965</v>
      </c>
      <c r="G19" s="1"/>
      <c r="H19" s="1" t="s">
        <v>41</v>
      </c>
      <c r="I19" s="1"/>
      <c r="J19" s="1"/>
      <c r="K19" s="7">
        <f>100*K17/K13</f>
        <v>67.965902359508291</v>
      </c>
      <c r="L19" s="7">
        <f t="shared" ref="L19:N19" si="1">100*L17/L13</f>
        <v>66.550311540303028</v>
      </c>
      <c r="M19" s="7">
        <f t="shared" si="1"/>
        <v>74.184562853805375</v>
      </c>
      <c r="N19" s="7">
        <f t="shared" si="1"/>
        <v>52.131886181027213</v>
      </c>
      <c r="O19" s="1"/>
    </row>
    <row r="20" spans="1:15" x14ac:dyDescent="0.25">
      <c r="A20" s="4" t="s">
        <v>18</v>
      </c>
      <c r="B20" s="6">
        <v>1734200</v>
      </c>
      <c r="C20" s="6">
        <v>996017</v>
      </c>
      <c r="D20" s="6">
        <v>90887</v>
      </c>
      <c r="E20" s="6">
        <v>208338</v>
      </c>
      <c r="F20" s="6">
        <f t="shared" si="0"/>
        <v>3029442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4" t="s">
        <v>17</v>
      </c>
      <c r="B21" s="6">
        <v>3612795</v>
      </c>
      <c r="C21" s="6">
        <v>1044590</v>
      </c>
      <c r="D21" s="6">
        <v>86279</v>
      </c>
      <c r="E21" s="6">
        <v>221158</v>
      </c>
      <c r="F21" s="6">
        <f t="shared" si="0"/>
        <v>4964822</v>
      </c>
      <c r="G21" s="1"/>
      <c r="H21" s="1" t="s">
        <v>42</v>
      </c>
      <c r="I21" s="1"/>
      <c r="J21" s="1"/>
      <c r="K21" s="6">
        <f>K13/K15</f>
        <v>264.45606473744391</v>
      </c>
      <c r="L21" s="6">
        <f t="shared" ref="L21:N21" si="2">L13/L15</f>
        <v>296.62755931101725</v>
      </c>
      <c r="M21" s="6">
        <f t="shared" si="2"/>
        <v>252.93181818181819</v>
      </c>
      <c r="N21" s="6">
        <f t="shared" si="2"/>
        <v>383.60153256704979</v>
      </c>
      <c r="O21" s="1"/>
    </row>
    <row r="22" spans="1:15" x14ac:dyDescent="0.25">
      <c r="A22" s="4" t="s">
        <v>16</v>
      </c>
      <c r="B22" s="8">
        <v>3248048</v>
      </c>
      <c r="C22" s="8">
        <v>1055086</v>
      </c>
      <c r="D22" s="8">
        <v>99394</v>
      </c>
      <c r="E22" s="8">
        <v>206427</v>
      </c>
      <c r="F22" s="8">
        <f t="shared" si="0"/>
        <v>4608955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/>
      <c r="B23" s="6">
        <f>SUM(B11:B22)</f>
        <v>30312206</v>
      </c>
      <c r="C23" s="6">
        <f>SUM(C11:C22)</f>
        <v>12985841</v>
      </c>
      <c r="D23" s="6">
        <f>SUM(D11:D22)</f>
        <v>1188826</v>
      </c>
      <c r="E23" s="6">
        <f>SUM(E11:E22)</f>
        <v>2588883</v>
      </c>
      <c r="F23" s="6">
        <f>SUM(F11:F22)</f>
        <v>47075756</v>
      </c>
      <c r="G23" s="1"/>
      <c r="H23" s="1"/>
      <c r="I23" s="1"/>
      <c r="J23" s="1"/>
      <c r="K23" s="6"/>
      <c r="L23" s="6"/>
      <c r="M23" s="6"/>
      <c r="N23" s="6"/>
      <c r="O23" s="4"/>
    </row>
    <row r="24" spans="1:15" x14ac:dyDescent="0.25">
      <c r="A24" s="1"/>
      <c r="B24" s="6"/>
      <c r="C24" s="6"/>
      <c r="D24" s="6"/>
      <c r="E24" s="6"/>
      <c r="F24" s="6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1"/>
      <c r="B25" s="6"/>
      <c r="C25" s="6"/>
      <c r="D25" s="6"/>
      <c r="E25" s="6"/>
      <c r="F25" s="6"/>
      <c r="G25" s="1"/>
      <c r="H25" s="1" t="s">
        <v>46</v>
      </c>
      <c r="I25" s="1"/>
      <c r="J25" s="1"/>
      <c r="K25" s="9">
        <f>B23</f>
        <v>30312206</v>
      </c>
      <c r="L25" s="9">
        <f t="shared" ref="L25:N25" si="3">C23</f>
        <v>12985841</v>
      </c>
      <c r="M25" s="9">
        <f t="shared" si="3"/>
        <v>1188826</v>
      </c>
      <c r="N25" s="9">
        <f t="shared" si="3"/>
        <v>2588883</v>
      </c>
      <c r="O25" s="9">
        <f>SUM(K25:N25)</f>
        <v>47075756</v>
      </c>
    </row>
    <row r="26" spans="1:15" x14ac:dyDescent="0.25">
      <c r="A26" s="1" t="s">
        <v>31</v>
      </c>
      <c r="B26" s="6">
        <v>361</v>
      </c>
      <c r="C26" s="6">
        <v>142</v>
      </c>
      <c r="D26" s="6">
        <v>15</v>
      </c>
      <c r="E26" s="6">
        <v>10</v>
      </c>
      <c r="F26" s="6">
        <f>SUM(B26:E26)</f>
        <v>528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 t="s">
        <v>47</v>
      </c>
      <c r="I27" s="1"/>
      <c r="J27" s="1"/>
      <c r="K27" s="10">
        <f>K25/$O25</f>
        <v>0.64390269165300285</v>
      </c>
      <c r="L27" s="10">
        <f t="shared" ref="L27:N27" si="4">L25/$O25</f>
        <v>0.27584986633034636</v>
      </c>
      <c r="M27" s="10">
        <f t="shared" si="4"/>
        <v>2.5253465924158499E-2</v>
      </c>
      <c r="N27" s="10">
        <f t="shared" si="4"/>
        <v>5.4993976092492278E-2</v>
      </c>
      <c r="O27" s="11">
        <f>SUM(K27:N27)</f>
        <v>0.99999999999999989</v>
      </c>
    </row>
    <row r="28" spans="1:15" x14ac:dyDescent="0.25">
      <c r="A28" s="1"/>
      <c r="B28" s="6"/>
      <c r="C28" s="6"/>
      <c r="D28" s="6"/>
      <c r="E28" s="6"/>
      <c r="F28" s="6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 t="s">
        <v>48</v>
      </c>
      <c r="I29" s="1"/>
      <c r="J29" s="1"/>
      <c r="K29" s="7">
        <f>K19*K27</f>
        <v>43.763427469912564</v>
      </c>
      <c r="L29" s="7">
        <f t="shared" ref="L29:N29" si="5">L19*L27</f>
        <v>18.357894542635496</v>
      </c>
      <c r="M29" s="7">
        <f t="shared" si="5"/>
        <v>1.8734173301271684</v>
      </c>
      <c r="N29" s="7">
        <f t="shared" si="5"/>
        <v>2.8669397022959391</v>
      </c>
      <c r="O29" s="12">
        <f>SUM(K29:N29)</f>
        <v>66.861679044971169</v>
      </c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7"/>
      <c r="L30" s="7"/>
      <c r="M30" s="7"/>
      <c r="N30" s="7"/>
      <c r="O30" s="1"/>
    </row>
    <row r="31" spans="1:15" x14ac:dyDescent="0.25">
      <c r="A31" s="1"/>
      <c r="B31" s="1"/>
      <c r="C31" s="1"/>
      <c r="D31" s="1"/>
      <c r="E31" s="1"/>
      <c r="F31" s="9"/>
      <c r="G31" s="1"/>
      <c r="H31" s="1" t="s">
        <v>49</v>
      </c>
      <c r="I31" s="1"/>
      <c r="J31" s="1"/>
      <c r="K31" s="7">
        <f>K21*K27</f>
        <v>170.2839719084009</v>
      </c>
      <c r="L31" s="7">
        <f t="shared" ref="L31:N31" si="6">L21*L27</f>
        <v>81.824672585841</v>
      </c>
      <c r="M31" s="7">
        <f t="shared" si="6"/>
        <v>6.3874050515899983</v>
      </c>
      <c r="N31" s="7">
        <f t="shared" si="6"/>
        <v>21.095773511035734</v>
      </c>
      <c r="O31" s="9">
        <f>SUM(K31:N31)</f>
        <v>279.59182305686767</v>
      </c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ageMargins left="0.7" right="0.7" top="0.75" bottom="0.75" header="0.3" footer="0.3"/>
  <pageSetup scale="70" orientation="landscape" r:id="rId1"/>
  <headerFooter>
    <oddHeader>&amp;R&amp;"Arial,Regular"IR-15 - Attachment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AV22"/>
  <sheetViews>
    <sheetView tabSelected="1" topLeftCell="Y1" workbookViewId="0">
      <selection activeCell="AO25" sqref="AO25"/>
    </sheetView>
  </sheetViews>
  <sheetFormatPr defaultRowHeight="14.25" x14ac:dyDescent="0.2"/>
  <cols>
    <col min="1" max="7" width="9.28515625" style="1" bestFit="1" customWidth="1"/>
    <col min="8" max="8" width="10.140625" style="1" bestFit="1" customWidth="1"/>
    <col min="9" max="9" width="9.140625" style="1"/>
    <col min="10" max="16" width="9.28515625" style="1" bestFit="1" customWidth="1"/>
    <col min="17" max="17" width="9.140625" style="1"/>
    <col min="18" max="23" width="9.28515625" style="1" bestFit="1" customWidth="1"/>
    <col min="24" max="24" width="11.28515625" style="1" bestFit="1" customWidth="1"/>
    <col min="25" max="26" width="9.140625" style="1"/>
    <col min="27" max="27" width="9.28515625" style="1" bestFit="1" customWidth="1"/>
    <col min="28" max="28" width="11.7109375" style="1" customWidth="1"/>
    <col min="29" max="29" width="9.28515625" style="1" bestFit="1" customWidth="1"/>
    <col min="30" max="30" width="9.140625" style="1"/>
    <col min="31" max="31" width="9.28515625" style="1" bestFit="1" customWidth="1"/>
    <col min="32" max="32" width="10.7109375" style="1" customWidth="1"/>
    <col min="33" max="33" width="12.42578125" style="1" customWidth="1"/>
    <col min="34" max="35" width="10.7109375" style="1" customWidth="1"/>
    <col min="36" max="40" width="9.140625" style="1" customWidth="1"/>
    <col min="41" max="44" width="9.140625" style="1"/>
    <col min="45" max="48" width="10.7109375" style="1" customWidth="1"/>
    <col min="49" max="16384" width="9.140625" style="1"/>
  </cols>
  <sheetData>
    <row r="3" spans="1:48" x14ac:dyDescent="0.2">
      <c r="B3" s="2"/>
      <c r="C3" s="2"/>
      <c r="D3" s="2"/>
      <c r="E3" s="3" t="s">
        <v>80</v>
      </c>
      <c r="F3" s="2"/>
      <c r="G3" s="2"/>
      <c r="H3" s="2"/>
      <c r="J3" s="2"/>
      <c r="K3" s="2"/>
      <c r="L3" s="2"/>
      <c r="M3" s="3" t="s">
        <v>64</v>
      </c>
      <c r="N3" s="2"/>
      <c r="O3" s="2"/>
      <c r="P3" s="2"/>
      <c r="R3" s="2"/>
      <c r="S3" s="2"/>
      <c r="T3" s="2"/>
      <c r="U3" s="3" t="s">
        <v>65</v>
      </c>
      <c r="V3" s="2"/>
      <c r="W3" s="2"/>
      <c r="X3" s="2"/>
    </row>
    <row r="4" spans="1:48" x14ac:dyDescent="0.2">
      <c r="B4" s="4" t="s">
        <v>61</v>
      </c>
      <c r="C4" s="4" t="s">
        <v>61</v>
      </c>
      <c r="D4" s="4" t="s">
        <v>59</v>
      </c>
      <c r="E4" s="4" t="s">
        <v>59</v>
      </c>
      <c r="F4" s="4" t="s">
        <v>56</v>
      </c>
      <c r="G4" s="4"/>
      <c r="H4" s="4" t="s">
        <v>52</v>
      </c>
      <c r="J4" s="4" t="s">
        <v>61</v>
      </c>
      <c r="K4" s="4" t="s">
        <v>61</v>
      </c>
      <c r="L4" s="4" t="s">
        <v>59</v>
      </c>
      <c r="M4" s="4" t="s">
        <v>59</v>
      </c>
      <c r="N4" s="4" t="s">
        <v>56</v>
      </c>
      <c r="P4" s="4" t="s">
        <v>52</v>
      </c>
      <c r="R4" s="4" t="s">
        <v>61</v>
      </c>
      <c r="S4" s="4" t="s">
        <v>61</v>
      </c>
      <c r="T4" s="4" t="s">
        <v>59</v>
      </c>
      <c r="U4" s="4" t="s">
        <v>59</v>
      </c>
      <c r="V4" s="4" t="s">
        <v>56</v>
      </c>
      <c r="X4" s="4" t="s">
        <v>52</v>
      </c>
      <c r="AS4" s="4"/>
      <c r="AT4" s="4" t="s">
        <v>81</v>
      </c>
      <c r="AU4" s="4" t="s">
        <v>82</v>
      </c>
      <c r="AV4" s="4"/>
    </row>
    <row r="5" spans="1:48" x14ac:dyDescent="0.2">
      <c r="B5" s="4" t="s">
        <v>62</v>
      </c>
      <c r="C5" s="4" t="s">
        <v>62</v>
      </c>
      <c r="D5" s="4" t="s">
        <v>60</v>
      </c>
      <c r="E5" s="4" t="s">
        <v>60</v>
      </c>
      <c r="F5" s="4" t="s">
        <v>57</v>
      </c>
      <c r="G5" s="4" t="s">
        <v>55</v>
      </c>
      <c r="H5" s="4" t="s">
        <v>53</v>
      </c>
      <c r="J5" s="4" t="s">
        <v>62</v>
      </c>
      <c r="K5" s="4" t="s">
        <v>62</v>
      </c>
      <c r="L5" s="4" t="s">
        <v>60</v>
      </c>
      <c r="M5" s="4" t="s">
        <v>60</v>
      </c>
      <c r="N5" s="4" t="s">
        <v>57</v>
      </c>
      <c r="O5" s="4" t="s">
        <v>55</v>
      </c>
      <c r="P5" s="4" t="s">
        <v>53</v>
      </c>
      <c r="R5" s="4" t="s">
        <v>62</v>
      </c>
      <c r="S5" s="4" t="s">
        <v>62</v>
      </c>
      <c r="T5" s="4" t="s">
        <v>60</v>
      </c>
      <c r="U5" s="4" t="s">
        <v>60</v>
      </c>
      <c r="V5" s="4" t="s">
        <v>57</v>
      </c>
      <c r="W5" s="4" t="s">
        <v>55</v>
      </c>
      <c r="X5" s="4" t="s">
        <v>53</v>
      </c>
      <c r="AS5" s="4" t="s">
        <v>11</v>
      </c>
      <c r="AT5" s="4" t="s">
        <v>100</v>
      </c>
      <c r="AU5" s="4" t="s">
        <v>100</v>
      </c>
      <c r="AV5" s="4"/>
    </row>
    <row r="6" spans="1:48" x14ac:dyDescent="0.2">
      <c r="A6" s="4">
        <v>2020</v>
      </c>
      <c r="B6" s="4" t="s">
        <v>63</v>
      </c>
      <c r="C6" s="4" t="s">
        <v>63</v>
      </c>
      <c r="D6" s="4" t="s">
        <v>4</v>
      </c>
      <c r="E6" s="4" t="s">
        <v>4</v>
      </c>
      <c r="F6" s="4" t="s">
        <v>58</v>
      </c>
      <c r="G6" s="4" t="s">
        <v>54</v>
      </c>
      <c r="H6" s="4" t="s">
        <v>4</v>
      </c>
      <c r="J6" s="4" t="s">
        <v>63</v>
      </c>
      <c r="K6" s="4" t="s">
        <v>63</v>
      </c>
      <c r="L6" s="4" t="s">
        <v>4</v>
      </c>
      <c r="M6" s="4" t="s">
        <v>4</v>
      </c>
      <c r="N6" s="4" t="s">
        <v>58</v>
      </c>
      <c r="O6" s="4" t="s">
        <v>54</v>
      </c>
      <c r="P6" s="4" t="s">
        <v>4</v>
      </c>
      <c r="R6" s="4" t="s">
        <v>63</v>
      </c>
      <c r="S6" s="4" t="s">
        <v>63</v>
      </c>
      <c r="T6" s="4" t="s">
        <v>4</v>
      </c>
      <c r="U6" s="4" t="s">
        <v>4</v>
      </c>
      <c r="V6" s="4" t="s">
        <v>58</v>
      </c>
      <c r="W6" s="4" t="s">
        <v>54</v>
      </c>
      <c r="X6" s="4" t="s">
        <v>4</v>
      </c>
      <c r="AS6" s="4" t="s">
        <v>12</v>
      </c>
      <c r="AT6" s="4" t="s">
        <v>99</v>
      </c>
      <c r="AU6" s="4" t="s">
        <v>99</v>
      </c>
      <c r="AV6" s="4" t="s">
        <v>5</v>
      </c>
    </row>
    <row r="7" spans="1:48" x14ac:dyDescent="0.2">
      <c r="A7" s="4" t="s">
        <v>51</v>
      </c>
      <c r="B7" s="4">
        <v>92212</v>
      </c>
      <c r="C7" s="4">
        <v>92365</v>
      </c>
      <c r="D7" s="4">
        <v>38261</v>
      </c>
      <c r="E7" s="4">
        <v>96239</v>
      </c>
      <c r="F7" s="4">
        <v>59414</v>
      </c>
      <c r="G7" s="4">
        <v>64427</v>
      </c>
      <c r="H7" s="4">
        <v>48033</v>
      </c>
      <c r="J7" s="4">
        <v>92212</v>
      </c>
      <c r="K7" s="4">
        <v>92365</v>
      </c>
      <c r="L7" s="4">
        <v>38261</v>
      </c>
      <c r="M7" s="4">
        <v>96239</v>
      </c>
      <c r="N7" s="4">
        <v>59414</v>
      </c>
      <c r="O7" s="4">
        <v>64427</v>
      </c>
      <c r="P7" s="4">
        <v>48033</v>
      </c>
      <c r="R7" s="4">
        <v>92212</v>
      </c>
      <c r="S7" s="4">
        <v>92365</v>
      </c>
      <c r="T7" s="4">
        <v>38261</v>
      </c>
      <c r="U7" s="4">
        <v>96239</v>
      </c>
      <c r="V7" s="4">
        <v>59414</v>
      </c>
      <c r="W7" s="4">
        <v>64427</v>
      </c>
      <c r="X7" s="4">
        <v>48033</v>
      </c>
      <c r="AK7" s="4"/>
      <c r="AL7" s="4"/>
      <c r="AM7" s="4"/>
      <c r="AS7" s="4" t="s">
        <v>102</v>
      </c>
      <c r="AT7" s="4" t="s">
        <v>85</v>
      </c>
      <c r="AU7" s="4" t="s">
        <v>85</v>
      </c>
      <c r="AV7" s="4" t="s">
        <v>10</v>
      </c>
    </row>
    <row r="8" spans="1:48" x14ac:dyDescent="0.2">
      <c r="A8" s="4"/>
      <c r="AE8" s="2" t="s">
        <v>75</v>
      </c>
      <c r="AF8" s="2"/>
      <c r="AG8" s="2" t="s">
        <v>78</v>
      </c>
      <c r="AH8" s="2"/>
      <c r="AI8" s="1" t="s">
        <v>77</v>
      </c>
      <c r="AK8" s="3"/>
      <c r="AL8" s="3" t="s">
        <v>143</v>
      </c>
      <c r="AM8" s="3"/>
      <c r="AN8" s="4" t="s">
        <v>146</v>
      </c>
    </row>
    <row r="9" spans="1:48" x14ac:dyDescent="0.2">
      <c r="A9" s="4">
        <v>1</v>
      </c>
      <c r="B9" s="1">
        <v>327000</v>
      </c>
      <c r="C9" s="1">
        <v>423527</v>
      </c>
      <c r="D9" s="1">
        <v>59880</v>
      </c>
      <c r="E9" s="1">
        <v>35280</v>
      </c>
      <c r="F9" s="1">
        <v>52800</v>
      </c>
      <c r="G9" s="1">
        <v>235080</v>
      </c>
      <c r="H9" s="1">
        <v>20560</v>
      </c>
      <c r="J9" s="1">
        <v>747.6</v>
      </c>
      <c r="K9" s="1">
        <v>1971</v>
      </c>
      <c r="L9" s="6">
        <f>D9*(M9+N9)/(E9+F9)</f>
        <v>111.56117166212536</v>
      </c>
      <c r="M9" s="1">
        <v>83.9</v>
      </c>
      <c r="N9" s="1">
        <v>80.2</v>
      </c>
      <c r="O9" s="1">
        <v>511.6</v>
      </c>
      <c r="P9" s="1">
        <v>78.400000000000006</v>
      </c>
      <c r="R9" s="1">
        <f>IF(J9*200&gt;B9,B9,J9*200)</f>
        <v>149520</v>
      </c>
      <c r="S9" s="1">
        <f t="shared" ref="S9:X20" si="0">IF(K9*200&gt;C9,C9,K9*200)</f>
        <v>394200</v>
      </c>
      <c r="T9" s="46">
        <f t="shared" si="0"/>
        <v>22312.234332425072</v>
      </c>
      <c r="U9" s="1">
        <f t="shared" si="0"/>
        <v>16780</v>
      </c>
      <c r="V9" s="1">
        <f t="shared" si="0"/>
        <v>16040</v>
      </c>
      <c r="W9" s="1">
        <f t="shared" si="0"/>
        <v>102320</v>
      </c>
      <c r="X9" s="1">
        <f t="shared" si="0"/>
        <v>15680.000000000002</v>
      </c>
      <c r="Z9" s="2"/>
      <c r="AA9" s="2" t="s">
        <v>141</v>
      </c>
      <c r="AB9" s="2"/>
      <c r="AC9" s="2"/>
      <c r="AF9" s="4" t="s">
        <v>51</v>
      </c>
      <c r="AG9" s="4" t="s">
        <v>51</v>
      </c>
      <c r="AH9" s="1" t="s">
        <v>76</v>
      </c>
      <c r="AI9" s="4" t="s">
        <v>14</v>
      </c>
      <c r="AJ9" s="4"/>
      <c r="AK9" s="4" t="s">
        <v>142</v>
      </c>
      <c r="AL9" s="4"/>
      <c r="AM9" s="4"/>
      <c r="AN9" s="4" t="s">
        <v>14</v>
      </c>
      <c r="AP9" s="1" t="s">
        <v>101</v>
      </c>
      <c r="AS9" s="1">
        <v>26.92</v>
      </c>
      <c r="AT9" s="1">
        <v>0.14369999999999999</v>
      </c>
      <c r="AU9" s="1">
        <v>0.1142</v>
      </c>
    </row>
    <row r="10" spans="1:48" ht="15" thickBot="1" x14ac:dyDescent="0.25">
      <c r="A10" s="4">
        <v>2</v>
      </c>
      <c r="B10" s="1">
        <v>380400</v>
      </c>
      <c r="C10" s="1">
        <v>757628</v>
      </c>
      <c r="D10" s="1">
        <v>61920</v>
      </c>
      <c r="E10" s="1">
        <v>41760</v>
      </c>
      <c r="F10" s="1">
        <v>53520</v>
      </c>
      <c r="G10" s="1">
        <v>213000</v>
      </c>
      <c r="H10" s="1">
        <v>24080</v>
      </c>
      <c r="J10" s="1">
        <v>919.8</v>
      </c>
      <c r="K10" s="1">
        <v>1958</v>
      </c>
      <c r="L10" s="6">
        <f t="shared" ref="L10:L20" si="1">D10*(M10+N10)/(E10+F10)</f>
        <v>112.10327455919395</v>
      </c>
      <c r="M10" s="1">
        <v>88.9</v>
      </c>
      <c r="N10" s="1">
        <v>83.6</v>
      </c>
      <c r="O10" s="1">
        <v>456.2</v>
      </c>
      <c r="P10" s="1">
        <v>75.400000000000006</v>
      </c>
      <c r="R10" s="1">
        <f t="shared" ref="R10:R20" si="2">IF(J10*200&gt;B10,B10,J10*200)</f>
        <v>183960</v>
      </c>
      <c r="S10" s="1">
        <f t="shared" si="0"/>
        <v>391600</v>
      </c>
      <c r="T10" s="46">
        <f t="shared" si="0"/>
        <v>22420.654911838788</v>
      </c>
      <c r="U10" s="1">
        <f t="shared" si="0"/>
        <v>17780</v>
      </c>
      <c r="V10" s="1">
        <f t="shared" si="0"/>
        <v>16720</v>
      </c>
      <c r="W10" s="1">
        <f t="shared" si="0"/>
        <v>91240</v>
      </c>
      <c r="X10" s="1">
        <f t="shared" si="0"/>
        <v>15080.000000000002</v>
      </c>
      <c r="Z10" s="5" t="s">
        <v>51</v>
      </c>
      <c r="AA10" s="5" t="s">
        <v>72</v>
      </c>
      <c r="AB10" s="5" t="s">
        <v>74</v>
      </c>
      <c r="AC10" s="5" t="s">
        <v>73</v>
      </c>
      <c r="AD10" s="19"/>
      <c r="AE10" s="5" t="s">
        <v>73</v>
      </c>
      <c r="AF10" s="5" t="s">
        <v>15</v>
      </c>
      <c r="AG10" s="5" t="s">
        <v>15</v>
      </c>
      <c r="AH10" s="5" t="s">
        <v>73</v>
      </c>
      <c r="AI10" s="5" t="s">
        <v>73</v>
      </c>
      <c r="AK10" s="5" t="s">
        <v>73</v>
      </c>
      <c r="AL10" s="5" t="s">
        <v>72</v>
      </c>
      <c r="AM10" s="5" t="s">
        <v>74</v>
      </c>
      <c r="AN10" s="5" t="s">
        <v>73</v>
      </c>
      <c r="AO10" s="13"/>
    </row>
    <row r="11" spans="1:48" x14ac:dyDescent="0.2">
      <c r="A11" s="4">
        <v>3</v>
      </c>
      <c r="B11" s="1">
        <v>402600</v>
      </c>
      <c r="C11" s="1">
        <v>722761</v>
      </c>
      <c r="D11" s="1">
        <v>59160</v>
      </c>
      <c r="E11" s="1">
        <v>35280</v>
      </c>
      <c r="F11" s="1">
        <v>51840</v>
      </c>
      <c r="G11" s="1">
        <v>190560</v>
      </c>
      <c r="H11" s="1">
        <v>19760</v>
      </c>
      <c r="J11" s="1">
        <v>933.6</v>
      </c>
      <c r="K11" s="1">
        <v>2070</v>
      </c>
      <c r="L11" s="6">
        <f t="shared" si="1"/>
        <v>110.82314049586776</v>
      </c>
      <c r="M11" s="1">
        <v>79.900000000000006</v>
      </c>
      <c r="N11" s="1">
        <v>83.3</v>
      </c>
      <c r="O11" s="1">
        <v>475.8</v>
      </c>
      <c r="P11" s="1">
        <v>65.400000000000006</v>
      </c>
      <c r="R11" s="1">
        <f t="shared" si="2"/>
        <v>186720</v>
      </c>
      <c r="S11" s="1">
        <f t="shared" si="0"/>
        <v>414000</v>
      </c>
      <c r="T11" s="46">
        <f t="shared" si="0"/>
        <v>22164.628099173551</v>
      </c>
      <c r="U11" s="1">
        <f t="shared" si="0"/>
        <v>15980.000000000002</v>
      </c>
      <c r="V11" s="1">
        <f t="shared" si="0"/>
        <v>16660</v>
      </c>
      <c r="W11" s="1">
        <f t="shared" si="0"/>
        <v>95160</v>
      </c>
      <c r="X11" s="1">
        <f t="shared" si="0"/>
        <v>13080.000000000002</v>
      </c>
      <c r="Z11" s="4" t="s">
        <v>27</v>
      </c>
      <c r="AA11" s="4">
        <v>30</v>
      </c>
      <c r="AB11" s="47">
        <v>0.375</v>
      </c>
      <c r="AC11" s="6">
        <v>10926</v>
      </c>
      <c r="AE11" s="6">
        <v>1883</v>
      </c>
      <c r="AF11" s="6">
        <f>C10</f>
        <v>757628</v>
      </c>
      <c r="AG11" s="6">
        <f>SUM(B9:H9)</f>
        <v>1154127</v>
      </c>
      <c r="AH11" s="6">
        <f>AE11*AG11/AF11</f>
        <v>2868.4540975254345</v>
      </c>
      <c r="AI11" s="48">
        <f>AC11+AH11</f>
        <v>13794.454097525435</v>
      </c>
      <c r="AJ11" s="48"/>
      <c r="AK11" s="48">
        <v>1971</v>
      </c>
      <c r="AL11" s="48">
        <v>31</v>
      </c>
      <c r="AM11" s="49" t="s">
        <v>145</v>
      </c>
      <c r="AN11" s="6">
        <f>AK11*AG11/AF11</f>
        <v>3002.5082454713925</v>
      </c>
      <c r="AP11" s="1" t="s">
        <v>97</v>
      </c>
      <c r="AS11" s="1">
        <f>7*12</f>
        <v>84</v>
      </c>
      <c r="AT11" s="1">
        <f>AS11*2000</f>
        <v>168000</v>
      </c>
      <c r="AU11" s="1">
        <f>H22-AT11</f>
        <v>14762127</v>
      </c>
    </row>
    <row r="12" spans="1:48" x14ac:dyDescent="0.2">
      <c r="A12" s="4">
        <v>4</v>
      </c>
      <c r="B12" s="1">
        <v>344400</v>
      </c>
      <c r="C12" s="1">
        <v>723693</v>
      </c>
      <c r="D12" s="1">
        <v>63000</v>
      </c>
      <c r="E12" s="1">
        <v>42840</v>
      </c>
      <c r="F12" s="1">
        <v>54720</v>
      </c>
      <c r="G12" s="1">
        <v>104040</v>
      </c>
      <c r="H12" s="1">
        <v>20880</v>
      </c>
      <c r="J12" s="1">
        <v>802.2</v>
      </c>
      <c r="K12" s="1">
        <v>1831</v>
      </c>
      <c r="L12" s="6">
        <f t="shared" si="1"/>
        <v>111.45756457564576</v>
      </c>
      <c r="M12" s="1">
        <v>89.3</v>
      </c>
      <c r="N12" s="1">
        <v>83.3</v>
      </c>
      <c r="O12" s="1">
        <v>458.6</v>
      </c>
      <c r="P12" s="1">
        <v>59.8</v>
      </c>
      <c r="R12" s="1">
        <f t="shared" si="2"/>
        <v>160440</v>
      </c>
      <c r="S12" s="1">
        <f t="shared" si="0"/>
        <v>366200</v>
      </c>
      <c r="T12" s="46">
        <f t="shared" si="0"/>
        <v>22291.512915129151</v>
      </c>
      <c r="U12" s="1">
        <f t="shared" si="0"/>
        <v>17860</v>
      </c>
      <c r="V12" s="1">
        <f t="shared" si="0"/>
        <v>16660</v>
      </c>
      <c r="W12" s="1">
        <f t="shared" si="0"/>
        <v>91720</v>
      </c>
      <c r="X12" s="1">
        <f t="shared" si="0"/>
        <v>11960</v>
      </c>
      <c r="Z12" s="4" t="s">
        <v>26</v>
      </c>
      <c r="AA12" s="4">
        <v>6</v>
      </c>
      <c r="AB12" s="47">
        <v>0.375</v>
      </c>
      <c r="AC12" s="50">
        <v>10288</v>
      </c>
      <c r="AE12" s="6">
        <v>1899</v>
      </c>
      <c r="AF12" s="6">
        <f t="shared" ref="AF12:AF13" si="3">C11</f>
        <v>722761</v>
      </c>
      <c r="AG12" s="6">
        <f t="shared" ref="AG12:AG13" si="4">SUM(B10:H10)</f>
        <v>1532308</v>
      </c>
      <c r="AH12" s="50">
        <f t="shared" ref="AH12:AH14" si="5">AE12*AG12/AF12</f>
        <v>4026.0236675747583</v>
      </c>
      <c r="AI12" s="50">
        <f>AC12+AH12</f>
        <v>14314.023667574758</v>
      </c>
      <c r="AJ12" s="48"/>
      <c r="AK12" s="48">
        <v>1958</v>
      </c>
      <c r="AL12" s="48">
        <v>7</v>
      </c>
      <c r="AM12" s="49" t="s">
        <v>145</v>
      </c>
      <c r="AN12" s="6">
        <f t="shared" ref="AN12:AN14" si="6">AK12*AG12/AF12</f>
        <v>4151.1081311802936</v>
      </c>
    </row>
    <row r="13" spans="1:48" x14ac:dyDescent="0.2">
      <c r="A13" s="4">
        <v>5</v>
      </c>
      <c r="B13" s="1">
        <v>334200</v>
      </c>
      <c r="C13" s="1">
        <v>536411</v>
      </c>
      <c r="D13" s="1">
        <v>61560</v>
      </c>
      <c r="E13" s="1">
        <v>43200</v>
      </c>
      <c r="F13" s="1">
        <v>42600</v>
      </c>
      <c r="G13" s="1">
        <v>48840</v>
      </c>
      <c r="H13" s="1">
        <v>15600</v>
      </c>
      <c r="J13" s="1">
        <v>660.6</v>
      </c>
      <c r="K13" s="1">
        <v>1120</v>
      </c>
      <c r="L13" s="6">
        <f t="shared" si="1"/>
        <v>115.58643356643357</v>
      </c>
      <c r="M13" s="1">
        <v>88.6</v>
      </c>
      <c r="N13" s="1">
        <v>72.5</v>
      </c>
      <c r="O13" s="1">
        <v>369.2</v>
      </c>
      <c r="P13" s="1">
        <v>65.5</v>
      </c>
      <c r="R13" s="1">
        <f t="shared" si="2"/>
        <v>132120</v>
      </c>
      <c r="S13" s="1">
        <f t="shared" si="0"/>
        <v>224000</v>
      </c>
      <c r="T13" s="46">
        <f t="shared" si="0"/>
        <v>23117.286713286714</v>
      </c>
      <c r="U13" s="1">
        <f t="shared" si="0"/>
        <v>17720</v>
      </c>
      <c r="V13" s="1">
        <f t="shared" si="0"/>
        <v>14500</v>
      </c>
      <c r="W13" s="1">
        <f t="shared" si="0"/>
        <v>48840</v>
      </c>
      <c r="X13" s="1">
        <f t="shared" si="0"/>
        <v>13100</v>
      </c>
      <c r="Z13" s="4" t="s">
        <v>25</v>
      </c>
      <c r="AA13" s="4">
        <v>16</v>
      </c>
      <c r="AB13" s="47">
        <v>0.375</v>
      </c>
      <c r="AC13" s="6">
        <v>9002</v>
      </c>
      <c r="AE13" s="6">
        <v>1910</v>
      </c>
      <c r="AF13" s="6">
        <f t="shared" si="3"/>
        <v>723693</v>
      </c>
      <c r="AG13" s="6">
        <f t="shared" si="4"/>
        <v>1481961</v>
      </c>
      <c r="AH13" s="6">
        <f t="shared" si="5"/>
        <v>3911.2517462515184</v>
      </c>
      <c r="AI13" s="6">
        <f>AC13+AH13</f>
        <v>12913.251746251519</v>
      </c>
      <c r="AJ13" s="6"/>
      <c r="AK13" s="6">
        <v>2070</v>
      </c>
      <c r="AL13" s="6">
        <v>10</v>
      </c>
      <c r="AM13" s="51" t="s">
        <v>145</v>
      </c>
      <c r="AN13" s="6">
        <f t="shared" si="6"/>
        <v>4238.8958715919598</v>
      </c>
      <c r="AP13" s="1" t="s">
        <v>98</v>
      </c>
      <c r="AS13" s="6">
        <f>AS9*AS11/1000</f>
        <v>2.2612800000000002</v>
      </c>
      <c r="AT13" s="6">
        <f t="shared" ref="AT13:AU13" si="7">AT9*AT11/1000</f>
        <v>24.141599999999997</v>
      </c>
      <c r="AU13" s="6">
        <f t="shared" si="7"/>
        <v>1685.8349034</v>
      </c>
      <c r="AV13" s="6">
        <f>SUM(AS13:AU13)</f>
        <v>1712.2377834000001</v>
      </c>
    </row>
    <row r="14" spans="1:48" x14ac:dyDescent="0.2">
      <c r="A14" s="4">
        <v>6</v>
      </c>
      <c r="B14" s="1">
        <v>304200</v>
      </c>
      <c r="C14" s="1">
        <v>451563</v>
      </c>
      <c r="D14" s="1">
        <v>62640</v>
      </c>
      <c r="E14" s="1">
        <v>29160</v>
      </c>
      <c r="F14" s="1">
        <v>42000</v>
      </c>
      <c r="G14" s="1">
        <v>45240</v>
      </c>
      <c r="H14" s="1">
        <v>11120</v>
      </c>
      <c r="J14" s="1">
        <v>641.4</v>
      </c>
      <c r="K14" s="1">
        <v>1200</v>
      </c>
      <c r="L14" s="6">
        <f t="shared" si="1"/>
        <v>113.02664418212478</v>
      </c>
      <c r="M14" s="1">
        <v>61.6</v>
      </c>
      <c r="N14" s="1">
        <v>66.8</v>
      </c>
      <c r="O14" s="1">
        <v>149.19999999999999</v>
      </c>
      <c r="P14" s="1">
        <v>41</v>
      </c>
      <c r="R14" s="1">
        <f t="shared" si="2"/>
        <v>128280</v>
      </c>
      <c r="S14" s="1">
        <f t="shared" si="0"/>
        <v>240000</v>
      </c>
      <c r="T14" s="46">
        <f t="shared" si="0"/>
        <v>22605.328836424957</v>
      </c>
      <c r="U14" s="1">
        <f t="shared" si="0"/>
        <v>12320</v>
      </c>
      <c r="V14" s="1">
        <f t="shared" si="0"/>
        <v>13360</v>
      </c>
      <c r="W14" s="1">
        <f t="shared" si="0"/>
        <v>29839.999999999996</v>
      </c>
      <c r="X14" s="1">
        <f t="shared" si="0"/>
        <v>8200</v>
      </c>
      <c r="Z14" s="4" t="s">
        <v>16</v>
      </c>
      <c r="AA14" s="4">
        <v>14</v>
      </c>
      <c r="AB14" s="47">
        <v>0.375</v>
      </c>
      <c r="AC14" s="6">
        <v>9389</v>
      </c>
      <c r="AE14" s="6">
        <v>875</v>
      </c>
      <c r="AF14" s="6">
        <f>C21</f>
        <v>524957</v>
      </c>
      <c r="AG14" s="6">
        <f>SUM(B20:H20)</f>
        <v>1268956</v>
      </c>
      <c r="AH14" s="6">
        <f t="shared" si="5"/>
        <v>2115.0999034206611</v>
      </c>
      <c r="AI14" s="6">
        <f>AC14+AH14</f>
        <v>11504.099903420662</v>
      </c>
      <c r="AJ14" s="6"/>
      <c r="AK14" s="6">
        <v>1174</v>
      </c>
      <c r="AL14" s="6">
        <v>9</v>
      </c>
      <c r="AM14" s="51" t="s">
        <v>144</v>
      </c>
      <c r="AN14" s="6">
        <f t="shared" si="6"/>
        <v>2837.8597561324073</v>
      </c>
      <c r="AS14" s="4"/>
      <c r="AT14" s="4"/>
      <c r="AU14" s="4"/>
      <c r="AV14" s="4"/>
    </row>
    <row r="15" spans="1:48" x14ac:dyDescent="0.2">
      <c r="A15" s="4">
        <v>7</v>
      </c>
      <c r="B15" s="1">
        <v>328200</v>
      </c>
      <c r="C15" s="1">
        <v>561412</v>
      </c>
      <c r="D15" s="1">
        <v>58560</v>
      </c>
      <c r="E15" s="1">
        <v>28440</v>
      </c>
      <c r="F15" s="1">
        <v>39120</v>
      </c>
      <c r="G15" s="1">
        <v>31080</v>
      </c>
      <c r="H15" s="1">
        <v>19360</v>
      </c>
      <c r="J15" s="1">
        <v>757.2</v>
      </c>
      <c r="K15" s="1">
        <v>1475</v>
      </c>
      <c r="L15" s="6">
        <f t="shared" si="1"/>
        <v>123.69023090586144</v>
      </c>
      <c r="M15" s="1">
        <v>81.400000000000006</v>
      </c>
      <c r="N15" s="1">
        <v>61.3</v>
      </c>
      <c r="O15" s="1">
        <v>107</v>
      </c>
      <c r="P15" s="1">
        <v>45.7</v>
      </c>
      <c r="R15" s="1">
        <f t="shared" si="2"/>
        <v>151440</v>
      </c>
      <c r="S15" s="1">
        <f t="shared" si="0"/>
        <v>295000</v>
      </c>
      <c r="T15" s="46">
        <f t="shared" si="0"/>
        <v>24738.046181172289</v>
      </c>
      <c r="U15" s="1">
        <f t="shared" si="0"/>
        <v>16280.000000000002</v>
      </c>
      <c r="V15" s="1">
        <f t="shared" si="0"/>
        <v>12260</v>
      </c>
      <c r="W15" s="1">
        <f t="shared" si="0"/>
        <v>21400</v>
      </c>
      <c r="X15" s="1">
        <f t="shared" si="0"/>
        <v>9140</v>
      </c>
      <c r="AS15" s="4"/>
      <c r="AT15" s="4"/>
      <c r="AU15" s="4"/>
      <c r="AV15" s="4"/>
    </row>
    <row r="16" spans="1:48" x14ac:dyDescent="0.2">
      <c r="A16" s="4">
        <v>8</v>
      </c>
      <c r="B16" s="1">
        <v>322800</v>
      </c>
      <c r="C16" s="1">
        <v>682838</v>
      </c>
      <c r="D16" s="1">
        <v>62640</v>
      </c>
      <c r="E16" s="1">
        <v>30240</v>
      </c>
      <c r="F16" s="1">
        <v>42000</v>
      </c>
      <c r="G16" s="1">
        <v>29400</v>
      </c>
      <c r="H16" s="1">
        <v>18640</v>
      </c>
      <c r="J16" s="1">
        <v>798.6</v>
      </c>
      <c r="K16" s="1">
        <v>1646</v>
      </c>
      <c r="L16" s="6">
        <f t="shared" si="1"/>
        <v>120.00797342192689</v>
      </c>
      <c r="M16" s="1">
        <v>73.099999999999994</v>
      </c>
      <c r="N16" s="1">
        <v>65.3</v>
      </c>
      <c r="O16" s="1">
        <v>114.4</v>
      </c>
      <c r="P16" s="1">
        <v>49.3</v>
      </c>
      <c r="R16" s="1">
        <f t="shared" si="2"/>
        <v>159720</v>
      </c>
      <c r="S16" s="1">
        <f t="shared" si="0"/>
        <v>329200</v>
      </c>
      <c r="T16" s="46">
        <f t="shared" si="0"/>
        <v>24001.594684385378</v>
      </c>
      <c r="U16" s="1">
        <f t="shared" si="0"/>
        <v>14619.999999999998</v>
      </c>
      <c r="V16" s="1">
        <f t="shared" si="0"/>
        <v>13060</v>
      </c>
      <c r="W16" s="1">
        <f t="shared" si="0"/>
        <v>22880</v>
      </c>
      <c r="X16" s="1">
        <f t="shared" si="0"/>
        <v>9860</v>
      </c>
      <c r="Z16" s="1" t="s">
        <v>140</v>
      </c>
      <c r="AS16" s="4"/>
      <c r="AT16" s="4"/>
      <c r="AU16" s="4"/>
      <c r="AV16" s="4"/>
    </row>
    <row r="17" spans="1:29" x14ac:dyDescent="0.2">
      <c r="A17" s="4">
        <v>9</v>
      </c>
      <c r="B17" s="1">
        <v>325200</v>
      </c>
      <c r="C17" s="1">
        <v>703254</v>
      </c>
      <c r="D17" s="1">
        <v>59520</v>
      </c>
      <c r="E17" s="1">
        <v>49320</v>
      </c>
      <c r="F17" s="1">
        <v>42600</v>
      </c>
      <c r="G17" s="1">
        <v>32400</v>
      </c>
      <c r="H17" s="1">
        <v>14960</v>
      </c>
      <c r="J17" s="1">
        <v>744.6</v>
      </c>
      <c r="K17" s="1">
        <v>1596</v>
      </c>
      <c r="L17" s="6">
        <f t="shared" si="1"/>
        <v>100.36553524804178</v>
      </c>
      <c r="M17" s="1">
        <v>88.2</v>
      </c>
      <c r="N17" s="1">
        <v>66.8</v>
      </c>
      <c r="O17" s="1">
        <v>130.19999999999999</v>
      </c>
      <c r="P17" s="1">
        <v>47.8</v>
      </c>
      <c r="R17" s="1">
        <f t="shared" si="2"/>
        <v>148920</v>
      </c>
      <c r="S17" s="1">
        <f t="shared" si="0"/>
        <v>319200</v>
      </c>
      <c r="T17" s="46">
        <f t="shared" si="0"/>
        <v>20073.107049608356</v>
      </c>
      <c r="U17" s="1">
        <f t="shared" si="0"/>
        <v>17640</v>
      </c>
      <c r="V17" s="1">
        <f t="shared" si="0"/>
        <v>13360</v>
      </c>
      <c r="W17" s="1">
        <f t="shared" si="0"/>
        <v>26039.999999999996</v>
      </c>
      <c r="X17" s="1">
        <f t="shared" si="0"/>
        <v>9560</v>
      </c>
      <c r="Z17" s="1" t="s">
        <v>67</v>
      </c>
      <c r="AB17" s="6">
        <v>771</v>
      </c>
      <c r="AC17" s="1" t="s">
        <v>68</v>
      </c>
    </row>
    <row r="18" spans="1:29" x14ac:dyDescent="0.2">
      <c r="A18" s="4">
        <v>10</v>
      </c>
      <c r="B18" s="1">
        <v>287400</v>
      </c>
      <c r="C18" s="1">
        <v>672928</v>
      </c>
      <c r="D18" s="1">
        <v>55200</v>
      </c>
      <c r="E18" s="1">
        <v>51120</v>
      </c>
      <c r="F18" s="1">
        <v>43560</v>
      </c>
      <c r="G18" s="1">
        <v>121080</v>
      </c>
      <c r="H18" s="1">
        <v>6560</v>
      </c>
      <c r="J18" s="1">
        <v>764.4</v>
      </c>
      <c r="K18" s="1">
        <v>1355</v>
      </c>
      <c r="L18" s="6">
        <f t="shared" si="1"/>
        <v>95.847908745247125</v>
      </c>
      <c r="M18" s="1">
        <v>94.3</v>
      </c>
      <c r="N18" s="1">
        <v>70.099999999999994</v>
      </c>
      <c r="O18" s="1">
        <v>561.5</v>
      </c>
      <c r="P18" s="1">
        <v>39.799999999999997</v>
      </c>
      <c r="R18" s="1">
        <f t="shared" si="2"/>
        <v>152880</v>
      </c>
      <c r="S18" s="1">
        <f t="shared" si="0"/>
        <v>271000</v>
      </c>
      <c r="T18" s="46">
        <f t="shared" si="0"/>
        <v>19169.581749049426</v>
      </c>
      <c r="U18" s="1">
        <f t="shared" si="0"/>
        <v>18860</v>
      </c>
      <c r="V18" s="1">
        <f t="shared" si="0"/>
        <v>14019.999999999998</v>
      </c>
      <c r="W18" s="1">
        <f t="shared" si="0"/>
        <v>112300</v>
      </c>
      <c r="X18" s="1">
        <f t="shared" si="0"/>
        <v>6560</v>
      </c>
      <c r="AB18" s="6">
        <f>C21</f>
        <v>524957</v>
      </c>
      <c r="AC18" s="1" t="s">
        <v>69</v>
      </c>
    </row>
    <row r="19" spans="1:29" x14ac:dyDescent="0.2">
      <c r="A19" s="4">
        <v>11</v>
      </c>
      <c r="B19" s="1">
        <v>313800</v>
      </c>
      <c r="C19" s="1">
        <v>650876</v>
      </c>
      <c r="D19" s="1">
        <v>56520</v>
      </c>
      <c r="E19" s="1">
        <v>60840</v>
      </c>
      <c r="F19" s="1">
        <v>47160</v>
      </c>
      <c r="G19" s="1">
        <v>252480</v>
      </c>
      <c r="H19" s="1">
        <v>9360</v>
      </c>
      <c r="J19" s="1">
        <v>623.4</v>
      </c>
      <c r="K19" s="1">
        <v>1382</v>
      </c>
      <c r="L19" s="6">
        <f t="shared" si="1"/>
        <v>96.397999999999996</v>
      </c>
      <c r="M19" s="1">
        <v>109.8</v>
      </c>
      <c r="N19" s="1">
        <v>74.400000000000006</v>
      </c>
      <c r="O19" s="1">
        <v>568.6</v>
      </c>
      <c r="P19" s="1">
        <v>50.4</v>
      </c>
      <c r="R19" s="1">
        <f t="shared" si="2"/>
        <v>124680</v>
      </c>
      <c r="S19" s="1">
        <f t="shared" si="0"/>
        <v>276400</v>
      </c>
      <c r="T19" s="46">
        <f t="shared" si="0"/>
        <v>19279.599999999999</v>
      </c>
      <c r="U19" s="1">
        <f t="shared" si="0"/>
        <v>21960</v>
      </c>
      <c r="V19" s="1">
        <f t="shared" si="0"/>
        <v>14880.000000000002</v>
      </c>
      <c r="W19" s="1">
        <f t="shared" si="0"/>
        <v>113720</v>
      </c>
      <c r="X19" s="1">
        <f t="shared" si="0"/>
        <v>9360</v>
      </c>
      <c r="Z19" s="1" t="s">
        <v>70</v>
      </c>
      <c r="AB19" s="6">
        <f>SUM(B20:H20)</f>
        <v>1268956</v>
      </c>
      <c r="AC19" s="1" t="s">
        <v>69</v>
      </c>
    </row>
    <row r="20" spans="1:29" x14ac:dyDescent="0.2">
      <c r="A20" s="4">
        <v>12</v>
      </c>
      <c r="B20" s="1">
        <v>256200</v>
      </c>
      <c r="C20" s="1">
        <v>566836</v>
      </c>
      <c r="D20" s="1">
        <v>56640</v>
      </c>
      <c r="E20" s="1">
        <v>64800</v>
      </c>
      <c r="F20" s="1">
        <v>48840</v>
      </c>
      <c r="G20" s="1">
        <v>264360</v>
      </c>
      <c r="H20" s="1">
        <v>11280</v>
      </c>
      <c r="J20" s="1">
        <v>656.4</v>
      </c>
      <c r="K20" s="1">
        <v>1174</v>
      </c>
      <c r="L20" s="6">
        <f t="shared" si="1"/>
        <v>96.244139387539619</v>
      </c>
      <c r="M20" s="1">
        <v>115.9</v>
      </c>
      <c r="N20" s="1">
        <v>77.2</v>
      </c>
      <c r="O20" s="1">
        <v>586.9</v>
      </c>
      <c r="P20" s="1">
        <v>67.099999999999994</v>
      </c>
      <c r="R20" s="1">
        <f t="shared" si="2"/>
        <v>131280</v>
      </c>
      <c r="S20" s="1">
        <f t="shared" si="0"/>
        <v>234800</v>
      </c>
      <c r="T20" s="46">
        <f t="shared" si="0"/>
        <v>19248.827877507923</v>
      </c>
      <c r="U20" s="1">
        <f t="shared" si="0"/>
        <v>23180</v>
      </c>
      <c r="V20" s="1">
        <f t="shared" si="0"/>
        <v>15440</v>
      </c>
      <c r="W20" s="1">
        <f t="shared" si="0"/>
        <v>117380</v>
      </c>
      <c r="X20" s="1">
        <f t="shared" si="0"/>
        <v>11280</v>
      </c>
      <c r="AB20" s="6">
        <f>AB17*AB19/AB18</f>
        <v>1863.7051720426625</v>
      </c>
      <c r="AC20" s="1" t="s">
        <v>71</v>
      </c>
    </row>
    <row r="21" spans="1:29" x14ac:dyDescent="0.2">
      <c r="A21" s="52" t="s">
        <v>79</v>
      </c>
      <c r="C21" s="1">
        <v>524957</v>
      </c>
    </row>
    <row r="22" spans="1:29" x14ac:dyDescent="0.2">
      <c r="G22" s="1" t="s">
        <v>66</v>
      </c>
      <c r="H22" s="1">
        <f>SUM(B9:H20)</f>
        <v>14930127</v>
      </c>
      <c r="O22" s="1" t="s">
        <v>66</v>
      </c>
      <c r="P22" s="1">
        <f>SUM(J9:P20)</f>
        <v>36249.41201675</v>
      </c>
      <c r="W22" s="1" t="s">
        <v>66</v>
      </c>
      <c r="X22" s="1">
        <f>SUM(R9:X20)</f>
        <v>7220622.4033500003</v>
      </c>
    </row>
  </sheetData>
  <pageMargins left="0.7" right="0.7" top="0.75" bottom="0.75" header="0.3" footer="0.3"/>
  <pageSetup scale="53" orientation="landscape" r:id="rId1"/>
  <headerFooter>
    <oddHeader>&amp;R&amp;"Arial,Regular"IR-15 - Attachment 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IR-15</vt:lpstr>
      <vt:lpstr>IR-15 Farms</vt:lpstr>
      <vt:lpstr>IR-15 Other</vt:lpstr>
      <vt:lpstr>'IR-15'!Print_Area</vt:lpstr>
      <vt:lpstr>'IR-15 Farms'!Print_Area</vt:lpstr>
      <vt:lpstr>'IR-15 Other'!Print_Area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2023-03-17T18:07:52Z</dcterms:modified>
</cp:coreProperties>
</file>