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\\mercury\users\FIN\Regulation\Applications and Filings\Rate Applications\2023 ECAM Collection Rate\Application to Adjust ECAM - October 1, 2023\"/>
    </mc:Choice>
  </mc:AlternateContent>
  <xr:revisionPtr revIDLastSave="0" documentId="13_ncr:1_{04C3A662-247A-4085-8583-556C677C7CB4}" xr6:coauthVersionLast="36" xr6:coauthVersionMax="36" xr10:uidLastSave="{00000000-0000-0000-0000-000000000000}"/>
  <bookViews>
    <workbookView xWindow="-15" yWindow="2685" windowWidth="7650" windowHeight="6030" tabRatio="834" firstSheet="2" activeTab="8" xr2:uid="{00000000-000D-0000-FFFF-FFFF00000000}"/>
  </bookViews>
  <sheets>
    <sheet name="Appendix A 2022 ECAM Schedule" sheetId="10" r:id="rId1"/>
    <sheet name="Table 1 Energy Costs Deferred" sheetId="18" r:id="rId2"/>
    <sheet name="Table 2 ECAM Collections" sheetId="19" r:id="rId3"/>
    <sheet name="Table 4 Lepreau Replacement En" sheetId="21" r:id="rId4"/>
    <sheet name="Table 5 Add Amt to Coll &amp; Rate" sheetId="14" r:id="rId5"/>
    <sheet name="Table 6 kWh Sales" sheetId="15" r:id="rId6"/>
    <sheet name="Table 7 Oct 23 to Sep 24 Colln " sheetId="13" r:id="rId7"/>
    <sheet name="Table 8 Energy Charge per kWh" sheetId="22" r:id="rId8"/>
    <sheet name="Tables 9-11 Annual Cust Impact" sheetId="25" r:id="rId9"/>
    <sheet name="Customer Impact Summary" sheetId="20" state="hidden" r:id="rId10"/>
    <sheet name="Customer Impact Mar - Feb" sheetId="24" state="hidden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0">'Appendix A 2022 ECAM Schedule'!$A$1:$N$42</definedName>
    <definedName name="_xlnm.Print_Titles" localSheetId="0">'Appendix A 2022 ECAM Schedule'!$1:$3</definedName>
  </definedNames>
  <calcPr calcId="191029"/>
</workbook>
</file>

<file path=xl/calcChain.xml><?xml version="1.0" encoding="utf-8"?>
<calcChain xmlns="http://schemas.openxmlformats.org/spreadsheetml/2006/main">
  <c r="C21" i="25" l="1"/>
  <c r="B21" i="25"/>
  <c r="C5" i="25"/>
  <c r="B6" i="25"/>
  <c r="C6" i="25"/>
  <c r="B7" i="25"/>
  <c r="B18" i="20" l="1"/>
  <c r="B14" i="20"/>
  <c r="B12" i="20"/>
  <c r="B8" i="20"/>
  <c r="B6" i="20"/>
  <c r="B45" i="25"/>
  <c r="C45" i="25" s="1"/>
  <c r="C44" i="25"/>
  <c r="B44" i="25"/>
  <c r="B42" i="25"/>
  <c r="C42" i="25" s="1"/>
  <c r="C41" i="25"/>
  <c r="C40" i="25"/>
  <c r="C22" i="25"/>
  <c r="B9" i="25"/>
  <c r="B26" i="25" s="1"/>
  <c r="C8" i="25"/>
  <c r="C25" i="25" s="1"/>
  <c r="B8" i="25"/>
  <c r="B25" i="25" s="1"/>
  <c r="C23" i="25"/>
  <c r="A29" i="25"/>
  <c r="A28" i="25"/>
  <c r="B39" i="25"/>
  <c r="C39" i="25"/>
  <c r="B47" i="24"/>
  <c r="B48" i="24"/>
  <c r="B46" i="24"/>
  <c r="C44" i="24"/>
  <c r="A26" i="24"/>
  <c r="B10" i="24"/>
  <c r="C10" i="24" s="1"/>
  <c r="B9" i="24"/>
  <c r="C9" i="24" s="1"/>
  <c r="B8" i="24"/>
  <c r="B26" i="24" s="1"/>
  <c r="C26" i="24" s="1"/>
  <c r="B7" i="24"/>
  <c r="B6" i="24"/>
  <c r="C6" i="24" s="1"/>
  <c r="B23" i="25" l="1"/>
  <c r="C8" i="24"/>
  <c r="C43" i="24" l="1"/>
  <c r="D43" i="24" s="1"/>
  <c r="C42" i="24"/>
  <c r="D42" i="24" s="1"/>
  <c r="C23" i="24"/>
  <c r="D23" i="24" s="1"/>
  <c r="D5" i="24"/>
  <c r="C5" i="24"/>
  <c r="C28" i="24"/>
  <c r="D28" i="24"/>
  <c r="B28" i="24"/>
  <c r="C27" i="24"/>
  <c r="D27" i="24"/>
  <c r="B27" i="24"/>
  <c r="D25" i="24"/>
  <c r="B25" i="24"/>
  <c r="C24" i="24"/>
  <c r="D24" i="24"/>
  <c r="D29" i="24" s="1"/>
  <c r="D30" i="24" s="1"/>
  <c r="B24" i="24"/>
  <c r="C4" i="24"/>
  <c r="C22" i="24" s="1"/>
  <c r="C41" i="24" s="1"/>
  <c r="D4" i="24"/>
  <c r="D22" i="24" s="1"/>
  <c r="D41" i="24" s="1"/>
  <c r="B4" i="24"/>
  <c r="B22" i="24" s="1"/>
  <c r="B41" i="24" s="1"/>
  <c r="A31" i="24"/>
  <c r="A30" i="24"/>
  <c r="B31" i="24" l="1"/>
  <c r="D31" i="24"/>
  <c r="B13" i="24"/>
  <c r="D13" i="24"/>
  <c r="B29" i="24"/>
  <c r="C49" i="24"/>
  <c r="D11" i="24"/>
  <c r="D12" i="24" s="1"/>
  <c r="D49" i="24"/>
  <c r="B49" i="24"/>
  <c r="B50" i="24" s="1"/>
  <c r="B11" i="24"/>
  <c r="C50" i="24" l="1"/>
  <c r="C51" i="24" s="1"/>
  <c r="D50" i="24"/>
  <c r="D51" i="24" s="1"/>
  <c r="D53" i="24"/>
  <c r="D14" i="24"/>
  <c r="B12" i="24"/>
  <c r="B14" i="24" s="1"/>
  <c r="B51" i="24"/>
  <c r="D32" i="24"/>
  <c r="C53" i="24"/>
  <c r="B30" i="24"/>
  <c r="B32" i="24" s="1"/>
  <c r="D54" i="24" l="1"/>
  <c r="C54" i="24"/>
  <c r="B17" i="22" l="1"/>
  <c r="C15" i="22"/>
  <c r="C19" i="22"/>
  <c r="C18" i="22"/>
  <c r="C9" i="25" s="1"/>
  <c r="C26" i="25" s="1"/>
  <c r="C13" i="22"/>
  <c r="C23" i="22" s="1"/>
  <c r="D13" i="22"/>
  <c r="D23" i="22" s="1"/>
  <c r="B13" i="22"/>
  <c r="B23" i="22" s="1"/>
  <c r="C5" i="22"/>
  <c r="C6" i="22"/>
  <c r="C7" i="22"/>
  <c r="C8" i="22"/>
  <c r="C9" i="22"/>
  <c r="C10" i="22"/>
  <c r="C4" i="22"/>
  <c r="A23" i="22"/>
  <c r="B43" i="25" l="1"/>
  <c r="B46" i="25" s="1"/>
  <c r="B47" i="25" s="1"/>
  <c r="B48" i="25" s="1"/>
  <c r="B20" i="22"/>
  <c r="B29" i="22" s="1"/>
  <c r="B26" i="22"/>
  <c r="B24" i="22" l="1"/>
  <c r="B30" i="22"/>
  <c r="B24" i="25"/>
  <c r="B29" i="25" s="1"/>
  <c r="B12" i="25"/>
  <c r="B10" i="25"/>
  <c r="B11" i="25" s="1"/>
  <c r="B25" i="22"/>
  <c r="B28" i="22"/>
  <c r="B27" i="22"/>
  <c r="B13" i="25" l="1"/>
  <c r="B27" i="25"/>
  <c r="B6" i="13"/>
  <c r="B16" i="13"/>
  <c r="B15" i="13"/>
  <c r="B14" i="13"/>
  <c r="B13" i="13"/>
  <c r="B12" i="13"/>
  <c r="B11" i="13"/>
  <c r="B10" i="13"/>
  <c r="B9" i="13"/>
  <c r="B8" i="13"/>
  <c r="B7" i="13"/>
  <c r="B5" i="13"/>
  <c r="B4" i="13"/>
  <c r="B28" i="25" l="1"/>
  <c r="B30" i="25" s="1"/>
  <c r="B10" i="15"/>
  <c r="B9" i="15"/>
  <c r="B8" i="15"/>
  <c r="B7" i="15"/>
  <c r="B6" i="15"/>
  <c r="B5" i="15"/>
  <c r="B11" i="15" l="1"/>
  <c r="D10" i="15" l="1"/>
  <c r="D9" i="15"/>
  <c r="D8" i="15"/>
  <c r="D7" i="15"/>
  <c r="D6" i="15"/>
  <c r="D5" i="15"/>
  <c r="D5" i="21"/>
  <c r="C11" i="15"/>
  <c r="D11" i="15" s="1"/>
  <c r="D6" i="21" l="1"/>
  <c r="E6" i="21" s="1"/>
  <c r="B8" i="21"/>
  <c r="C5" i="21" l="1"/>
  <c r="C8" i="21" s="1"/>
  <c r="D4" i="21"/>
  <c r="E4" i="21" s="1"/>
  <c r="E5" i="21" l="1"/>
  <c r="B20" i="20" l="1"/>
  <c r="D7" i="21" l="1"/>
  <c r="E7" i="21" l="1"/>
  <c r="E8" i="21" s="1"/>
  <c r="D8" i="21"/>
  <c r="A4" i="14" l="1"/>
  <c r="A3" i="14"/>
  <c r="C40" i="10"/>
  <c r="D40" i="10"/>
  <c r="D42" i="10" s="1"/>
  <c r="D35" i="10" s="1"/>
  <c r="E40" i="10"/>
  <c r="F40" i="10"/>
  <c r="G40" i="10"/>
  <c r="H40" i="10"/>
  <c r="I40" i="10"/>
  <c r="J40" i="10"/>
  <c r="K40" i="10"/>
  <c r="L40" i="10"/>
  <c r="L42" i="10" s="1"/>
  <c r="L35" i="10" s="1"/>
  <c r="M40" i="10"/>
  <c r="B40" i="10"/>
  <c r="A42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I42" i="10"/>
  <c r="I35" i="10" s="1"/>
  <c r="F42" i="10" l="1"/>
  <c r="F35" i="10" s="1"/>
  <c r="G42" i="10"/>
  <c r="G35" i="10" s="1"/>
  <c r="K42" i="10"/>
  <c r="K35" i="10" s="1"/>
  <c r="M42" i="10"/>
  <c r="M35" i="10" s="1"/>
  <c r="C42" i="10"/>
  <c r="C35" i="10" s="1"/>
  <c r="B42" i="10"/>
  <c r="B35" i="10" s="1"/>
  <c r="J42" i="10"/>
  <c r="J35" i="10" s="1"/>
  <c r="H42" i="10"/>
  <c r="H35" i="10" s="1"/>
  <c r="N40" i="10"/>
  <c r="E42" i="10"/>
  <c r="N42" i="10" l="1"/>
  <c r="N41" i="10" s="1"/>
  <c r="E35" i="10"/>
  <c r="C6" i="14" l="1"/>
  <c r="C18" i="10" l="1"/>
  <c r="D18" i="10"/>
  <c r="E18" i="10"/>
  <c r="F18" i="10"/>
  <c r="G18" i="10"/>
  <c r="H18" i="10"/>
  <c r="I18" i="10"/>
  <c r="J18" i="10"/>
  <c r="K18" i="10"/>
  <c r="L18" i="10"/>
  <c r="M18" i="10"/>
  <c r="B18" i="10"/>
  <c r="N29" i="10" l="1"/>
  <c r="C10" i="10"/>
  <c r="N33" i="10"/>
  <c r="G31" i="10"/>
  <c r="D10" i="10" l="1"/>
  <c r="K31" i="10"/>
  <c r="C31" i="10"/>
  <c r="J31" i="10"/>
  <c r="F31" i="10"/>
  <c r="M31" i="10"/>
  <c r="I31" i="10"/>
  <c r="E31" i="10"/>
  <c r="L31" i="10"/>
  <c r="N30" i="10"/>
  <c r="N31" i="10" s="1"/>
  <c r="B31" i="10"/>
  <c r="H31" i="10"/>
  <c r="D31" i="10"/>
  <c r="N20" i="10"/>
  <c r="E10" i="10" l="1"/>
  <c r="F10" i="10" l="1"/>
  <c r="G10" i="10" l="1"/>
  <c r="H10" i="10" l="1"/>
  <c r="I10" i="10" l="1"/>
  <c r="J10" i="10" l="1"/>
  <c r="K10" i="10" l="1"/>
  <c r="L10" i="10" l="1"/>
  <c r="M10" i="10" l="1"/>
  <c r="N16" i="10" l="1"/>
  <c r="B17" i="13" l="1"/>
  <c r="B25" i="10" l="1"/>
  <c r="C25" i="10" l="1"/>
  <c r="D25" i="10" l="1"/>
  <c r="E25" i="10" l="1"/>
  <c r="F25" i="10" l="1"/>
  <c r="G25" i="10" l="1"/>
  <c r="H25" i="10" l="1"/>
  <c r="I25" i="10" l="1"/>
  <c r="N35" i="10" l="1"/>
  <c r="C5" i="19" s="1"/>
  <c r="C6" i="19" s="1"/>
  <c r="C4" i="14" s="1"/>
  <c r="J25" i="10" l="1"/>
  <c r="K25" i="10" l="1"/>
  <c r="L25" i="10" l="1"/>
  <c r="M25" i="10" l="1"/>
  <c r="N23" i="10"/>
  <c r="C5" i="18" l="1"/>
  <c r="N25" i="10"/>
  <c r="N24" i="10" l="1"/>
  <c r="C6" i="18" l="1"/>
  <c r="C7" i="18" s="1"/>
  <c r="N12" i="10" l="1"/>
  <c r="N13" i="10"/>
  <c r="N17" i="10"/>
  <c r="B27" i="10" l="1"/>
  <c r="B34" i="10" s="1"/>
  <c r="B36" i="10" s="1"/>
  <c r="B21" i="10"/>
  <c r="B37" i="10" l="1"/>
  <c r="C33" i="10"/>
  <c r="N15" i="10" l="1"/>
  <c r="N14" i="10"/>
  <c r="C21" i="10"/>
  <c r="C27" i="10"/>
  <c r="C34" i="10" s="1"/>
  <c r="C36" i="10" s="1"/>
  <c r="D21" i="10" l="1"/>
  <c r="D27" i="10"/>
  <c r="D34" i="10" s="1"/>
  <c r="C37" i="10"/>
  <c r="D33" i="10"/>
  <c r="E21" i="10" l="1"/>
  <c r="E27" i="10"/>
  <c r="E34" i="10" s="1"/>
  <c r="D36" i="10"/>
  <c r="D37" i="10" l="1"/>
  <c r="E33" i="10"/>
  <c r="E36" i="10" s="1"/>
  <c r="F21" i="10"/>
  <c r="F27" i="10"/>
  <c r="F34" i="10" s="1"/>
  <c r="G21" i="10" l="1"/>
  <c r="G27" i="10"/>
  <c r="G34" i="10" s="1"/>
  <c r="E37" i="10"/>
  <c r="F33" i="10"/>
  <c r="F36" i="10" s="1"/>
  <c r="I21" i="10" l="1"/>
  <c r="I27" i="10"/>
  <c r="I34" i="10" s="1"/>
  <c r="H21" i="10"/>
  <c r="H27" i="10"/>
  <c r="H34" i="10" s="1"/>
  <c r="J21" i="10"/>
  <c r="J27" i="10"/>
  <c r="J34" i="10" s="1"/>
  <c r="G33" i="10"/>
  <c r="G36" i="10" s="1"/>
  <c r="F37" i="10"/>
  <c r="L21" i="10" l="1"/>
  <c r="L27" i="10"/>
  <c r="L34" i="10" s="1"/>
  <c r="K21" i="10"/>
  <c r="K27" i="10"/>
  <c r="K34" i="10" s="1"/>
  <c r="G37" i="10"/>
  <c r="H33" i="10"/>
  <c r="H36" i="10" s="1"/>
  <c r="I33" i="10" l="1"/>
  <c r="I36" i="10" s="1"/>
  <c r="H37" i="10"/>
  <c r="N11" i="10"/>
  <c r="M21" i="10"/>
  <c r="N21" i="10" s="1"/>
  <c r="M27" i="10"/>
  <c r="M34" i="10" s="1"/>
  <c r="N34" i="10" s="1"/>
  <c r="N36" i="10" s="1"/>
  <c r="N37" i="10" s="1"/>
  <c r="N18" i="10" l="1"/>
  <c r="C9" i="14"/>
  <c r="C4" i="18"/>
  <c r="C8" i="18" s="1"/>
  <c r="C10" i="18" s="1"/>
  <c r="C3" i="14" s="1"/>
  <c r="C5" i="14" s="1"/>
  <c r="C7" i="14" s="1"/>
  <c r="N27" i="10"/>
  <c r="J33" i="10"/>
  <c r="J36" i="10" s="1"/>
  <c r="I37" i="10"/>
  <c r="C16" i="22" l="1"/>
  <c r="C4" i="13"/>
  <c r="D4" i="13" s="1"/>
  <c r="C11" i="14"/>
  <c r="K33" i="10"/>
  <c r="K36" i="10" s="1"/>
  <c r="J37" i="10"/>
  <c r="C17" i="22" l="1"/>
  <c r="D16" i="22"/>
  <c r="D17" i="22" s="1"/>
  <c r="D20" i="22" s="1"/>
  <c r="K37" i="10"/>
  <c r="L33" i="10"/>
  <c r="L36" i="10" s="1"/>
  <c r="D30" i="22" l="1"/>
  <c r="D28" i="22"/>
  <c r="D24" i="22"/>
  <c r="D27" i="22"/>
  <c r="D29" i="22"/>
  <c r="D25" i="22"/>
  <c r="D26" i="22"/>
  <c r="C7" i="25"/>
  <c r="C43" i="25"/>
  <c r="C46" i="25" s="1"/>
  <c r="C20" i="22"/>
  <c r="L37" i="10"/>
  <c r="M33" i="10"/>
  <c r="M36" i="10" s="1"/>
  <c r="C24" i="25" l="1"/>
  <c r="C12" i="25"/>
  <c r="C10" i="25"/>
  <c r="C11" i="25" s="1"/>
  <c r="C13" i="25" s="1"/>
  <c r="C26" i="22"/>
  <c r="C24" i="22"/>
  <c r="C27" i="22"/>
  <c r="C28" i="22"/>
  <c r="C25" i="22"/>
  <c r="C30" i="22"/>
  <c r="C29" i="22"/>
  <c r="C50" i="25"/>
  <c r="C47" i="25"/>
  <c r="C48" i="25" s="1"/>
  <c r="C51" i="25" s="1"/>
  <c r="M37" i="10"/>
  <c r="C18" i="20" l="1"/>
  <c r="C6" i="20"/>
  <c r="C12" i="20"/>
  <c r="C20" i="20"/>
  <c r="C21" i="20" s="1"/>
  <c r="C19" i="20"/>
  <c r="C15" i="25"/>
  <c r="C16" i="25"/>
  <c r="C27" i="25"/>
  <c r="C29" i="25"/>
  <c r="C17" i="13"/>
  <c r="C32" i="25" l="1"/>
  <c r="C28" i="25"/>
  <c r="C30" i="25" s="1"/>
  <c r="C33" i="25" s="1"/>
  <c r="C14" i="20"/>
  <c r="C15" i="20" s="1"/>
  <c r="C13" i="20"/>
  <c r="C7" i="20"/>
  <c r="C8" i="20"/>
  <c r="C9" i="20" s="1"/>
  <c r="C5" i="13"/>
  <c r="C6" i="13" l="1"/>
  <c r="D5" i="13"/>
  <c r="C7" i="13" l="1"/>
  <c r="D6" i="13"/>
  <c r="C8" i="13" l="1"/>
  <c r="D7" i="13"/>
  <c r="C9" i="13" l="1"/>
  <c r="D8" i="13"/>
  <c r="C10" i="13" l="1"/>
  <c r="D9" i="13"/>
  <c r="C11" i="13" l="1"/>
  <c r="D10" i="13"/>
  <c r="C12" i="13" l="1"/>
  <c r="D11" i="13"/>
  <c r="C13" i="13" l="1"/>
  <c r="D12" i="13"/>
  <c r="C14" i="13" l="1"/>
  <c r="D13" i="13"/>
  <c r="C15" i="13" l="1"/>
  <c r="D14" i="13"/>
  <c r="D15" i="13" l="1"/>
  <c r="C16" i="13"/>
  <c r="D16" i="13" s="1"/>
  <c r="D17" i="13" l="1"/>
  <c r="C7" i="24" l="1"/>
  <c r="C11" i="24" l="1"/>
  <c r="C25" i="24"/>
  <c r="C13" i="24"/>
  <c r="C29" i="24" l="1"/>
  <c r="C31" i="24"/>
  <c r="C12" i="24"/>
  <c r="C14" i="24" s="1"/>
  <c r="D16" i="24"/>
  <c r="C16" i="24"/>
  <c r="D17" i="24" l="1"/>
  <c r="C17" i="24"/>
  <c r="C30" i="24"/>
  <c r="C32" i="24" s="1"/>
  <c r="C34" i="24"/>
  <c r="D34" i="24"/>
  <c r="D35" i="24" l="1"/>
  <c r="C35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Gorveatt, Chelsey</author>
  </authors>
  <commentList>
    <comment ref="B33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Gorveatt, Chelsey:</t>
        </r>
        <r>
          <rPr>
            <sz val="9"/>
            <color indexed="81"/>
            <rFont val="Tahoma"/>
            <family val="2"/>
          </rPr>
          <t xml:space="preserve">
Dec 2020 balance applied to RORA</t>
        </r>
      </text>
    </comment>
  </commentList>
</comments>
</file>

<file path=xl/sharedStrings.xml><?xml version="1.0" encoding="utf-8"?>
<sst xmlns="http://schemas.openxmlformats.org/spreadsheetml/2006/main" count="235" uniqueCount="150">
  <si>
    <t>Total</t>
  </si>
  <si>
    <t>Unmetered</t>
  </si>
  <si>
    <t>Residential</t>
  </si>
  <si>
    <t>Large Industrial</t>
  </si>
  <si>
    <t xml:space="preserve">Base Energy Costs </t>
  </si>
  <si>
    <t>Purchased Energy Costs</t>
  </si>
  <si>
    <t>Lepreau Energy Costs</t>
  </si>
  <si>
    <t>Generation Fuel Costs-PEI Plants</t>
  </si>
  <si>
    <t>PEI Plant Operating Costs</t>
  </si>
  <si>
    <t>Appendix A</t>
  </si>
  <si>
    <t>Base Rate/kWh</t>
  </si>
  <si>
    <t>Amortization - Pt Lepreau Deferred Charge &amp; DSM</t>
  </si>
  <si>
    <t>Renewable Energy Costs</t>
  </si>
  <si>
    <t>Current Month Replacement Energy Costs</t>
  </si>
  <si>
    <t>Net Purchased &amp; Produced Energy - kWh (NPP)</t>
  </si>
  <si>
    <t>Difference Between Actual &amp; Base Energy Costs</t>
  </si>
  <si>
    <t>Opening Balance - Pt Lepreau Replacement Costs</t>
  </si>
  <si>
    <t>Additions (Reductions)</t>
  </si>
  <si>
    <t>Closing Balance - Pt Lepreau Replacement Costs</t>
  </si>
  <si>
    <t>Opening Balance - Regular ECAM</t>
  </si>
  <si>
    <t>Additions/(Reductions)</t>
  </si>
  <si>
    <t>Rebated/(Collected) From Ratepayer</t>
  </si>
  <si>
    <t xml:space="preserve">Closing Balance - Regular ECAM </t>
  </si>
  <si>
    <t>General Ledger Closing Balance</t>
  </si>
  <si>
    <t>Energy Cost Adjustment Mechanism</t>
  </si>
  <si>
    <t>Total Energy Costs - Incl Pt Lepreau Replacement</t>
  </si>
  <si>
    <t>Less: Insurance, Property Tax &amp; Training</t>
  </si>
  <si>
    <t>ACTUAL</t>
  </si>
  <si>
    <t>ECAM Recovery</t>
  </si>
  <si>
    <t>Proposed ECAM Rate Adjustment</t>
  </si>
  <si>
    <t>Collection Month</t>
  </si>
  <si>
    <t>* Assumes that the proposed ECAM Rate Adjustment will be prorated on customer bills based on consumption period as set out in the Commission's letter of direction dated January 22, 2021.</t>
  </si>
  <si>
    <t>Forecast kWh Sales</t>
  </si>
  <si>
    <t>Total Sales</t>
  </si>
  <si>
    <t>Class</t>
  </si>
  <si>
    <t>ECAM Rate Adjustment per kWh</t>
  </si>
  <si>
    <t>Total Net Purchased and Produced Energy per kWh</t>
  </si>
  <si>
    <t>ECAM Base Rate per kWh</t>
  </si>
  <si>
    <t>Total Base Energy Costs</t>
  </si>
  <si>
    <t>A</t>
  </si>
  <si>
    <t>B</t>
  </si>
  <si>
    <t>C</t>
  </si>
  <si>
    <t>D = B X C</t>
  </si>
  <si>
    <t>E = A - D</t>
  </si>
  <si>
    <t>Energy Costs Deferred to ECAM</t>
  </si>
  <si>
    <t>APPENDIX A</t>
  </si>
  <si>
    <t>TABLE 1</t>
  </si>
  <si>
    <t>Small Industrial</t>
  </si>
  <si>
    <t>Street Lighting</t>
  </si>
  <si>
    <t>2022 Monthly ECAM Schedule</t>
  </si>
  <si>
    <t>January 1 to December 31, 2022</t>
  </si>
  <si>
    <t>Total 2022 Actual  Energy Costs Applicable to ECAM</t>
  </si>
  <si>
    <t>Forecast kWh Sales - October 1, 2023 to September 30, 2024</t>
  </si>
  <si>
    <t>October 1, 2023 - September 30, 2024</t>
  </si>
  <si>
    <t>October-23*</t>
  </si>
  <si>
    <t>October-24*</t>
  </si>
  <si>
    <t>Table 6</t>
  </si>
  <si>
    <t>Actual ECAM Balance, December 31, 2022</t>
  </si>
  <si>
    <t>Difference to be Collected - October 1, 2023 to September 30, 2024</t>
  </si>
  <si>
    <t>F</t>
  </si>
  <si>
    <t>GRA Forecast 2022 Energy Costs Deferred to ECAM</t>
  </si>
  <si>
    <t>Difference Between 2022 Actual and GRA Forecast Energy Costs Deferred to ECAM</t>
  </si>
  <si>
    <t>G = E - F</t>
  </si>
  <si>
    <t>Actual ECAM Collections from Customers in 2022</t>
  </si>
  <si>
    <t>Shortfall in Actual ECAM Collections from Customers from GRA Forecast</t>
  </si>
  <si>
    <t>TABLE 2</t>
  </si>
  <si>
    <t>ECAM Collections from Customers</t>
  </si>
  <si>
    <t>C = B - A</t>
  </si>
  <si>
    <t>Energy Sales - kWh</t>
  </si>
  <si>
    <t>ECAM Adjustment Rate per kWh</t>
  </si>
  <si>
    <t>GRA Forecast ECAM Collections from Customers in 2022 per GRA Appendix H</t>
  </si>
  <si>
    <t>TOTAL</t>
  </si>
  <si>
    <t>Table 1</t>
  </si>
  <si>
    <t>Additional Balance to be Collected from Customers, December 31, 2022</t>
  </si>
  <si>
    <t>Additional 2022 Balance to be Collected and Additional Collection Rate</t>
  </si>
  <si>
    <t>Table 2</t>
  </si>
  <si>
    <t>Table 5</t>
  </si>
  <si>
    <t>GRA Appendix H</t>
  </si>
  <si>
    <t>Less: GRA Forecast ECAM Balance, December 31, 2022</t>
  </si>
  <si>
    <t>Forecast Recovery of ECAM by Month</t>
  </si>
  <si>
    <t>Impact on Annual Cost</t>
  </si>
  <si>
    <t>Annual Cost for Benchmark Rural Residential Customer (650kWh per Month/7,800 kWh per Year)</t>
  </si>
  <si>
    <t xml:space="preserve">  Before Tax Cost</t>
  </si>
  <si>
    <t xml:space="preserve">  Total Cost</t>
  </si>
  <si>
    <t>Annual Cost for Benchmark Urban Residential Customer (650kWh per Month/7,800 kWh per Year)</t>
  </si>
  <si>
    <t>Annual Cost for Benchmark General Service Customer (10,000kWh/50KW per Month / 120,000 kWh/600KW per Year)</t>
  </si>
  <si>
    <t>Proposed Rates</t>
  </si>
  <si>
    <t>UE 23-04 Approved Rates</t>
  </si>
  <si>
    <t>2022 Energy Costs Deferred to ECAM</t>
  </si>
  <si>
    <t>Outage Period</t>
  </si>
  <si>
    <t>Total Days</t>
  </si>
  <si>
    <t>January Unplanned</t>
  </si>
  <si>
    <t>December Unplanned</t>
  </si>
  <si>
    <t>Actual</t>
  </si>
  <si>
    <t>April – August Planned/Extended</t>
  </si>
  <si>
    <t>Increase</t>
  </si>
  <si>
    <t>GRA Forecast</t>
  </si>
  <si>
    <t>2022 Lepreau Replacement Energy Cost</t>
  </si>
  <si>
    <t>TABLE 4</t>
  </si>
  <si>
    <t>September Unplanned</t>
  </si>
  <si>
    <t>Consumption Period</t>
  </si>
  <si>
    <t>Forecast Growth</t>
  </si>
  <si>
    <t>October 1, 2022 - September 30, 2023</t>
  </si>
  <si>
    <t>General Service</t>
  </si>
  <si>
    <t>Table 7</t>
  </si>
  <si>
    <t>Energy Charge per kWh - Revenue Requirement (A)</t>
  </si>
  <si>
    <t>Residential - First Block</t>
  </si>
  <si>
    <t>Residential - Second Block</t>
  </si>
  <si>
    <t>General Service - First Block</t>
  </si>
  <si>
    <t>General Service - Second Block</t>
  </si>
  <si>
    <t>Small Industrial - First Block</t>
  </si>
  <si>
    <t>Small Industrial - Second Block</t>
  </si>
  <si>
    <t>Energy Charges per kWh - Other Amounts (B)</t>
  </si>
  <si>
    <t>Description</t>
  </si>
  <si>
    <t>ECAM Charge per kWh</t>
  </si>
  <si>
    <t>Provincial Energy Efficiency Program per kWh</t>
  </si>
  <si>
    <t>RORA per kWh</t>
  </si>
  <si>
    <t xml:space="preserve">  Total Energy Charge per kWh - Other Amounts</t>
  </si>
  <si>
    <t>Total Energy Charge per kWh (A+B)</t>
  </si>
  <si>
    <t xml:space="preserve">  Approved Order UE24-04</t>
  </si>
  <si>
    <t xml:space="preserve">  Proposed October 1, 2023 Adjustment</t>
  </si>
  <si>
    <t xml:space="preserve">  Total ECAM Charge per kWh</t>
  </si>
  <si>
    <t>Annual Cost for Rural Residential Customer (650kWh per Month/7,800 kWh per Year)</t>
  </si>
  <si>
    <t>March 1 to February 28</t>
  </si>
  <si>
    <t>Service Charge</t>
  </si>
  <si>
    <t>Basic Energy Charge</t>
  </si>
  <si>
    <t>ECAM Charge</t>
  </si>
  <si>
    <t>Provincial Energy Efficiency Program</t>
  </si>
  <si>
    <t>RORA</t>
  </si>
  <si>
    <t xml:space="preserve">  Sub-total</t>
  </si>
  <si>
    <t>HST</t>
  </si>
  <si>
    <t>Provincial Clean Energy Rebate*</t>
  </si>
  <si>
    <t>Total Annual Cost</t>
  </si>
  <si>
    <t>Percentage Annual Increase (%)</t>
  </si>
  <si>
    <t xml:space="preserve">    Before Tax</t>
  </si>
  <si>
    <t xml:space="preserve">      After Tax</t>
  </si>
  <si>
    <t>Demand Charge</t>
  </si>
  <si>
    <t>Annual Cost for General Service Customer</t>
  </si>
  <si>
    <t>Annual Cost for Urban Residential Customer (650kWh per Month/7,800 kWh per Year)</t>
  </si>
  <si>
    <t>(10,000kWh/50KW per Month / 120,000 kWh/600KW per Year)</t>
  </si>
  <si>
    <t>HST*</t>
  </si>
  <si>
    <t>Table 8</t>
  </si>
  <si>
    <t>Table 9</t>
  </si>
  <si>
    <t>Table 10</t>
  </si>
  <si>
    <t>Provincial Costs Recoverable</t>
  </si>
  <si>
    <t>Assumes October 1, 2023 rate adjustment will remain in effect beyond September 30, 2024.</t>
  </si>
  <si>
    <t>Table 11</t>
  </si>
  <si>
    <t>Approved May 1, 2023</t>
  </si>
  <si>
    <t>Proposed October 1, 2024</t>
  </si>
  <si>
    <t>TABLE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</si>
</sst>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.0000_);_(&quot;$&quot;* \(#,##0.0000\);_(&quot;$&quot;* &quot;-&quot;??_);_(@_)"/>
    <numFmt numFmtId="167" formatCode="_(&quot;$&quot;* #,##0.00000_);_(&quot;$&quot;* \(#,##0.00000\);_(&quot;$&quot;* &quot;-&quot;??_);_(@_)"/>
    <numFmt numFmtId="168" formatCode="0.00000"/>
    <numFmt numFmtId="169" formatCode="_(* #,##0.00000_);_(* \(#,##0.00000\);_(* &quot;-&quot;??_);_(@_)"/>
    <numFmt numFmtId="170" formatCode="_(&quot;$&quot;* #,##0_);_(&quot;$&quot;* \(#,##0\);_(&quot;$&quot;* &quot;-&quot;??_);_(@_)"/>
    <numFmt numFmtId="171" formatCode="[$-409]mmmm\-yy;@"/>
    <numFmt numFmtId="172" formatCode="&quot;$&quot;#,##0.0000_);[Red]\(&quot;$&quot;#,##0.0000\)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3"/>
      <color indexed="3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u/>
      <sz val="1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4">
    <xf numFmtId="0" fontId="0" fillId="0" borderId="0" xfId="0"/>
    <xf numFmtId="0" fontId="0" fillId="0" borderId="0" xfId="0" applyFill="1"/>
    <xf numFmtId="0" fontId="0" fillId="0" borderId="0" xfId="0" applyBorder="1"/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6" fillId="0" borderId="0" xfId="0" applyFont="1"/>
    <xf numFmtId="165" fontId="0" fillId="0" borderId="2" xfId="3" applyNumberFormat="1" applyFont="1" applyBorder="1"/>
    <xf numFmtId="164" fontId="0" fillId="0" borderId="0" xfId="0" applyNumberFormat="1" applyBorder="1"/>
    <xf numFmtId="41" fontId="0" fillId="0" borderId="0" xfId="0" applyNumberFormat="1" applyBorder="1"/>
    <xf numFmtId="169" fontId="0" fillId="0" borderId="0" xfId="0" applyNumberFormat="1" applyBorder="1"/>
    <xf numFmtId="164" fontId="0" fillId="0" borderId="0" xfId="1" applyNumberFormat="1" applyFont="1" applyBorder="1"/>
    <xf numFmtId="41" fontId="0" fillId="0" borderId="0" xfId="0" applyNumberFormat="1" applyFill="1" applyBorder="1"/>
    <xf numFmtId="164" fontId="0" fillId="0" borderId="0" xfId="0" applyNumberFormat="1" applyFill="1" applyBorder="1"/>
    <xf numFmtId="0" fontId="9" fillId="0" borderId="5" xfId="0" applyFont="1" applyBorder="1"/>
    <xf numFmtId="171" fontId="6" fillId="0" borderId="5" xfId="0" applyNumberFormat="1" applyFont="1" applyBorder="1" applyAlignment="1">
      <alignment horizontal="left"/>
    </xf>
    <xf numFmtId="164" fontId="6" fillId="0" borderId="5" xfId="1" applyNumberFormat="1" applyFont="1" applyBorder="1"/>
    <xf numFmtId="0" fontId="6" fillId="0" borderId="5" xfId="0" applyFont="1" applyBorder="1"/>
    <xf numFmtId="164" fontId="9" fillId="0" borderId="5" xfId="0" applyNumberFormat="1" applyFont="1" applyBorder="1"/>
    <xf numFmtId="167" fontId="6" fillId="0" borderId="5" xfId="2" applyNumberFormat="1" applyFont="1" applyBorder="1"/>
    <xf numFmtId="169" fontId="6" fillId="0" borderId="5" xfId="1" applyNumberFormat="1" applyFont="1" applyBorder="1"/>
    <xf numFmtId="167" fontId="9" fillId="0" borderId="5" xfId="2" applyNumberFormat="1" applyFont="1" applyBorder="1"/>
    <xf numFmtId="170" fontId="6" fillId="0" borderId="5" xfId="2" applyNumberFormat="1" applyFont="1" applyBorder="1"/>
    <xf numFmtId="170" fontId="9" fillId="0" borderId="5" xfId="2" applyNumberFormat="1" applyFont="1" applyBorder="1"/>
    <xf numFmtId="164" fontId="6" fillId="0" borderId="0" xfId="1" applyNumberFormat="1" applyFont="1"/>
    <xf numFmtId="0" fontId="6" fillId="0" borderId="3" xfId="0" applyFont="1" applyBorder="1"/>
    <xf numFmtId="0" fontId="9" fillId="0" borderId="3" xfId="0" applyFont="1" applyBorder="1" applyAlignment="1">
      <alignment horizontal="center" wrapText="1"/>
    </xf>
    <xf numFmtId="0" fontId="9" fillId="0" borderId="3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70" fontId="0" fillId="0" borderId="5" xfId="2" applyNumberFormat="1" applyFont="1" applyBorder="1"/>
    <xf numFmtId="164" fontId="0" fillId="0" borderId="5" xfId="0" applyNumberFormat="1" applyBorder="1"/>
    <xf numFmtId="167" fontId="0" fillId="0" borderId="5" xfId="2" applyNumberFormat="1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170" fontId="2" fillId="0" borderId="5" xfId="0" applyNumberFormat="1" applyFont="1" applyBorder="1"/>
    <xf numFmtId="170" fontId="6" fillId="0" borderId="0" xfId="0" applyNumberFormat="1" applyFont="1"/>
    <xf numFmtId="0" fontId="9" fillId="0" borderId="5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164" fontId="0" fillId="0" borderId="5" xfId="1" applyNumberFormat="1" applyFont="1" applyBorder="1"/>
    <xf numFmtId="0" fontId="0" fillId="0" borderId="5" xfId="0" applyBorder="1"/>
    <xf numFmtId="0" fontId="2" fillId="0" borderId="5" xfId="0" applyFont="1" applyFill="1" applyBorder="1" applyAlignment="1">
      <alignment horizontal="center"/>
    </xf>
    <xf numFmtId="164" fontId="2" fillId="0" borderId="5" xfId="0" applyNumberFormat="1" applyFont="1" applyBorder="1"/>
    <xf numFmtId="0" fontId="5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164" fontId="5" fillId="0" borderId="5" xfId="1" applyNumberFormat="1" applyFont="1" applyBorder="1"/>
    <xf numFmtId="0" fontId="4" fillId="0" borderId="5" xfId="0" applyFont="1" applyBorder="1"/>
    <xf numFmtId="164" fontId="4" fillId="0" borderId="5" xfId="0" applyNumberFormat="1" applyFont="1" applyBorder="1"/>
    <xf numFmtId="0" fontId="11" fillId="0" borderId="5" xfId="0" applyFont="1" applyBorder="1"/>
    <xf numFmtId="0" fontId="11" fillId="0" borderId="5" xfId="0" applyFont="1" applyBorder="1" applyAlignment="1">
      <alignment horizontal="center"/>
    </xf>
    <xf numFmtId="164" fontId="11" fillId="0" borderId="5" xfId="1" applyNumberFormat="1" applyFont="1" applyBorder="1"/>
    <xf numFmtId="0" fontId="10" fillId="0" borderId="5" xfId="0" applyFont="1" applyBorder="1"/>
    <xf numFmtId="167" fontId="10" fillId="0" borderId="5" xfId="2" applyNumberFormat="1" applyFont="1" applyBorder="1"/>
    <xf numFmtId="170" fontId="11" fillId="0" borderId="5" xfId="2" applyNumberFormat="1" applyFont="1" applyBorder="1"/>
    <xf numFmtId="170" fontId="10" fillId="0" borderId="5" xfId="2" applyNumberFormat="1" applyFont="1" applyBorder="1"/>
    <xf numFmtId="164" fontId="5" fillId="0" borderId="0" xfId="1" applyNumberFormat="1" applyFont="1"/>
    <xf numFmtId="164" fontId="5" fillId="0" borderId="0" xfId="0" applyNumberFormat="1" applyFont="1"/>
    <xf numFmtId="169" fontId="5" fillId="0" borderId="0" xfId="0" applyNumberFormat="1" applyFont="1"/>
    <xf numFmtId="44" fontId="6" fillId="0" borderId="0" xfId="0" applyNumberFormat="1" applyFont="1"/>
    <xf numFmtId="165" fontId="5" fillId="0" borderId="0" xfId="3" applyNumberFormat="1" applyFont="1"/>
    <xf numFmtId="0" fontId="12" fillId="0" borderId="0" xfId="0" applyFont="1" applyFill="1" applyBorder="1" applyAlignment="1"/>
    <xf numFmtId="0" fontId="12" fillId="0" borderId="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4" xfId="0" applyBorder="1"/>
    <xf numFmtId="0" fontId="0" fillId="0" borderId="12" xfId="0" applyBorder="1"/>
    <xf numFmtId="8" fontId="0" fillId="0" borderId="0" xfId="2" applyNumberFormat="1" applyFont="1" applyBorder="1"/>
    <xf numFmtId="165" fontId="0" fillId="0" borderId="0" xfId="3" applyNumberFormat="1" applyFont="1" applyBorder="1"/>
    <xf numFmtId="165" fontId="0" fillId="0" borderId="9" xfId="3" applyNumberFormat="1" applyFont="1" applyBorder="1"/>
    <xf numFmtId="0" fontId="0" fillId="0" borderId="14" xfId="0" applyBorder="1"/>
    <xf numFmtId="0" fontId="0" fillId="0" borderId="13" xfId="0" applyBorder="1"/>
    <xf numFmtId="0" fontId="0" fillId="0" borderId="11" xfId="0" applyBorder="1"/>
    <xf numFmtId="0" fontId="12" fillId="0" borderId="9" xfId="0" applyFont="1" applyBorder="1" applyAlignment="1">
      <alignment horizontal="center"/>
    </xf>
    <xf numFmtId="8" fontId="0" fillId="0" borderId="6" xfId="2" applyNumberFormat="1" applyFont="1" applyBorder="1"/>
    <xf numFmtId="0" fontId="12" fillId="0" borderId="8" xfId="0" applyFont="1" applyBorder="1" applyAlignment="1">
      <alignment horizontal="center" wrapText="1"/>
    </xf>
    <xf numFmtId="0" fontId="16" fillId="3" borderId="5" xfId="0" applyFont="1" applyFill="1" applyBorder="1" applyAlignment="1">
      <alignment horizontal="left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17" fontId="17" fillId="0" borderId="5" xfId="0" applyNumberFormat="1" applyFont="1" applyBorder="1" applyAlignment="1">
      <alignment horizontal="left" vertical="center"/>
    </xf>
    <xf numFmtId="0" fontId="14" fillId="0" borderId="5" xfId="0" applyFont="1" applyBorder="1"/>
    <xf numFmtId="0" fontId="17" fillId="0" borderId="5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170" fontId="17" fillId="0" borderId="5" xfId="0" applyNumberFormat="1" applyFont="1" applyBorder="1" applyAlignment="1">
      <alignment horizontal="justify" vertical="center"/>
    </xf>
    <xf numFmtId="164" fontId="17" fillId="0" borderId="5" xfId="1" applyNumberFormat="1" applyFont="1" applyBorder="1" applyAlignment="1">
      <alignment horizontal="justify" vertical="center"/>
    </xf>
    <xf numFmtId="164" fontId="17" fillId="0" borderId="5" xfId="1" applyNumberFormat="1" applyFont="1" applyBorder="1"/>
    <xf numFmtId="170" fontId="17" fillId="0" borderId="5" xfId="0" applyNumberFormat="1" applyFont="1" applyBorder="1" applyAlignment="1">
      <alignment horizontal="justify" vertical="center" wrapText="1"/>
    </xf>
    <xf numFmtId="164" fontId="17" fillId="0" borderId="5" xfId="1" applyNumberFormat="1" applyFont="1" applyBorder="1" applyAlignment="1">
      <alignment horizontal="justify" vertical="center" wrapText="1"/>
    </xf>
    <xf numFmtId="170" fontId="16" fillId="0" borderId="5" xfId="0" applyNumberFormat="1" applyFont="1" applyBorder="1" applyAlignment="1">
      <alignment horizontal="justify" vertical="center"/>
    </xf>
    <xf numFmtId="0" fontId="15" fillId="0" borderId="5" xfId="0" applyFont="1" applyBorder="1"/>
    <xf numFmtId="165" fontId="6" fillId="0" borderId="3" xfId="3" applyNumberFormat="1" applyFont="1" applyBorder="1"/>
    <xf numFmtId="165" fontId="6" fillId="0" borderId="5" xfId="3" applyNumberFormat="1" applyFont="1" applyBorder="1"/>
    <xf numFmtId="165" fontId="9" fillId="0" borderId="5" xfId="3" applyNumberFormat="1" applyFont="1" applyBorder="1"/>
    <xf numFmtId="164" fontId="6" fillId="0" borderId="3" xfId="1" applyNumberFormat="1" applyFont="1" applyBorder="1"/>
    <xf numFmtId="44" fontId="5" fillId="0" borderId="0" xfId="0" applyNumberFormat="1" applyFont="1"/>
    <xf numFmtId="43" fontId="0" fillId="0" borderId="3" xfId="0" applyNumberFormat="1" applyFill="1" applyBorder="1"/>
    <xf numFmtId="166" fontId="0" fillId="0" borderId="3" xfId="2" applyNumberFormat="1" applyFont="1" applyBorder="1"/>
    <xf numFmtId="43" fontId="0" fillId="0" borderId="5" xfId="0" applyNumberFormat="1" applyFill="1" applyBorder="1"/>
    <xf numFmtId="43" fontId="0" fillId="0" borderId="15" xfId="0" applyNumberFormat="1" applyFill="1" applyBorder="1"/>
    <xf numFmtId="166" fontId="0" fillId="0" borderId="1" xfId="2" applyNumberFormat="1" applyFont="1" applyBorder="1"/>
    <xf numFmtId="43" fontId="0" fillId="0" borderId="5" xfId="0" applyNumberFormat="1" applyBorder="1"/>
    <xf numFmtId="166" fontId="0" fillId="0" borderId="3" xfId="2" applyNumberFormat="1" applyFont="1" applyFill="1" applyBorder="1"/>
    <xf numFmtId="164" fontId="12" fillId="0" borderId="15" xfId="1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5" fontId="2" fillId="0" borderId="5" xfId="0" applyNumberFormat="1" applyFont="1" applyBorder="1" applyAlignment="1">
      <alignment horizontal="center"/>
    </xf>
    <xf numFmtId="15" fontId="12" fillId="0" borderId="5" xfId="0" applyNumberFormat="1" applyFont="1" applyBorder="1" applyAlignment="1">
      <alignment horizontal="center"/>
    </xf>
    <xf numFmtId="43" fontId="1" fillId="0" borderId="5" xfId="0" applyNumberFormat="1" applyFont="1" applyBorder="1"/>
    <xf numFmtId="43" fontId="2" fillId="0" borderId="5" xfId="0" applyNumberFormat="1" applyFont="1" applyBorder="1"/>
    <xf numFmtId="166" fontId="2" fillId="0" borderId="3" xfId="2" applyNumberFormat="1" applyFont="1" applyBorder="1"/>
    <xf numFmtId="43" fontId="19" fillId="0" borderId="5" xfId="1" applyNumberFormat="1" applyFont="1" applyBorder="1"/>
    <xf numFmtId="44" fontId="19" fillId="0" borderId="5" xfId="2" applyNumberFormat="1" applyFont="1" applyBorder="1"/>
    <xf numFmtId="8" fontId="19" fillId="0" borderId="5" xfId="2" applyNumberFormat="1" applyFont="1" applyBorder="1"/>
    <xf numFmtId="43" fontId="19" fillId="0" borderId="5" xfId="0" applyNumberFormat="1" applyFont="1" applyBorder="1"/>
    <xf numFmtId="43" fontId="19" fillId="0" borderId="5" xfId="1" applyFont="1" applyBorder="1"/>
    <xf numFmtId="8" fontId="19" fillId="0" borderId="5" xfId="1" applyNumberFormat="1" applyFont="1" applyBorder="1"/>
    <xf numFmtId="44" fontId="18" fillId="0" borderId="5" xfId="2" applyFont="1" applyBorder="1"/>
    <xf numFmtId="165" fontId="18" fillId="0" borderId="5" xfId="3" applyNumberFormat="1" applyFont="1" applyBorder="1" applyAlignment="1">
      <alignment horizontal="center"/>
    </xf>
    <xf numFmtId="165" fontId="19" fillId="0" borderId="0" xfId="3" applyNumberFormat="1" applyFont="1" applyBorder="1"/>
    <xf numFmtId="165" fontId="18" fillId="0" borderId="0" xfId="3" applyNumberFormat="1" applyFont="1" applyBorder="1"/>
    <xf numFmtId="172" fontId="1" fillId="0" borderId="0" xfId="2" applyNumberFormat="1" applyFont="1" applyAlignment="1">
      <alignment horizontal="left"/>
    </xf>
    <xf numFmtId="165" fontId="19" fillId="0" borderId="0" xfId="3" applyNumberFormat="1" applyFont="1"/>
    <xf numFmtId="44" fontId="19" fillId="0" borderId="5" xfId="2" applyFont="1" applyBorder="1"/>
    <xf numFmtId="43" fontId="19" fillId="0" borderId="5" xfId="1" applyFont="1" applyFill="1" applyBorder="1"/>
    <xf numFmtId="44" fontId="18" fillId="0" borderId="5" xfId="0" applyNumberFormat="1" applyFont="1" applyBorder="1"/>
    <xf numFmtId="15" fontId="18" fillId="0" borderId="3" xfId="0" applyNumberFormat="1" applyFont="1" applyBorder="1" applyAlignment="1">
      <alignment horizontal="center"/>
    </xf>
    <xf numFmtId="172" fontId="6" fillId="0" borderId="25" xfId="2" applyNumberFormat="1" applyFont="1" applyBorder="1" applyAlignment="1">
      <alignment horizontal="left"/>
    </xf>
    <xf numFmtId="15" fontId="18" fillId="0" borderId="26" xfId="0" applyNumberFormat="1" applyFont="1" applyBorder="1" applyAlignment="1">
      <alignment horizontal="center"/>
    </xf>
    <xf numFmtId="0" fontId="19" fillId="0" borderId="27" xfId="0" applyFont="1" applyBorder="1"/>
    <xf numFmtId="44" fontId="19" fillId="0" borderId="28" xfId="2" applyNumberFormat="1" applyFont="1" applyBorder="1"/>
    <xf numFmtId="43" fontId="19" fillId="0" borderId="28" xfId="1" applyNumberFormat="1" applyFont="1" applyBorder="1"/>
    <xf numFmtId="172" fontId="6" fillId="0" borderId="27" xfId="2" applyNumberFormat="1" applyFont="1" applyBorder="1" applyAlignment="1">
      <alignment horizontal="left"/>
    </xf>
    <xf numFmtId="164" fontId="18" fillId="0" borderId="27" xfId="1" applyNumberFormat="1" applyFont="1" applyBorder="1" applyAlignment="1">
      <alignment horizontal="left"/>
    </xf>
    <xf numFmtId="43" fontId="19" fillId="0" borderId="28" xfId="1" applyFont="1" applyFill="1" applyBorder="1"/>
    <xf numFmtId="43" fontId="19" fillId="0" borderId="27" xfId="1" applyNumberFormat="1" applyFont="1" applyBorder="1"/>
    <xf numFmtId="43" fontId="18" fillId="0" borderId="27" xfId="1" applyFont="1" applyBorder="1"/>
    <xf numFmtId="44" fontId="18" fillId="0" borderId="28" xfId="0" applyNumberFormat="1" applyFont="1" applyBorder="1"/>
    <xf numFmtId="165" fontId="18" fillId="0" borderId="27" xfId="3" applyNumberFormat="1" applyFont="1" applyBorder="1"/>
    <xf numFmtId="165" fontId="18" fillId="0" borderId="28" xfId="3" applyNumberFormat="1" applyFont="1" applyBorder="1" applyAlignment="1">
      <alignment horizontal="center"/>
    </xf>
    <xf numFmtId="165" fontId="18" fillId="0" borderId="29" xfId="3" applyNumberFormat="1" applyFont="1" applyBorder="1"/>
    <xf numFmtId="165" fontId="18" fillId="0" borderId="30" xfId="3" applyNumberFormat="1" applyFont="1" applyBorder="1" applyAlignment="1">
      <alignment horizontal="center"/>
    </xf>
    <xf numFmtId="165" fontId="18" fillId="0" borderId="31" xfId="3" applyNumberFormat="1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8" fontId="19" fillId="0" borderId="28" xfId="2" applyNumberFormat="1" applyFont="1" applyBorder="1"/>
    <xf numFmtId="43" fontId="19" fillId="0" borderId="27" xfId="0" applyNumberFormat="1" applyFont="1" applyBorder="1"/>
    <xf numFmtId="43" fontId="19" fillId="0" borderId="28" xfId="1" applyFont="1" applyBorder="1"/>
    <xf numFmtId="8" fontId="19" fillId="0" borderId="28" xfId="1" applyNumberFormat="1" applyFont="1" applyBorder="1"/>
    <xf numFmtId="44" fontId="18" fillId="0" borderId="28" xfId="2" applyFont="1" applyBorder="1"/>
    <xf numFmtId="43" fontId="19" fillId="0" borderId="28" xfId="0" applyNumberFormat="1" applyFont="1" applyBorder="1"/>
    <xf numFmtId="166" fontId="2" fillId="0" borderId="15" xfId="0" applyNumberFormat="1" applyFont="1" applyBorder="1"/>
    <xf numFmtId="8" fontId="0" fillId="0" borderId="13" xfId="2" applyNumberFormat="1" applyFont="1" applyBorder="1"/>
    <xf numFmtId="8" fontId="18" fillId="0" borderId="5" xfId="2" applyNumberFormat="1" applyFont="1" applyBorder="1"/>
    <xf numFmtId="0" fontId="1" fillId="0" borderId="0" xfId="0" applyFont="1"/>
    <xf numFmtId="44" fontId="18" fillId="0" borderId="15" xfId="0" applyNumberFormat="1" applyFont="1" applyBorder="1"/>
    <xf numFmtId="165" fontId="19" fillId="0" borderId="32" xfId="3" applyNumberFormat="1" applyFont="1" applyBorder="1"/>
    <xf numFmtId="15" fontId="18" fillId="0" borderId="3" xfId="0" applyNumberFormat="1" applyFont="1" applyBorder="1" applyAlignment="1">
      <alignment horizontal="center" wrapText="1"/>
    </xf>
    <xf numFmtId="15" fontId="18" fillId="0" borderId="26" xfId="0" applyNumberFormat="1" applyFont="1" applyBorder="1" applyAlignment="1">
      <alignment horizontal="center" wrapText="1"/>
    </xf>
    <xf numFmtId="164" fontId="5" fillId="0" borderId="1" xfId="1" applyNumberFormat="1" applyFont="1" applyBorder="1"/>
    <xf numFmtId="164" fontId="5" fillId="0" borderId="1" xfId="0" applyNumberFormat="1" applyFont="1" applyBorder="1"/>
    <xf numFmtId="164" fontId="5" fillId="0" borderId="1" xfId="1" applyNumberFormat="1" applyFont="1" applyFill="1" applyBorder="1"/>
    <xf numFmtId="164" fontId="5" fillId="0" borderId="1" xfId="0" applyNumberFormat="1" applyFont="1" applyFill="1" applyBorder="1"/>
    <xf numFmtId="164" fontId="5" fillId="0" borderId="5" xfId="0" applyNumberFormat="1" applyFont="1" applyBorder="1"/>
    <xf numFmtId="0" fontId="5" fillId="0" borderId="1" xfId="0" applyFont="1" applyBorder="1"/>
    <xf numFmtId="41" fontId="5" fillId="0" borderId="3" xfId="0" applyNumberFormat="1" applyFont="1" applyFill="1" applyBorder="1"/>
    <xf numFmtId="41" fontId="5" fillId="0" borderId="1" xfId="0" applyNumberFormat="1" applyFont="1" applyBorder="1"/>
    <xf numFmtId="168" fontId="5" fillId="0" borderId="1" xfId="0" applyNumberFormat="1" applyFont="1" applyFill="1" applyBorder="1"/>
    <xf numFmtId="169" fontId="5" fillId="0" borderId="1" xfId="0" applyNumberFormat="1" applyFont="1" applyFill="1" applyBorder="1"/>
    <xf numFmtId="164" fontId="5" fillId="0" borderId="33" xfId="1" applyNumberFormat="1" applyFont="1" applyBorder="1"/>
    <xf numFmtId="43" fontId="5" fillId="0" borderId="3" xfId="1" applyFont="1" applyBorder="1"/>
    <xf numFmtId="164" fontId="5" fillId="0" borderId="3" xfId="1" applyNumberFormat="1" applyFont="1" applyBorder="1"/>
    <xf numFmtId="164" fontId="5" fillId="0" borderId="3" xfId="0" applyNumberFormat="1" applyFont="1" applyBorder="1"/>
    <xf numFmtId="164" fontId="4" fillId="0" borderId="34" xfId="0" applyNumberFormat="1" applyFont="1" applyBorder="1"/>
    <xf numFmtId="169" fontId="5" fillId="0" borderId="3" xfId="1" applyNumberFormat="1" applyFont="1" applyFill="1" applyBorder="1"/>
    <xf numFmtId="169" fontId="5" fillId="0" borderId="3" xfId="1" applyNumberFormat="1" applyFont="1" applyBorder="1"/>
    <xf numFmtId="0" fontId="5" fillId="0" borderId="7" xfId="0" applyFont="1" applyBorder="1"/>
    <xf numFmtId="0" fontId="5" fillId="0" borderId="0" xfId="0" applyFont="1" applyBorder="1"/>
    <xf numFmtId="0" fontId="5" fillId="0" borderId="6" xfId="0" applyFont="1" applyBorder="1"/>
    <xf numFmtId="17" fontId="4" fillId="5" borderId="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20" fillId="5" borderId="5" xfId="0" applyFont="1" applyFill="1" applyBorder="1" applyAlignment="1">
      <alignment vertical="center"/>
    </xf>
    <xf numFmtId="0" fontId="21" fillId="5" borderId="1" xfId="0" applyFont="1" applyFill="1" applyBorder="1"/>
    <xf numFmtId="0" fontId="22" fillId="5" borderId="1" xfId="0" applyFont="1" applyFill="1" applyBorder="1"/>
    <xf numFmtId="0" fontId="23" fillId="5" borderId="1" xfId="0" applyFont="1" applyFill="1" applyBorder="1"/>
    <xf numFmtId="0" fontId="21" fillId="5" borderId="3" xfId="0" applyFont="1" applyFill="1" applyBorder="1"/>
    <xf numFmtId="0" fontId="3" fillId="0" borderId="0" xfId="0" applyFont="1" applyAlignment="1">
      <alignment horizontal="right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2" fillId="0" borderId="1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43" fontId="12" fillId="0" borderId="11" xfId="0" applyNumberFormat="1" applyFont="1" applyBorder="1" applyAlignment="1">
      <alignment horizontal="center"/>
    </xf>
    <xf numFmtId="43" fontId="12" fillId="0" borderId="4" xfId="0" applyNumberFormat="1" applyFont="1" applyBorder="1" applyAlignment="1">
      <alignment horizontal="center"/>
    </xf>
    <xf numFmtId="43" fontId="12" fillId="0" borderId="1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43" fontId="12" fillId="0" borderId="8" xfId="0" applyNumberFormat="1" applyFont="1" applyBorder="1" applyAlignment="1">
      <alignment horizontal="center"/>
    </xf>
    <xf numFmtId="43" fontId="12" fillId="0" borderId="2" xfId="0" applyNumberFormat="1" applyFont="1" applyBorder="1" applyAlignment="1">
      <alignment horizontal="center"/>
    </xf>
    <xf numFmtId="43" fontId="12" fillId="0" borderId="9" xfId="0" applyNumberFormat="1" applyFont="1" applyBorder="1" applyAlignment="1">
      <alignment horizontal="center"/>
    </xf>
    <xf numFmtId="172" fontId="9" fillId="0" borderId="16" xfId="2" applyNumberFormat="1" applyFont="1" applyBorder="1" applyAlignment="1">
      <alignment horizontal="center"/>
    </xf>
    <xf numFmtId="172" fontId="9" fillId="0" borderId="17" xfId="2" applyNumberFormat="1" applyFont="1" applyBorder="1" applyAlignment="1">
      <alignment horizontal="center"/>
    </xf>
    <xf numFmtId="172" fontId="9" fillId="0" borderId="18" xfId="2" applyNumberFormat="1" applyFont="1" applyBorder="1" applyAlignment="1">
      <alignment horizontal="center"/>
    </xf>
    <xf numFmtId="172" fontId="9" fillId="0" borderId="19" xfId="2" applyNumberFormat="1" applyFont="1" applyFill="1" applyBorder="1" applyAlignment="1">
      <alignment horizontal="center"/>
    </xf>
    <xf numFmtId="172" fontId="9" fillId="0" borderId="10" xfId="2" applyNumberFormat="1" applyFont="1" applyFill="1" applyBorder="1" applyAlignment="1">
      <alignment horizontal="center"/>
    </xf>
    <xf numFmtId="172" fontId="9" fillId="0" borderId="20" xfId="2" applyNumberFormat="1" applyFont="1" applyFill="1" applyBorder="1" applyAlignment="1">
      <alignment horizontal="center"/>
    </xf>
    <xf numFmtId="172" fontId="9" fillId="0" borderId="21" xfId="2" applyNumberFormat="1" applyFont="1" applyBorder="1" applyAlignment="1">
      <alignment horizontal="center"/>
    </xf>
    <xf numFmtId="172" fontId="9" fillId="0" borderId="2" xfId="2" applyNumberFormat="1" applyFont="1" applyBorder="1" applyAlignment="1">
      <alignment horizontal="center"/>
    </xf>
    <xf numFmtId="172" fontId="9" fillId="0" borderId="22" xfId="2" applyNumberFormat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172" fontId="13" fillId="0" borderId="11" xfId="2" applyNumberFormat="1" applyFont="1" applyFill="1" applyBorder="1" applyAlignment="1">
      <alignment horizontal="center" wrapText="1"/>
    </xf>
    <xf numFmtId="172" fontId="13" fillId="0" borderId="4" xfId="2" applyNumberFormat="1" applyFont="1" applyFill="1" applyBorder="1" applyAlignment="1">
      <alignment horizontal="center" wrapText="1"/>
    </xf>
    <xf numFmtId="172" fontId="13" fillId="0" borderId="12" xfId="2" applyNumberFormat="1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8" fillId="0" borderId="14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/Variance%20Reports%20and%20Forecasts/Prior%20Year%20Forecast%20&amp;%20Variance%20Reports/Forecasts%20-2022/Dec%202022/Sales%20Frcst%20-%20Dec%20202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/Regulation/Applications%20and%20Filings/Rate%20Applications/2021/2021%20GRA%20Forecast/GRA%20Base%20Case%20March%202022/FinFrcst%20-%20Base%20cas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/Regulation/Applications%20and%20Filings/Rate%20Applications/2023%20ECAM%20Collection%20Rate/Lepreau%20Replacement%20costs%20and%20outage%20varianc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/Regulation/Applications%20and%20Filings/Rate%20Applications/2022/ROE%20Negotiations/FINAL%20NEG%20SETTLEMENT%20GRA%20Base%20Case%20March%202022%20-%209.35%25%20ROE%20-%20Smoothing/kWhbill%20-%20Base%20cas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/Regulation/Applications%20and%20Filings/Rate%20Applications/2023%20ECAM%20Collection%20Rate/kWhbill%20-%20BP%202024-2028%20Oct%202024%20Adj%20On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bate"/>
      <sheetName val="Sheet1"/>
      <sheetName val="Instructions"/>
      <sheetName val="ChartData"/>
      <sheetName val="Charts"/>
      <sheetName val="BP Inputs"/>
      <sheetName val="RateCase"/>
      <sheetName val="ProrateMarRev"/>
      <sheetName val="Monthly"/>
      <sheetName val="5 Year Plan"/>
      <sheetName val="Current Forecast"/>
      <sheetName val="RES"/>
      <sheetName val="GS1"/>
      <sheetName val="GS2"/>
      <sheetName val="LInd"/>
      <sheetName val="SInd"/>
      <sheetName val="SL"/>
      <sheetName val="UM"/>
      <sheetName val="WS"/>
      <sheetName val="Ratios"/>
      <sheetName val="Growth"/>
      <sheetName val="Actual kWh"/>
      <sheetName val="Actual $"/>
      <sheetName val="Hist_Data"/>
      <sheetName val="Other Revenue"/>
      <sheetName val="SalesNPP"/>
      <sheetName val="Model"/>
      <sheetName val="Regressions"/>
      <sheetName val="Rate Increases"/>
      <sheetName val="Normalization"/>
      <sheetName val="Peak forecast"/>
      <sheetName val="Data CB730(6)"/>
      <sheetName val="CB730 (summ)"/>
      <sheetName val="Monthly Billing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C15">
            <v>144805.86399999997</v>
          </cell>
          <cell r="D15">
            <v>142849.47499999998</v>
          </cell>
          <cell r="E15">
            <v>131698.09900000002</v>
          </cell>
          <cell r="F15">
            <v>122922.37</v>
          </cell>
          <cell r="G15">
            <v>110832.405</v>
          </cell>
          <cell r="H15">
            <v>98242.797999999995</v>
          </cell>
          <cell r="I15">
            <v>103962.80599999998</v>
          </cell>
          <cell r="J15">
            <v>112387.38200000001</v>
          </cell>
          <cell r="K15">
            <v>107142.666</v>
          </cell>
          <cell r="L15">
            <v>87214.548999999999</v>
          </cell>
          <cell r="M15">
            <v>100194.62300000001</v>
          </cell>
          <cell r="N15">
            <v>128446.156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"/>
      <sheetName val="Notes"/>
      <sheetName val="BusinessPlan"/>
      <sheetName val="RateCaseFS"/>
      <sheetName val="RateBase"/>
      <sheetName val="Log"/>
      <sheetName val="Updates from 2020 Rate version"/>
      <sheetName val="Pg1"/>
      <sheetName val="Pg2"/>
      <sheetName val="Pg3"/>
      <sheetName val="Pg4"/>
      <sheetName val="IS"/>
      <sheetName val="BS"/>
      <sheetName val="CashFlow"/>
      <sheetName val="CASH"/>
      <sheetName val="Actual"/>
      <sheetName val="True-up"/>
      <sheetName val="Actuals"/>
      <sheetName val="Tax"/>
      <sheetName val="CostCapital"/>
      <sheetName val="Deferred"/>
      <sheetName val="Capital"/>
      <sheetName val="Bonds"/>
      <sheetName val="FITL"/>
      <sheetName val="Variance"/>
      <sheetName val="Operating"/>
      <sheetName val="CapBudget"/>
      <sheetName val="Budget"/>
      <sheetName val="06Capital"/>
      <sheetName val="SCFP"/>
      <sheetName val="Balance"/>
      <sheetName val="IncStmt"/>
      <sheetName val="Var"/>
      <sheetName val="SCFPold"/>
      <sheetName val="OldPg4"/>
      <sheetName val="Sheet1"/>
      <sheetName val="Plan Inputs"/>
      <sheetName val="Energy Input"/>
      <sheetName val="Chart for Strategic Issues"/>
      <sheetName val="Chart for Strategic Issues (2)"/>
      <sheetName val="Capital Chart for BOD Pres"/>
      <sheetName val="T &amp; D Capital Chart BOD P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88">
          <cell r="Q88">
            <v>0</v>
          </cell>
          <cell r="R88">
            <v>0</v>
          </cell>
          <cell r="S88">
            <v>4.0200000000000001E-3</v>
          </cell>
          <cell r="T88">
            <v>4.0200000000000001E-3</v>
          </cell>
          <cell r="U88">
            <v>4.0200000000000001E-3</v>
          </cell>
          <cell r="V88">
            <v>4.0200000000000001E-3</v>
          </cell>
          <cell r="W88">
            <v>4.0200000000000001E-3</v>
          </cell>
          <cell r="X88">
            <v>4.0200000000000001E-3</v>
          </cell>
          <cell r="Y88">
            <v>4.0200000000000001E-3</v>
          </cell>
          <cell r="Z88">
            <v>4.0200000000000001E-3</v>
          </cell>
          <cell r="AA88">
            <v>4.0200000000000001E-3</v>
          </cell>
          <cell r="AB88">
            <v>4.0200000000000001E-3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AM Adjustments"/>
      <sheetName val="NB Power"/>
      <sheetName val="Lepreau Replacement Energy"/>
      <sheetName val="Lepreau Charges"/>
      <sheetName val="Wind &amp; Other"/>
      <sheetName val="On Island Generation"/>
      <sheetName val="Other Costs"/>
      <sheetName val="NPP"/>
      <sheetName val="Collections from Customers"/>
    </sheetNames>
    <sheetDataSet>
      <sheetData sheetId="0"/>
      <sheetData sheetId="1"/>
      <sheetData sheetId="2">
        <row r="4">
          <cell r="L4">
            <v>128865.2</v>
          </cell>
        </row>
        <row r="7">
          <cell r="L7">
            <v>1126489.92</v>
          </cell>
          <cell r="S7">
            <v>-26197.439999999999</v>
          </cell>
        </row>
        <row r="8">
          <cell r="L8">
            <v>1624241.28</v>
          </cell>
        </row>
        <row r="9">
          <cell r="L9">
            <v>1977255.13</v>
          </cell>
          <cell r="S9">
            <v>1894869.4995833333</v>
          </cell>
        </row>
        <row r="10">
          <cell r="L10">
            <v>2534564.44</v>
          </cell>
        </row>
        <row r="11">
          <cell r="L11">
            <v>1067652.2999999998</v>
          </cell>
          <cell r="S11">
            <v>1066377.5999999999</v>
          </cell>
        </row>
        <row r="12">
          <cell r="S12">
            <v>80323.759999999995</v>
          </cell>
        </row>
        <row r="15">
          <cell r="L15">
            <v>3025549.1199999996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Wh comparisons city rural"/>
      <sheetName val="Summary-TaxOut"/>
      <sheetName val="Summary-TaxIn"/>
      <sheetName val="urban"/>
      <sheetName val="rural"/>
      <sheetName val="GS1"/>
      <sheetName val="GS2"/>
      <sheetName val="Cavendish"/>
      <sheetName val="Biovectra"/>
      <sheetName val="Atl Beef"/>
      <sheetName val="Master Pkging"/>
      <sheetName val="list"/>
      <sheetName val="Actuals_Rural"/>
      <sheetName val="Actuals_GS1"/>
      <sheetName val="Actuals_Cavendish"/>
      <sheetName val="rural 300 kWh Cons"/>
      <sheetName val="rural 650 kWh Cons"/>
      <sheetName val="rural 1,000 kWh Cons"/>
      <sheetName val="rural 1,450 kWh Cons"/>
      <sheetName val="rural 1,800 kWh Cons"/>
      <sheetName val="rural 2,250 kWh Cons"/>
      <sheetName val="rural 2,900 kWh Cons"/>
      <sheetName val="rural 3,750 kWh Cons"/>
      <sheetName val="rural 6,250 kWh Cons"/>
      <sheetName val="rural 12,500 kWh Cons"/>
      <sheetName val="rural 20,850 kWh Cons"/>
      <sheetName val="rural 27,150 kWh Cons"/>
      <sheetName val="rural 37,500 kWh Cons"/>
      <sheetName val="rural 42,000 kWh Cons"/>
    </sheetNames>
    <sheetDataSet>
      <sheetData sheetId="0"/>
      <sheetData sheetId="1">
        <row r="11">
          <cell r="H11">
            <v>2.6401837424286888E-2</v>
          </cell>
        </row>
      </sheetData>
      <sheetData sheetId="2"/>
      <sheetData sheetId="3">
        <row r="43">
          <cell r="BF43">
            <v>5.7499999999999999E-4</v>
          </cell>
        </row>
      </sheetData>
      <sheetData sheetId="4">
        <row r="154">
          <cell r="AR154">
            <v>1195.155</v>
          </cell>
        </row>
        <row r="155">
          <cell r="AR155">
            <v>42.903249999999986</v>
          </cell>
        </row>
        <row r="156">
          <cell r="AR156">
            <v>5.8272500000000003</v>
          </cell>
        </row>
        <row r="157">
          <cell r="AR157">
            <v>2.1287500000000001</v>
          </cell>
        </row>
        <row r="158">
          <cell r="AR158">
            <v>-13.237250000000003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Wh comparisons city rural"/>
      <sheetName val="Summary-TaxOut"/>
      <sheetName val="Summary-TaxIn"/>
      <sheetName val="urban"/>
      <sheetName val="rural"/>
      <sheetName val="GS1"/>
      <sheetName val="GS2"/>
      <sheetName val="Cavendish"/>
      <sheetName val="Biovectra"/>
      <sheetName val="Atl Beef"/>
      <sheetName val="Master Pkging"/>
      <sheetName val="list"/>
      <sheetName val="Actuals_Rural"/>
      <sheetName val="Actuals_GS1"/>
      <sheetName val="Actuals_Cavendish"/>
      <sheetName val="rural 300 kWh Cons"/>
      <sheetName val="rural 650 kWh Cons"/>
      <sheetName val="rural 1,000 kWh Cons"/>
      <sheetName val="rural 1,450 kWh Cons"/>
      <sheetName val="rural 1,800 kWh Cons"/>
      <sheetName val="rural 2,250 kWh Cons"/>
      <sheetName val="rural 2,900 kWh Cons"/>
      <sheetName val="rural 3,750 kWh Cons"/>
      <sheetName val="rural 6,250 kWh Cons"/>
      <sheetName val="rural 12,500 kWh Cons"/>
      <sheetName val="rural 20,850 kWh Cons"/>
      <sheetName val="rural 27,150 kWh Cons"/>
      <sheetName val="rural 37,500 kWh Cons"/>
      <sheetName val="rural 42,000 kWh Cons"/>
    </sheetNames>
    <sheetDataSet>
      <sheetData sheetId="0"/>
      <sheetData sheetId="1"/>
      <sheetData sheetId="2"/>
      <sheetData sheetId="3"/>
      <sheetData sheetId="4">
        <row r="92">
          <cell r="AR92">
            <v>52.555749999999996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Q42"/>
  <sheetViews>
    <sheetView zoomScale="80" zoomScaleNormal="80" workbookViewId="0">
      <selection activeCell="C48" sqref="C48"/>
    </sheetView>
  </sheetViews>
  <sheetFormatPr defaultRowHeight="12.75" x14ac:dyDescent="0.2"/>
  <cols>
    <col min="1" max="1" width="61.5703125" customWidth="1"/>
    <col min="2" max="2" width="15.7109375" customWidth="1"/>
    <col min="3" max="3" width="17.28515625" bestFit="1" customWidth="1"/>
    <col min="4" max="11" width="15.7109375" customWidth="1"/>
    <col min="12" max="13" width="16.42578125" bestFit="1" customWidth="1"/>
    <col min="14" max="14" width="17.5703125" bestFit="1" customWidth="1"/>
    <col min="15" max="15" width="11.42578125" customWidth="1"/>
    <col min="16" max="22" width="11.42578125" bestFit="1" customWidth="1"/>
  </cols>
  <sheetData>
    <row r="1" spans="1:17" ht="32.25" customHeight="1" x14ac:dyDescent="0.2">
      <c r="A1" s="184" t="s">
        <v>45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7" ht="44.25" customHeight="1" x14ac:dyDescent="0.2">
      <c r="A2" s="185" t="s">
        <v>49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</row>
    <row r="3" spans="1:17" ht="9" hidden="1" customHeight="1" x14ac:dyDescent="0.25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90"/>
    </row>
    <row r="4" spans="1:17" ht="9.75" hidden="1" customHeight="1" x14ac:dyDescent="0.2">
      <c r="A4" s="173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5"/>
    </row>
    <row r="5" spans="1:17" ht="9.75" hidden="1" customHeight="1" x14ac:dyDescent="0.2">
      <c r="A5" s="173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5"/>
    </row>
    <row r="6" spans="1:17" ht="15" hidden="1" x14ac:dyDescent="0.2">
      <c r="A6" s="173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5"/>
    </row>
    <row r="7" spans="1:17" ht="15" hidden="1" x14ac:dyDescent="0.2">
      <c r="A7" s="173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5"/>
    </row>
    <row r="8" spans="1:17" ht="15" hidden="1" x14ac:dyDescent="0.2">
      <c r="A8" s="173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5"/>
    </row>
    <row r="9" spans="1:17" ht="15.75" hidden="1" x14ac:dyDescent="0.25">
      <c r="A9" s="173"/>
      <c r="B9" s="189" t="s">
        <v>27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90"/>
    </row>
    <row r="10" spans="1:17" s="177" customFormat="1" ht="24" customHeight="1" x14ac:dyDescent="0.2">
      <c r="A10" s="179" t="s">
        <v>24</v>
      </c>
      <c r="B10" s="176">
        <v>44592</v>
      </c>
      <c r="C10" s="176">
        <f>+B10+28</f>
        <v>44620</v>
      </c>
      <c r="D10" s="176">
        <f t="shared" ref="D10:M10" si="0">+C10+29</f>
        <v>44649</v>
      </c>
      <c r="E10" s="176">
        <f t="shared" si="0"/>
        <v>44678</v>
      </c>
      <c r="F10" s="176">
        <f t="shared" si="0"/>
        <v>44707</v>
      </c>
      <c r="G10" s="176">
        <f t="shared" si="0"/>
        <v>44736</v>
      </c>
      <c r="H10" s="176">
        <f t="shared" si="0"/>
        <v>44765</v>
      </c>
      <c r="I10" s="176">
        <f t="shared" si="0"/>
        <v>44794</v>
      </c>
      <c r="J10" s="176">
        <f t="shared" si="0"/>
        <v>44823</v>
      </c>
      <c r="K10" s="176">
        <f t="shared" si="0"/>
        <v>44852</v>
      </c>
      <c r="L10" s="176">
        <f t="shared" si="0"/>
        <v>44881</v>
      </c>
      <c r="M10" s="176">
        <f t="shared" si="0"/>
        <v>44910</v>
      </c>
      <c r="N10" s="176" t="s">
        <v>71</v>
      </c>
      <c r="P10" s="178"/>
      <c r="Q10" s="178"/>
    </row>
    <row r="11" spans="1:17" ht="18" customHeight="1" x14ac:dyDescent="0.25">
      <c r="A11" s="180" t="s">
        <v>5</v>
      </c>
      <c r="B11" s="156">
        <v>9229408.6600000001</v>
      </c>
      <c r="C11" s="156">
        <v>7945986</v>
      </c>
      <c r="D11" s="156">
        <v>8400779.3899999987</v>
      </c>
      <c r="E11" s="156">
        <v>8382572.5800000001</v>
      </c>
      <c r="F11" s="156">
        <v>8315346.9499999993</v>
      </c>
      <c r="G11" s="156">
        <v>8336825.2100000009</v>
      </c>
      <c r="H11" s="156">
        <v>9586650.4199999999</v>
      </c>
      <c r="I11" s="156">
        <v>9821376.6899999995</v>
      </c>
      <c r="J11" s="156">
        <v>5860049.2899999991</v>
      </c>
      <c r="K11" s="156">
        <v>6536578.6899999995</v>
      </c>
      <c r="L11" s="156">
        <v>7313536.5199999996</v>
      </c>
      <c r="M11" s="156">
        <v>11329327.949999999</v>
      </c>
      <c r="N11" s="157">
        <f t="shared" ref="N11:N17" si="1">SUM(B11:M11)</f>
        <v>101058438.34999999</v>
      </c>
      <c r="P11" s="9"/>
      <c r="Q11" s="9"/>
    </row>
    <row r="12" spans="1:17" ht="18" customHeight="1" x14ac:dyDescent="0.25">
      <c r="A12" s="180" t="s">
        <v>6</v>
      </c>
      <c r="B12" s="158">
        <v>2007955</v>
      </c>
      <c r="C12" s="158">
        <v>2089378</v>
      </c>
      <c r="D12" s="158">
        <v>2028196</v>
      </c>
      <c r="E12" s="158">
        <v>1768232</v>
      </c>
      <c r="F12" s="158">
        <v>1972928</v>
      </c>
      <c r="G12" s="158">
        <v>1928181</v>
      </c>
      <c r="H12" s="158">
        <v>1466498</v>
      </c>
      <c r="I12" s="158">
        <v>1597416</v>
      </c>
      <c r="J12" s="158">
        <v>2040691</v>
      </c>
      <c r="K12" s="158">
        <v>2100992</v>
      </c>
      <c r="L12" s="158">
        <v>2284578</v>
      </c>
      <c r="M12" s="158">
        <v>2274132</v>
      </c>
      <c r="N12" s="157">
        <f t="shared" si="1"/>
        <v>23559177</v>
      </c>
      <c r="P12" s="9"/>
      <c r="Q12" s="9"/>
    </row>
    <row r="13" spans="1:17" ht="18" customHeight="1" x14ac:dyDescent="0.25">
      <c r="A13" s="180" t="s">
        <v>7</v>
      </c>
      <c r="B13" s="158">
        <v>335085.28000000003</v>
      </c>
      <c r="C13" s="158">
        <v>10231.33</v>
      </c>
      <c r="D13" s="158">
        <v>55815.94</v>
      </c>
      <c r="E13" s="158">
        <v>41253.119999999995</v>
      </c>
      <c r="F13" s="158">
        <v>16116.539999999999</v>
      </c>
      <c r="G13" s="158">
        <v>91387.94</v>
      </c>
      <c r="H13" s="158">
        <v>15632.33</v>
      </c>
      <c r="I13" s="158">
        <v>10638.17</v>
      </c>
      <c r="J13" s="158">
        <v>9150.84</v>
      </c>
      <c r="K13" s="158">
        <v>42685.81</v>
      </c>
      <c r="L13" s="158">
        <v>38133.11</v>
      </c>
      <c r="M13" s="158">
        <v>129211.44</v>
      </c>
      <c r="N13" s="157">
        <f t="shared" si="1"/>
        <v>795341.85000000009</v>
      </c>
      <c r="P13" s="9"/>
      <c r="Q13" s="9"/>
    </row>
    <row r="14" spans="1:17" ht="18" customHeight="1" x14ac:dyDescent="0.25">
      <c r="A14" s="180" t="s">
        <v>8</v>
      </c>
      <c r="B14" s="156">
        <v>249587.91999999998</v>
      </c>
      <c r="C14" s="156">
        <v>263584.78000000003</v>
      </c>
      <c r="D14" s="156">
        <v>271485.61</v>
      </c>
      <c r="E14" s="156">
        <v>243017.97999999998</v>
      </c>
      <c r="F14" s="156">
        <v>241725.9</v>
      </c>
      <c r="G14" s="156">
        <v>300307.87</v>
      </c>
      <c r="H14" s="156">
        <v>228747.8</v>
      </c>
      <c r="I14" s="156">
        <v>250435.16999999998</v>
      </c>
      <c r="J14" s="156">
        <v>286361.21999999997</v>
      </c>
      <c r="K14" s="156">
        <v>249050.31</v>
      </c>
      <c r="L14" s="156">
        <v>278084.93</v>
      </c>
      <c r="M14" s="156">
        <v>170742.02999999997</v>
      </c>
      <c r="N14" s="157">
        <f t="shared" si="1"/>
        <v>3033131.52</v>
      </c>
      <c r="P14" s="9"/>
      <c r="Q14" s="9"/>
    </row>
    <row r="15" spans="1:17" s="1" customFormat="1" ht="18" customHeight="1" x14ac:dyDescent="0.25">
      <c r="A15" s="180" t="s">
        <v>26</v>
      </c>
      <c r="B15" s="158">
        <v>-90170.94</v>
      </c>
      <c r="C15" s="158">
        <v>-88253.5</v>
      </c>
      <c r="D15" s="158">
        <v>-86336.06</v>
      </c>
      <c r="E15" s="158">
        <v>-88253.5</v>
      </c>
      <c r="F15" s="158">
        <v>-90536.1</v>
      </c>
      <c r="G15" s="158">
        <v>-88710.010000000009</v>
      </c>
      <c r="H15" s="158">
        <v>-85577.76</v>
      </c>
      <c r="I15" s="158">
        <v>-85577.76</v>
      </c>
      <c r="J15" s="158">
        <v>-85577.76</v>
      </c>
      <c r="K15" s="158">
        <v>-85577.76</v>
      </c>
      <c r="L15" s="158">
        <v>-85577.76</v>
      </c>
      <c r="M15" s="158">
        <v>-90984.47</v>
      </c>
      <c r="N15" s="159">
        <f t="shared" si="1"/>
        <v>-1051133.3800000001</v>
      </c>
      <c r="P15" s="14"/>
      <c r="Q15" s="14"/>
    </row>
    <row r="16" spans="1:17" ht="18" customHeight="1" x14ac:dyDescent="0.25">
      <c r="A16" s="180" t="s">
        <v>11</v>
      </c>
      <c r="B16" s="158">
        <v>7800</v>
      </c>
      <c r="C16" s="158">
        <v>7800</v>
      </c>
      <c r="D16" s="158">
        <v>7800</v>
      </c>
      <c r="E16" s="158">
        <v>7800</v>
      </c>
      <c r="F16" s="158">
        <v>7800</v>
      </c>
      <c r="G16" s="158">
        <v>7800</v>
      </c>
      <c r="H16" s="158">
        <v>7800</v>
      </c>
      <c r="I16" s="158">
        <v>7800</v>
      </c>
      <c r="J16" s="158">
        <v>7800</v>
      </c>
      <c r="K16" s="158">
        <v>7800</v>
      </c>
      <c r="L16" s="158">
        <v>7800</v>
      </c>
      <c r="M16" s="158">
        <v>7800</v>
      </c>
      <c r="N16" s="159">
        <f t="shared" si="1"/>
        <v>93600</v>
      </c>
      <c r="P16" s="9"/>
      <c r="Q16" s="9"/>
    </row>
    <row r="17" spans="1:17" ht="18" customHeight="1" x14ac:dyDescent="0.25">
      <c r="A17" s="180" t="s">
        <v>12</v>
      </c>
      <c r="B17" s="156">
        <v>2180372.94</v>
      </c>
      <c r="C17" s="156">
        <v>2584052.5300000003</v>
      </c>
      <c r="D17" s="156">
        <v>2135109.42</v>
      </c>
      <c r="E17" s="156">
        <v>1983271.05</v>
      </c>
      <c r="F17" s="156">
        <v>1611157.48</v>
      </c>
      <c r="G17" s="156">
        <v>1282552.6499999999</v>
      </c>
      <c r="H17" s="156">
        <v>1576929.88</v>
      </c>
      <c r="I17" s="156">
        <v>1052687.3400000001</v>
      </c>
      <c r="J17" s="156">
        <v>1055945.0900000001</v>
      </c>
      <c r="K17" s="156">
        <v>1194918.1400000001</v>
      </c>
      <c r="L17" s="156">
        <v>2357739.6100000003</v>
      </c>
      <c r="M17" s="156">
        <v>2696468.94</v>
      </c>
      <c r="N17" s="157">
        <f t="shared" si="1"/>
        <v>21711205.070000004</v>
      </c>
      <c r="P17" s="9"/>
      <c r="Q17" s="9"/>
    </row>
    <row r="18" spans="1:17" ht="18" customHeight="1" x14ac:dyDescent="0.25">
      <c r="A18" s="180"/>
      <c r="B18" s="160">
        <f>SUM(B11:B17)</f>
        <v>13920038.859999999</v>
      </c>
      <c r="C18" s="160">
        <f t="shared" ref="C18:N18" si="2">SUM(C11:C17)</f>
        <v>12812779.140000001</v>
      </c>
      <c r="D18" s="160">
        <f t="shared" si="2"/>
        <v>12812850.299999997</v>
      </c>
      <c r="E18" s="160">
        <f t="shared" si="2"/>
        <v>12337893.23</v>
      </c>
      <c r="F18" s="160">
        <f t="shared" si="2"/>
        <v>12074538.77</v>
      </c>
      <c r="G18" s="160">
        <f t="shared" si="2"/>
        <v>11858344.66</v>
      </c>
      <c r="H18" s="160">
        <f t="shared" si="2"/>
        <v>12796680.670000002</v>
      </c>
      <c r="I18" s="160">
        <f t="shared" si="2"/>
        <v>12654775.609999999</v>
      </c>
      <c r="J18" s="160">
        <f t="shared" si="2"/>
        <v>9174419.6799999997</v>
      </c>
      <c r="K18" s="160">
        <f t="shared" si="2"/>
        <v>10046447.190000001</v>
      </c>
      <c r="L18" s="160">
        <f t="shared" si="2"/>
        <v>12194294.41</v>
      </c>
      <c r="M18" s="160">
        <f t="shared" si="2"/>
        <v>16516697.889999997</v>
      </c>
      <c r="N18" s="160">
        <f t="shared" si="2"/>
        <v>149199760.41</v>
      </c>
      <c r="P18" s="9"/>
      <c r="Q18" s="9"/>
    </row>
    <row r="19" spans="1:17" ht="16.5" hidden="1" x14ac:dyDescent="0.25">
      <c r="A19" s="180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P19" s="2"/>
      <c r="Q19" s="2"/>
    </row>
    <row r="20" spans="1:17" s="1" customFormat="1" ht="16.5" hidden="1" x14ac:dyDescent="0.25">
      <c r="A20" s="180" t="s">
        <v>13</v>
      </c>
      <c r="B20" s="162"/>
      <c r="C20" s="162"/>
      <c r="D20" s="162"/>
      <c r="E20" s="162"/>
      <c r="F20" s="162">
        <v>0</v>
      </c>
      <c r="G20" s="162">
        <v>0</v>
      </c>
      <c r="H20" s="162"/>
      <c r="I20" s="162"/>
      <c r="J20" s="162"/>
      <c r="K20" s="162"/>
      <c r="L20" s="162"/>
      <c r="M20" s="162"/>
      <c r="N20" s="162">
        <f>SUM(B20:M20)</f>
        <v>0</v>
      </c>
      <c r="P20" s="13"/>
      <c r="Q20" s="13"/>
    </row>
    <row r="21" spans="1:17" ht="16.5" hidden="1" x14ac:dyDescent="0.25">
      <c r="A21" s="180" t="s">
        <v>25</v>
      </c>
      <c r="B21" s="156">
        <f>+B18+B20</f>
        <v>13920038.859999999</v>
      </c>
      <c r="C21" s="156">
        <f t="shared" ref="C21:M21" si="3">+C18+C20</f>
        <v>12812779.140000001</v>
      </c>
      <c r="D21" s="156">
        <f t="shared" si="3"/>
        <v>12812850.299999997</v>
      </c>
      <c r="E21" s="156">
        <f t="shared" si="3"/>
        <v>12337893.23</v>
      </c>
      <c r="F21" s="156">
        <f t="shared" si="3"/>
        <v>12074538.77</v>
      </c>
      <c r="G21" s="156">
        <f t="shared" si="3"/>
        <v>11858344.66</v>
      </c>
      <c r="H21" s="156">
        <f t="shared" si="3"/>
        <v>12796680.670000002</v>
      </c>
      <c r="I21" s="156">
        <f t="shared" si="3"/>
        <v>12654775.609999999</v>
      </c>
      <c r="J21" s="156">
        <f t="shared" si="3"/>
        <v>9174419.6799999997</v>
      </c>
      <c r="K21" s="156">
        <f t="shared" si="3"/>
        <v>10046447.190000001</v>
      </c>
      <c r="L21" s="156">
        <f t="shared" si="3"/>
        <v>12194294.41</v>
      </c>
      <c r="M21" s="156">
        <f t="shared" si="3"/>
        <v>16516697.889999997</v>
      </c>
      <c r="N21" s="163">
        <f>SUM(B21:M21)</f>
        <v>149199760.40999997</v>
      </c>
      <c r="P21" s="10"/>
      <c r="Q21" s="10"/>
    </row>
    <row r="22" spans="1:17" ht="16.5" x14ac:dyDescent="0.25">
      <c r="A22" s="180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P22" s="2"/>
      <c r="Q22" s="2"/>
    </row>
    <row r="23" spans="1:17" ht="18" customHeight="1" x14ac:dyDescent="0.25">
      <c r="A23" s="180" t="s">
        <v>14</v>
      </c>
      <c r="B23" s="156">
        <v>159443957</v>
      </c>
      <c r="C23" s="156">
        <v>140313227</v>
      </c>
      <c r="D23" s="156">
        <v>143974089</v>
      </c>
      <c r="E23" s="156">
        <v>118909656</v>
      </c>
      <c r="F23" s="156">
        <v>109366368</v>
      </c>
      <c r="G23" s="156">
        <v>106045050</v>
      </c>
      <c r="H23" s="156">
        <v>116924952</v>
      </c>
      <c r="I23" s="156">
        <v>122603887</v>
      </c>
      <c r="J23" s="156">
        <v>92791507</v>
      </c>
      <c r="K23" s="156">
        <v>106453443</v>
      </c>
      <c r="L23" s="156">
        <v>127835424</v>
      </c>
      <c r="M23" s="156">
        <v>154048928</v>
      </c>
      <c r="N23" s="157">
        <f>SUM(B23:M23)</f>
        <v>1498710488</v>
      </c>
      <c r="P23" s="9"/>
      <c r="Q23" s="9"/>
    </row>
    <row r="24" spans="1:17" ht="18" customHeight="1" x14ac:dyDescent="0.25">
      <c r="A24" s="180" t="s">
        <v>10</v>
      </c>
      <c r="B24" s="164">
        <v>9.2439999999999994E-2</v>
      </c>
      <c r="C24" s="164">
        <v>9.2439999999999994E-2</v>
      </c>
      <c r="D24" s="164">
        <v>9.2439999999999994E-2</v>
      </c>
      <c r="E24" s="164">
        <v>9.2439999999999994E-2</v>
      </c>
      <c r="F24" s="164">
        <v>9.2439999999999994E-2</v>
      </c>
      <c r="G24" s="164">
        <v>9.2439999999999994E-2</v>
      </c>
      <c r="H24" s="164">
        <v>9.2439999999999994E-2</v>
      </c>
      <c r="I24" s="164">
        <v>9.2439999999999994E-2</v>
      </c>
      <c r="J24" s="164">
        <v>9.2439999999999994E-2</v>
      </c>
      <c r="K24" s="164">
        <v>9.2439999999999994E-2</v>
      </c>
      <c r="L24" s="164">
        <v>9.2439999999999994E-2</v>
      </c>
      <c r="M24" s="164">
        <v>9.2439999999999994E-2</v>
      </c>
      <c r="N24" s="165">
        <f>+N25/N23</f>
        <v>9.2439999999999994E-2</v>
      </c>
      <c r="P24" s="11"/>
      <c r="Q24" s="11"/>
    </row>
    <row r="25" spans="1:17" ht="18" customHeight="1" x14ac:dyDescent="0.25">
      <c r="A25" s="180" t="s">
        <v>4</v>
      </c>
      <c r="B25" s="47">
        <f t="shared" ref="B25:M25" si="4">+B23*B24</f>
        <v>14738999.385079999</v>
      </c>
      <c r="C25" s="47">
        <f t="shared" si="4"/>
        <v>12970554.703879999</v>
      </c>
      <c r="D25" s="47">
        <f t="shared" si="4"/>
        <v>13308964.78716</v>
      </c>
      <c r="E25" s="47">
        <f t="shared" si="4"/>
        <v>10992008.600639999</v>
      </c>
      <c r="F25" s="47">
        <f t="shared" si="4"/>
        <v>10109827.05792</v>
      </c>
      <c r="G25" s="47">
        <f t="shared" si="4"/>
        <v>9802804.4220000003</v>
      </c>
      <c r="H25" s="47">
        <f t="shared" si="4"/>
        <v>10808542.56288</v>
      </c>
      <c r="I25" s="47">
        <f t="shared" si="4"/>
        <v>11333503.31428</v>
      </c>
      <c r="J25" s="47">
        <f t="shared" si="4"/>
        <v>8577646.9070800003</v>
      </c>
      <c r="K25" s="47">
        <f t="shared" si="4"/>
        <v>9840556.2709199991</v>
      </c>
      <c r="L25" s="47">
        <f t="shared" si="4"/>
        <v>11817106.594559999</v>
      </c>
      <c r="M25" s="47">
        <f t="shared" si="4"/>
        <v>14240282.90432</v>
      </c>
      <c r="N25" s="47">
        <f>SUM(B25:M25)</f>
        <v>138540797.51071998</v>
      </c>
      <c r="P25" s="12"/>
      <c r="Q25" s="12"/>
    </row>
    <row r="26" spans="1:17" ht="7.5" customHeight="1" x14ac:dyDescent="0.25">
      <c r="A26" s="180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P26" s="2"/>
      <c r="Q26" s="2"/>
    </row>
    <row r="27" spans="1:17" ht="18" customHeight="1" thickBot="1" x14ac:dyDescent="0.3">
      <c r="A27" s="180" t="s">
        <v>15</v>
      </c>
      <c r="B27" s="166">
        <f>+B18-B25</f>
        <v>-818960.52507999912</v>
      </c>
      <c r="C27" s="166">
        <f t="shared" ref="C27:M27" si="5">+C18-C25</f>
        <v>-157775.5638799984</v>
      </c>
      <c r="D27" s="166">
        <f t="shared" si="5"/>
        <v>-496114.48716000281</v>
      </c>
      <c r="E27" s="166">
        <f>+E18-E25</f>
        <v>1345884.6293600015</v>
      </c>
      <c r="F27" s="166">
        <f t="shared" si="5"/>
        <v>1964711.71208</v>
      </c>
      <c r="G27" s="166">
        <f t="shared" si="5"/>
        <v>2055540.2379999999</v>
      </c>
      <c r="H27" s="166">
        <f t="shared" si="5"/>
        <v>1988138.1071200017</v>
      </c>
      <c r="I27" s="166">
        <f t="shared" si="5"/>
        <v>1321272.2957199998</v>
      </c>
      <c r="J27" s="166">
        <f t="shared" si="5"/>
        <v>596772.77291999944</v>
      </c>
      <c r="K27" s="166">
        <f t="shared" si="5"/>
        <v>205890.91908000223</v>
      </c>
      <c r="L27" s="166">
        <f t="shared" si="5"/>
        <v>377187.81544000097</v>
      </c>
      <c r="M27" s="166">
        <f t="shared" si="5"/>
        <v>2276414.9856799971</v>
      </c>
      <c r="N27" s="166">
        <f>+N18-N25</f>
        <v>10658962.899280012</v>
      </c>
      <c r="P27" s="12"/>
      <c r="Q27" s="12"/>
    </row>
    <row r="28" spans="1:17" ht="8.25" customHeight="1" thickTop="1" x14ac:dyDescent="0.25">
      <c r="A28" s="180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P28" s="2"/>
      <c r="Q28" s="2"/>
    </row>
    <row r="29" spans="1:17" ht="16.5" hidden="1" x14ac:dyDescent="0.25">
      <c r="A29" s="180" t="s">
        <v>16</v>
      </c>
      <c r="B29" s="156">
        <v>0</v>
      </c>
      <c r="C29" s="156">
        <v>0</v>
      </c>
      <c r="D29" s="156">
        <v>0</v>
      </c>
      <c r="E29" s="156">
        <v>0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f>+B29</f>
        <v>0</v>
      </c>
      <c r="P29" s="12"/>
      <c r="Q29" s="12"/>
    </row>
    <row r="30" spans="1:17" ht="16.5" hidden="1" x14ac:dyDescent="0.25">
      <c r="A30" s="180" t="s">
        <v>17</v>
      </c>
      <c r="B30" s="167">
        <v>0</v>
      </c>
      <c r="C30" s="167">
        <v>0</v>
      </c>
      <c r="D30" s="167">
        <v>0</v>
      </c>
      <c r="E30" s="167">
        <v>0</v>
      </c>
      <c r="F30" s="167">
        <v>0</v>
      </c>
      <c r="G30" s="168">
        <v>0</v>
      </c>
      <c r="H30" s="167">
        <v>0</v>
      </c>
      <c r="I30" s="167">
        <v>0</v>
      </c>
      <c r="J30" s="167">
        <v>0</v>
      </c>
      <c r="K30" s="168">
        <v>0</v>
      </c>
      <c r="L30" s="167">
        <v>0</v>
      </c>
      <c r="M30" s="167">
        <v>0</v>
      </c>
      <c r="N30" s="168">
        <f>SUM(B30:M30)</f>
        <v>0</v>
      </c>
      <c r="P30" s="12"/>
      <c r="Q30" s="12"/>
    </row>
    <row r="31" spans="1:17" ht="16.5" hidden="1" x14ac:dyDescent="0.25">
      <c r="A31" s="180" t="s">
        <v>18</v>
      </c>
      <c r="B31" s="156">
        <f>+B29+B30</f>
        <v>0</v>
      </c>
      <c r="C31" s="156">
        <f t="shared" ref="C31:N31" si="6">+C29+C30</f>
        <v>0</v>
      </c>
      <c r="D31" s="156">
        <f t="shared" si="6"/>
        <v>0</v>
      </c>
      <c r="E31" s="156">
        <f t="shared" si="6"/>
        <v>0</v>
      </c>
      <c r="F31" s="156">
        <f t="shared" si="6"/>
        <v>0</v>
      </c>
      <c r="G31" s="156">
        <f t="shared" si="6"/>
        <v>0</v>
      </c>
      <c r="H31" s="156">
        <f t="shared" si="6"/>
        <v>0</v>
      </c>
      <c r="I31" s="156">
        <f t="shared" si="6"/>
        <v>0</v>
      </c>
      <c r="J31" s="156">
        <f t="shared" si="6"/>
        <v>0</v>
      </c>
      <c r="K31" s="156">
        <f t="shared" si="6"/>
        <v>0</v>
      </c>
      <c r="L31" s="156">
        <f t="shared" si="6"/>
        <v>0</v>
      </c>
      <c r="M31" s="156">
        <f t="shared" si="6"/>
        <v>0</v>
      </c>
      <c r="N31" s="156">
        <f t="shared" si="6"/>
        <v>0</v>
      </c>
      <c r="P31" s="12"/>
      <c r="Q31" s="12"/>
    </row>
    <row r="32" spans="1:17" ht="7.5" customHeight="1" x14ac:dyDescent="0.25">
      <c r="A32" s="180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P32" s="12"/>
      <c r="Q32" s="12"/>
    </row>
    <row r="33" spans="1:17" ht="18" customHeight="1" x14ac:dyDescent="0.25">
      <c r="A33" s="180" t="s">
        <v>19</v>
      </c>
      <c r="B33" s="158">
        <v>5430574</v>
      </c>
      <c r="C33" s="157">
        <f>+B36</f>
        <v>4611613.4749200009</v>
      </c>
      <c r="D33" s="157">
        <f t="shared" ref="D33:M33" si="7">+C36</f>
        <v>4453837.9110400025</v>
      </c>
      <c r="E33" s="157">
        <f t="shared" si="7"/>
        <v>3428297.0658999998</v>
      </c>
      <c r="F33" s="157">
        <f t="shared" si="7"/>
        <v>4280033.767860001</v>
      </c>
      <c r="G33" s="157">
        <f t="shared" si="7"/>
        <v>5799199.2118400009</v>
      </c>
      <c r="H33" s="157">
        <f t="shared" si="7"/>
        <v>7459803.4018800007</v>
      </c>
      <c r="I33" s="157">
        <f t="shared" si="7"/>
        <v>9030011.0288800038</v>
      </c>
      <c r="J33" s="157">
        <f t="shared" si="7"/>
        <v>9899486.048960004</v>
      </c>
      <c r="K33" s="157">
        <f t="shared" si="7"/>
        <v>10065545.304560004</v>
      </c>
      <c r="L33" s="157">
        <f t="shared" si="7"/>
        <v>9920833.7366600055</v>
      </c>
      <c r="M33" s="157">
        <f t="shared" si="7"/>
        <v>9895239.1676400062</v>
      </c>
      <c r="N33" s="157">
        <f>+B33</f>
        <v>5430574</v>
      </c>
      <c r="P33" s="9"/>
      <c r="Q33" s="9"/>
    </row>
    <row r="34" spans="1:17" ht="18" customHeight="1" x14ac:dyDescent="0.25">
      <c r="A34" s="180" t="s">
        <v>20</v>
      </c>
      <c r="B34" s="157">
        <f t="shared" ref="B34:G34" si="8">+B27</f>
        <v>-818960.52507999912</v>
      </c>
      <c r="C34" s="157">
        <f t="shared" si="8"/>
        <v>-157775.5638799984</v>
      </c>
      <c r="D34" s="157">
        <f t="shared" si="8"/>
        <v>-496114.48716000281</v>
      </c>
      <c r="E34" s="157">
        <f t="shared" si="8"/>
        <v>1345884.6293600015</v>
      </c>
      <c r="F34" s="157">
        <f t="shared" si="8"/>
        <v>1964711.71208</v>
      </c>
      <c r="G34" s="157">
        <f t="shared" si="8"/>
        <v>2055540.2379999999</v>
      </c>
      <c r="H34" s="157">
        <f t="shared" ref="H34:M34" si="9">+H27</f>
        <v>1988138.1071200017</v>
      </c>
      <c r="I34" s="157">
        <f t="shared" si="9"/>
        <v>1321272.2957199998</v>
      </c>
      <c r="J34" s="157">
        <f t="shared" si="9"/>
        <v>596772.77291999944</v>
      </c>
      <c r="K34" s="157">
        <f t="shared" si="9"/>
        <v>205890.91908000223</v>
      </c>
      <c r="L34" s="157">
        <f t="shared" si="9"/>
        <v>377187.81544000097</v>
      </c>
      <c r="M34" s="157">
        <f t="shared" si="9"/>
        <v>2276414.9856799971</v>
      </c>
      <c r="N34" s="157">
        <f>SUM(B34:M34)</f>
        <v>10658962.899280002</v>
      </c>
      <c r="P34" s="9"/>
      <c r="Q34" s="9"/>
    </row>
    <row r="35" spans="1:17" ht="18" customHeight="1" x14ac:dyDescent="0.25">
      <c r="A35" s="180" t="s">
        <v>21</v>
      </c>
      <c r="B35" s="168">
        <f>-B42</f>
        <v>0</v>
      </c>
      <c r="C35" s="168">
        <f t="shared" ref="C35:M35" si="10">-C42</f>
        <v>0</v>
      </c>
      <c r="D35" s="168">
        <f t="shared" si="10"/>
        <v>-529426.35798000009</v>
      </c>
      <c r="E35" s="168">
        <f t="shared" si="10"/>
        <v>-494147.92740000004</v>
      </c>
      <c r="F35" s="168">
        <f t="shared" si="10"/>
        <v>-445546.26809999999</v>
      </c>
      <c r="G35" s="168">
        <f t="shared" si="10"/>
        <v>-394936.04796</v>
      </c>
      <c r="H35" s="168">
        <f t="shared" si="10"/>
        <v>-417930.48011999996</v>
      </c>
      <c r="I35" s="168">
        <f t="shared" si="10"/>
        <v>-451797.27564000007</v>
      </c>
      <c r="J35" s="168">
        <f t="shared" si="10"/>
        <v>-430713.51732000004</v>
      </c>
      <c r="K35" s="168">
        <f t="shared" si="10"/>
        <v>-350602.48697999999</v>
      </c>
      <c r="L35" s="168">
        <f t="shared" si="10"/>
        <v>-402782.38446000003</v>
      </c>
      <c r="M35" s="168">
        <f t="shared" si="10"/>
        <v>-516353.54712</v>
      </c>
      <c r="N35" s="169">
        <f>SUM(B35:M35)</f>
        <v>-4434236.2930800002</v>
      </c>
      <c r="P35" s="9"/>
      <c r="Q35" s="9"/>
    </row>
    <row r="36" spans="1:17" ht="18" customHeight="1" x14ac:dyDescent="0.25">
      <c r="A36" s="180" t="s">
        <v>22</v>
      </c>
      <c r="B36" s="156">
        <f>SUM(B33:B35)</f>
        <v>4611613.4749200009</v>
      </c>
      <c r="C36" s="156">
        <f>SUM(C33:C35)</f>
        <v>4453837.9110400025</v>
      </c>
      <c r="D36" s="156">
        <f t="shared" ref="D36:N36" si="11">SUM(D33:D35)</f>
        <v>3428297.0658999998</v>
      </c>
      <c r="E36" s="156">
        <f t="shared" si="11"/>
        <v>4280033.767860001</v>
      </c>
      <c r="F36" s="156">
        <f t="shared" si="11"/>
        <v>5799199.2118400009</v>
      </c>
      <c r="G36" s="156">
        <f t="shared" si="11"/>
        <v>7459803.4018800007</v>
      </c>
      <c r="H36" s="156">
        <f t="shared" si="11"/>
        <v>9030011.0288800038</v>
      </c>
      <c r="I36" s="156">
        <f t="shared" si="11"/>
        <v>9899486.048960004</v>
      </c>
      <c r="J36" s="156">
        <f t="shared" si="11"/>
        <v>10065545.304560004</v>
      </c>
      <c r="K36" s="156">
        <f t="shared" si="11"/>
        <v>9920833.7366600055</v>
      </c>
      <c r="L36" s="156">
        <f t="shared" si="11"/>
        <v>9895239.1676400062</v>
      </c>
      <c r="M36" s="156">
        <f t="shared" si="11"/>
        <v>11655300.606200004</v>
      </c>
      <c r="N36" s="156">
        <f t="shared" si="11"/>
        <v>11655300.606200002</v>
      </c>
      <c r="P36" s="12"/>
      <c r="Q36" s="12"/>
    </row>
    <row r="37" spans="1:17" ht="18" customHeight="1" thickBot="1" x14ac:dyDescent="0.3">
      <c r="A37" s="181" t="s">
        <v>23</v>
      </c>
      <c r="B37" s="170">
        <f>+B31+B36</f>
        <v>4611613.4749200009</v>
      </c>
      <c r="C37" s="170">
        <f>+C31+C36</f>
        <v>4453837.9110400025</v>
      </c>
      <c r="D37" s="170">
        <f t="shared" ref="D37:N37" si="12">+D31+D36</f>
        <v>3428297.0658999998</v>
      </c>
      <c r="E37" s="170">
        <f t="shared" si="12"/>
        <v>4280033.767860001</v>
      </c>
      <c r="F37" s="170">
        <f t="shared" si="12"/>
        <v>5799199.2118400009</v>
      </c>
      <c r="G37" s="170">
        <f t="shared" si="12"/>
        <v>7459803.4018800007</v>
      </c>
      <c r="H37" s="170">
        <f t="shared" si="12"/>
        <v>9030011.0288800038</v>
      </c>
      <c r="I37" s="170">
        <f t="shared" si="12"/>
        <v>9899486.048960004</v>
      </c>
      <c r="J37" s="170">
        <f t="shared" si="12"/>
        <v>10065545.304560004</v>
      </c>
      <c r="K37" s="170">
        <f t="shared" si="12"/>
        <v>9920833.7366600055</v>
      </c>
      <c r="L37" s="170">
        <f t="shared" si="12"/>
        <v>9895239.1676400062</v>
      </c>
      <c r="M37" s="170">
        <f t="shared" si="12"/>
        <v>11655300.606200004</v>
      </c>
      <c r="N37" s="170">
        <f t="shared" si="12"/>
        <v>11655300.606200002</v>
      </c>
      <c r="P37" s="9"/>
      <c r="Q37" s="9"/>
    </row>
    <row r="38" spans="1:17" ht="18" customHeight="1" thickTop="1" x14ac:dyDescent="0.25">
      <c r="A38" s="180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61"/>
      <c r="M38" s="161"/>
      <c r="N38" s="161"/>
      <c r="P38" s="2"/>
      <c r="Q38" s="2"/>
    </row>
    <row r="39" spans="1:17" ht="18" customHeight="1" x14ac:dyDescent="0.25">
      <c r="A39" s="182" t="s">
        <v>21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61"/>
      <c r="M39" s="161"/>
      <c r="N39" s="161"/>
      <c r="P39" s="2"/>
      <c r="Q39" s="2"/>
    </row>
    <row r="40" spans="1:17" ht="18" customHeight="1" x14ac:dyDescent="0.25">
      <c r="A40" s="180" t="s">
        <v>68</v>
      </c>
      <c r="B40" s="156">
        <f>+[1]Monthly!C15*1000</f>
        <v>144805863.99999997</v>
      </c>
      <c r="C40" s="156">
        <f>+[1]Monthly!D15*1000</f>
        <v>142849474.99999997</v>
      </c>
      <c r="D40" s="156">
        <f>+[1]Monthly!E15*1000</f>
        <v>131698099.00000001</v>
      </c>
      <c r="E40" s="156">
        <f>+[1]Monthly!F15*1000</f>
        <v>122922370</v>
      </c>
      <c r="F40" s="156">
        <f>+[1]Monthly!G15*1000</f>
        <v>110832405</v>
      </c>
      <c r="G40" s="156">
        <f>+[1]Monthly!H15*1000</f>
        <v>98242798</v>
      </c>
      <c r="H40" s="156">
        <f>+[1]Monthly!I15*1000</f>
        <v>103962805.99999999</v>
      </c>
      <c r="I40" s="156">
        <f>+[1]Monthly!J15*1000</f>
        <v>112387382.00000001</v>
      </c>
      <c r="J40" s="156">
        <f>+[1]Monthly!K15*1000</f>
        <v>107142666</v>
      </c>
      <c r="K40" s="156">
        <f>+[1]Monthly!L15*1000</f>
        <v>87214549</v>
      </c>
      <c r="L40" s="156">
        <f>+[1]Monthly!M15*1000</f>
        <v>100194623</v>
      </c>
      <c r="M40" s="156">
        <f>+[1]Monthly!N15*1000</f>
        <v>128446156</v>
      </c>
      <c r="N40" s="157">
        <f>SUM(B40:M40)</f>
        <v>1390699193</v>
      </c>
    </row>
    <row r="41" spans="1:17" ht="18" customHeight="1" x14ac:dyDescent="0.25">
      <c r="A41" s="180" t="s">
        <v>69</v>
      </c>
      <c r="B41" s="171">
        <f>+[2]Budget!Q$88</f>
        <v>0</v>
      </c>
      <c r="C41" s="171">
        <f>+[2]Budget!R$88</f>
        <v>0</v>
      </c>
      <c r="D41" s="171">
        <f>+[2]Budget!S$88</f>
        <v>4.0200000000000001E-3</v>
      </c>
      <c r="E41" s="171">
        <f>+[2]Budget!T$88</f>
        <v>4.0200000000000001E-3</v>
      </c>
      <c r="F41" s="171">
        <f>+[2]Budget!U$88</f>
        <v>4.0200000000000001E-3</v>
      </c>
      <c r="G41" s="171">
        <f>+[2]Budget!V$88</f>
        <v>4.0200000000000001E-3</v>
      </c>
      <c r="H41" s="171">
        <f>+[2]Budget!W$88</f>
        <v>4.0200000000000001E-3</v>
      </c>
      <c r="I41" s="171">
        <f>+[2]Budget!X$88</f>
        <v>4.0200000000000001E-3</v>
      </c>
      <c r="J41" s="171">
        <f>+[2]Budget!Y$88</f>
        <v>4.0200000000000001E-3</v>
      </c>
      <c r="K41" s="171">
        <f>+[2]Budget!Z$88</f>
        <v>4.0200000000000001E-3</v>
      </c>
      <c r="L41" s="171">
        <f>+[2]Budget!AA$88</f>
        <v>4.0200000000000001E-3</v>
      </c>
      <c r="M41" s="171">
        <f>+[2]Budget!AB$88</f>
        <v>4.0200000000000001E-3</v>
      </c>
      <c r="N41" s="172">
        <f>+N42/N40</f>
        <v>3.1884941872401015E-3</v>
      </c>
    </row>
    <row r="42" spans="1:17" ht="18" customHeight="1" x14ac:dyDescent="0.25">
      <c r="A42" s="183" t="str">
        <f>+A36</f>
        <v xml:space="preserve">Closing Balance - Regular ECAM </v>
      </c>
      <c r="B42" s="47">
        <f>+B40*B41</f>
        <v>0</v>
      </c>
      <c r="C42" s="47">
        <f t="shared" ref="C42:M42" si="13">+C40*C41</f>
        <v>0</v>
      </c>
      <c r="D42" s="47">
        <f t="shared" si="13"/>
        <v>529426.35798000009</v>
      </c>
      <c r="E42" s="47">
        <f t="shared" si="13"/>
        <v>494147.92740000004</v>
      </c>
      <c r="F42" s="47">
        <f t="shared" si="13"/>
        <v>445546.26809999999</v>
      </c>
      <c r="G42" s="47">
        <f t="shared" si="13"/>
        <v>394936.04796</v>
      </c>
      <c r="H42" s="47">
        <f t="shared" si="13"/>
        <v>417930.48011999996</v>
      </c>
      <c r="I42" s="47">
        <f t="shared" si="13"/>
        <v>451797.27564000007</v>
      </c>
      <c r="J42" s="47">
        <f t="shared" si="13"/>
        <v>430713.51732000004</v>
      </c>
      <c r="K42" s="47">
        <f t="shared" si="13"/>
        <v>350602.48697999999</v>
      </c>
      <c r="L42" s="47">
        <f t="shared" si="13"/>
        <v>402782.38446000003</v>
      </c>
      <c r="M42" s="47">
        <f t="shared" si="13"/>
        <v>516353.54712</v>
      </c>
      <c r="N42" s="160">
        <f>SUM(B42:M42)</f>
        <v>4434236.2930800002</v>
      </c>
    </row>
  </sheetData>
  <mergeCells count="4">
    <mergeCell ref="A1:N1"/>
    <mergeCell ref="A2:N2"/>
    <mergeCell ref="A3:N3"/>
    <mergeCell ref="B9:N9"/>
  </mergeCells>
  <phoneticPr fontId="0" type="noConversion"/>
  <printOptions horizontalCentered="1"/>
  <pageMargins left="0.75" right="0.75" top="1" bottom="1" header="0.5" footer="0.5"/>
  <pageSetup scale="44" fitToHeight="6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49E13-3D7E-4CB1-88AD-CF61CF8C7F41}">
  <dimension ref="A1:C21"/>
  <sheetViews>
    <sheetView workbookViewId="0">
      <selection activeCell="D35" sqref="D35"/>
    </sheetView>
  </sheetViews>
  <sheetFormatPr defaultRowHeight="12.75" x14ac:dyDescent="0.2"/>
  <cols>
    <col min="1" max="3" width="33" customWidth="1"/>
  </cols>
  <sheetData>
    <row r="1" spans="1:3" ht="15" x14ac:dyDescent="0.25">
      <c r="A1" s="62"/>
      <c r="B1" s="2"/>
      <c r="C1" s="2"/>
    </row>
    <row r="2" spans="1:3" ht="15" x14ac:dyDescent="0.25">
      <c r="A2" s="216" t="s">
        <v>80</v>
      </c>
      <c r="B2" s="217"/>
      <c r="C2" s="218"/>
    </row>
    <row r="3" spans="1:3" ht="15" x14ac:dyDescent="0.25">
      <c r="A3" s="63"/>
      <c r="B3" s="75" t="s">
        <v>87</v>
      </c>
      <c r="C3" s="73" t="s">
        <v>86</v>
      </c>
    </row>
    <row r="4" spans="1:3" ht="15" x14ac:dyDescent="0.25">
      <c r="A4" s="64"/>
      <c r="B4" s="65"/>
      <c r="C4" s="66"/>
    </row>
    <row r="5" spans="1:3" ht="15" x14ac:dyDescent="0.25">
      <c r="A5" s="246" t="s">
        <v>81</v>
      </c>
      <c r="B5" s="247"/>
      <c r="C5" s="248"/>
    </row>
    <row r="6" spans="1:3" x14ac:dyDescent="0.2">
      <c r="A6" s="4" t="s">
        <v>82</v>
      </c>
      <c r="B6" s="67">
        <f>(26.92+650*'Table 8 Energy Charge per kWh'!B24)*12</f>
        <v>1565.58</v>
      </c>
      <c r="C6" s="74">
        <f>(26.92+650*'Table 8 Energy Charge per kWh'!C24)*12</f>
        <v>1591.3093814534427</v>
      </c>
    </row>
    <row r="7" spans="1:3" x14ac:dyDescent="0.2">
      <c r="A7" s="5"/>
      <c r="B7" s="8"/>
      <c r="C7" s="69">
        <f>(C6-B6)/B6</f>
        <v>1.6434408623923903E-2</v>
      </c>
    </row>
    <row r="8" spans="1:3" x14ac:dyDescent="0.2">
      <c r="A8" s="70" t="s">
        <v>83</v>
      </c>
      <c r="B8" s="67">
        <f>+B6+(26.92*0.15+650*'Table 8 Energy Charge per kWh'!B24*0.05)*12</f>
        <v>1676.163</v>
      </c>
      <c r="C8" s="74">
        <f>+C6+(26.92*0.15+650*'Table 8 Energy Charge per kWh'!C24*0.05)*12</f>
        <v>1703.178850526115</v>
      </c>
    </row>
    <row r="9" spans="1:3" x14ac:dyDescent="0.2">
      <c r="A9" s="5"/>
      <c r="B9" s="68"/>
      <c r="C9" s="69">
        <f>(C8-B8)/B8</f>
        <v>1.6117675026900691E-2</v>
      </c>
    </row>
    <row r="10" spans="1:3" x14ac:dyDescent="0.2">
      <c r="A10" s="70"/>
      <c r="B10" s="6"/>
      <c r="C10" s="71"/>
    </row>
    <row r="11" spans="1:3" ht="15" x14ac:dyDescent="0.25">
      <c r="A11" s="246" t="s">
        <v>84</v>
      </c>
      <c r="B11" s="247"/>
      <c r="C11" s="248"/>
    </row>
    <row r="12" spans="1:3" x14ac:dyDescent="0.2">
      <c r="A12" s="4" t="s">
        <v>82</v>
      </c>
      <c r="B12" s="67">
        <f>(24.57+650*'Table 8 Energy Charge per kWh'!B24)*12</f>
        <v>1537.38</v>
      </c>
      <c r="C12" s="149">
        <f>(24.57+650*'Table 8 Energy Charge per kWh'!C24)*12</f>
        <v>1563.1093814534429</v>
      </c>
    </row>
    <row r="13" spans="1:3" x14ac:dyDescent="0.2">
      <c r="A13" s="5"/>
      <c r="B13" s="8"/>
      <c r="C13" s="69">
        <f>(C12-B12)/B12</f>
        <v>1.6735863256607204E-2</v>
      </c>
    </row>
    <row r="14" spans="1:3" x14ac:dyDescent="0.2">
      <c r="A14" s="70" t="s">
        <v>83</v>
      </c>
      <c r="B14" s="67">
        <f>+B12+(24.57*0.15+650*'Table 8 Energy Charge per kWh'!B24*0.05)*12</f>
        <v>1643.7330000000002</v>
      </c>
      <c r="C14" s="149">
        <f>+C12+(24.57*0.15+650*'Table 8 Energy Charge per kWh'!C24*0.05)*12</f>
        <v>1670.7488505261151</v>
      </c>
    </row>
    <row r="15" spans="1:3" x14ac:dyDescent="0.2">
      <c r="A15" s="4"/>
      <c r="B15" s="8"/>
      <c r="C15" s="69">
        <f>(C14-B14)/B14</f>
        <v>1.6435668399986461E-2</v>
      </c>
    </row>
    <row r="16" spans="1:3" x14ac:dyDescent="0.2">
      <c r="A16" s="72"/>
      <c r="B16" s="65"/>
      <c r="C16" s="66"/>
    </row>
    <row r="17" spans="1:3" ht="15" x14ac:dyDescent="0.25">
      <c r="A17" s="243" t="s">
        <v>85</v>
      </c>
      <c r="B17" s="244"/>
      <c r="C17" s="245"/>
    </row>
    <row r="18" spans="1:3" x14ac:dyDescent="0.2">
      <c r="A18" s="4" t="s">
        <v>82</v>
      </c>
      <c r="B18" s="67">
        <f>(24.57+(50-20)*13.43+5000*'Table 8 Energy Charge per kWh'!B26+5000*'Table 8 Energy Charge per kWh'!B27)*12</f>
        <v>24569.64</v>
      </c>
      <c r="C18" s="74">
        <f>(24.57+(50-20)*13.43+5000*'Table 8 Energy Charge per kWh'!C26+5000*'Table 8 Energy Charge per kWh'!C27)*12</f>
        <v>24965.476637745269</v>
      </c>
    </row>
    <row r="19" spans="1:3" x14ac:dyDescent="0.2">
      <c r="A19" s="5"/>
      <c r="B19" s="8"/>
      <c r="C19" s="69">
        <f>(C18-B18)/B18</f>
        <v>1.6110803322526068E-2</v>
      </c>
    </row>
    <row r="20" spans="1:3" x14ac:dyDescent="0.2">
      <c r="A20" s="70" t="s">
        <v>83</v>
      </c>
      <c r="B20" s="67">
        <f>+B18*1.15</f>
        <v>28255.085999999996</v>
      </c>
      <c r="C20" s="74">
        <f>+C18*1.15</f>
        <v>28710.298133407057</v>
      </c>
    </row>
    <row r="21" spans="1:3" x14ac:dyDescent="0.2">
      <c r="A21" s="5"/>
      <c r="B21" s="8"/>
      <c r="C21" s="69">
        <f>(C20-B20)/B20</f>
        <v>1.6110803322526134E-2</v>
      </c>
    </row>
  </sheetData>
  <mergeCells count="4">
    <mergeCell ref="A17:C17"/>
    <mergeCell ref="A2:C2"/>
    <mergeCell ref="A5:C5"/>
    <mergeCell ref="A11:C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574B1-2739-4357-AA32-08356537CC40}">
  <dimension ref="A1:D56"/>
  <sheetViews>
    <sheetView workbookViewId="0">
      <selection activeCell="B4" sqref="B4"/>
    </sheetView>
  </sheetViews>
  <sheetFormatPr defaultRowHeight="12.75" x14ac:dyDescent="0.2"/>
  <cols>
    <col min="1" max="1" width="57.5703125" bestFit="1" customWidth="1"/>
    <col min="2" max="2" width="14.5703125" bestFit="1" customWidth="1"/>
    <col min="3" max="4" width="12.7109375" bestFit="1" customWidth="1"/>
  </cols>
  <sheetData>
    <row r="1" spans="1:4" ht="15.75" thickBot="1" x14ac:dyDescent="0.3">
      <c r="A1" s="249" t="s">
        <v>141</v>
      </c>
      <c r="B1" s="250"/>
      <c r="C1" s="250"/>
      <c r="D1" s="250"/>
    </row>
    <row r="2" spans="1:4" ht="15.75" thickTop="1" x14ac:dyDescent="0.25">
      <c r="A2" s="251" t="s">
        <v>122</v>
      </c>
      <c r="B2" s="252"/>
      <c r="C2" s="252"/>
      <c r="D2" s="253"/>
    </row>
    <row r="3" spans="1:4" ht="15" x14ac:dyDescent="0.25">
      <c r="A3" s="237" t="s">
        <v>123</v>
      </c>
      <c r="B3" s="238"/>
      <c r="C3" s="238"/>
      <c r="D3" s="239"/>
    </row>
    <row r="4" spans="1:4" ht="15" x14ac:dyDescent="0.25">
      <c r="A4" s="141"/>
      <c r="B4" s="124">
        <f>+'Table 8 Energy Charge per kWh'!B3</f>
        <v>45047</v>
      </c>
      <c r="C4" s="124">
        <f>+'Table 8 Energy Charge per kWh'!C3</f>
        <v>45200</v>
      </c>
      <c r="D4" s="126">
        <f>+'Table 8 Energy Charge per kWh'!D3</f>
        <v>45352</v>
      </c>
    </row>
    <row r="5" spans="1:4" ht="14.25" x14ac:dyDescent="0.2">
      <c r="A5" s="133" t="s">
        <v>124</v>
      </c>
      <c r="B5" s="111">
        <v>323.04000000000008</v>
      </c>
      <c r="C5" s="111">
        <f>+B5</f>
        <v>323.04000000000008</v>
      </c>
      <c r="D5" s="142">
        <f>+C5</f>
        <v>323.04000000000008</v>
      </c>
    </row>
    <row r="6" spans="1:4" ht="14.25" x14ac:dyDescent="0.2">
      <c r="A6" s="143" t="s">
        <v>125</v>
      </c>
      <c r="B6" s="113">
        <f>+[4]rural!$AR$154</f>
        <v>1195.155</v>
      </c>
      <c r="C6" s="113">
        <f>+B6</f>
        <v>1195.155</v>
      </c>
      <c r="D6" s="144">
        <v>1248</v>
      </c>
    </row>
    <row r="7" spans="1:4" ht="14.25" x14ac:dyDescent="0.2">
      <c r="A7" s="143" t="s">
        <v>126</v>
      </c>
      <c r="B7" s="113">
        <f>+[4]rural!$AR$155</f>
        <v>42.903249999999986</v>
      </c>
      <c r="C7" s="113">
        <f>+[5]rural!$AR$92</f>
        <v>52.555749999999996</v>
      </c>
      <c r="D7" s="144">
        <v>39.450000000000003</v>
      </c>
    </row>
    <row r="8" spans="1:4" ht="14.25" x14ac:dyDescent="0.2">
      <c r="A8" s="143" t="s">
        <v>144</v>
      </c>
      <c r="B8" s="113">
        <f>+[4]rural!$AR$156</f>
        <v>5.8272500000000003</v>
      </c>
      <c r="C8" s="113">
        <f>+B8</f>
        <v>5.8272500000000003</v>
      </c>
      <c r="D8" s="144">
        <v>0</v>
      </c>
    </row>
    <row r="9" spans="1:4" ht="14.25" x14ac:dyDescent="0.2">
      <c r="A9" s="143" t="s">
        <v>127</v>
      </c>
      <c r="B9" s="113">
        <f>+[4]rural!$AR$157</f>
        <v>2.1287500000000001</v>
      </c>
      <c r="C9" s="112">
        <f>+B9</f>
        <v>2.1287500000000001</v>
      </c>
      <c r="D9" s="147">
        <v>2.4700000000000002</v>
      </c>
    </row>
    <row r="10" spans="1:4" ht="14.25" x14ac:dyDescent="0.2">
      <c r="A10" s="143" t="s">
        <v>128</v>
      </c>
      <c r="B10" s="113">
        <f>+[4]rural!$AR$158</f>
        <v>-13.237250000000003</v>
      </c>
      <c r="C10" s="113">
        <f>+B10</f>
        <v>-13.237250000000003</v>
      </c>
      <c r="D10" s="144">
        <v>-0.63</v>
      </c>
    </row>
    <row r="11" spans="1:4" ht="15" x14ac:dyDescent="0.25">
      <c r="A11" s="131" t="s">
        <v>129</v>
      </c>
      <c r="B11" s="113">
        <f>SUM(B5:B10)</f>
        <v>1555.8170000000005</v>
      </c>
      <c r="C11" s="114">
        <f>SUM(C5:C10)</f>
        <v>1565.4695000000004</v>
      </c>
      <c r="D11" s="145">
        <f>SUM(D5:D10)</f>
        <v>1612.33</v>
      </c>
    </row>
    <row r="12" spans="1:4" ht="14.25" x14ac:dyDescent="0.2">
      <c r="A12" s="133" t="s">
        <v>130</v>
      </c>
      <c r="B12" s="113">
        <f>+B11*0.15</f>
        <v>233.37255000000005</v>
      </c>
      <c r="C12" s="113">
        <f t="shared" ref="C12:D12" si="0">ROUND(+C11*0.15,2)</f>
        <v>234.82</v>
      </c>
      <c r="D12" s="144">
        <f t="shared" si="0"/>
        <v>241.85</v>
      </c>
    </row>
    <row r="13" spans="1:4" ht="14.25" x14ac:dyDescent="0.2">
      <c r="A13" s="133" t="s">
        <v>131</v>
      </c>
      <c r="B13" s="113">
        <f>-SUM(B6:B10)*0.1</f>
        <v>-123.27770000000004</v>
      </c>
      <c r="C13" s="113">
        <f t="shared" ref="C13:D13" si="1">-SUM(C6:C10)*0.1</f>
        <v>-124.24295000000002</v>
      </c>
      <c r="D13" s="144">
        <f t="shared" si="1"/>
        <v>-128.929</v>
      </c>
    </row>
    <row r="14" spans="1:4" ht="15" x14ac:dyDescent="0.25">
      <c r="A14" s="134" t="s">
        <v>132</v>
      </c>
      <c r="B14" s="115">
        <f>SUM(B11:B13)</f>
        <v>1665.9118500000004</v>
      </c>
      <c r="C14" s="115">
        <f>SUM(C11:C13)</f>
        <v>1676.0465500000003</v>
      </c>
      <c r="D14" s="146">
        <f>SUM(D11:D13)</f>
        <v>1725.2509999999997</v>
      </c>
    </row>
    <row r="15" spans="1:4" ht="15" x14ac:dyDescent="0.25">
      <c r="A15" s="134" t="s">
        <v>133</v>
      </c>
      <c r="B15" s="115"/>
      <c r="C15" s="115"/>
      <c r="D15" s="146"/>
    </row>
    <row r="16" spans="1:4" ht="15" x14ac:dyDescent="0.25">
      <c r="A16" s="134" t="s">
        <v>134</v>
      </c>
      <c r="B16" s="116"/>
      <c r="C16" s="116">
        <f t="shared" ref="C16" si="2">(C11-B11)/B11</f>
        <v>6.2041358334559366E-3</v>
      </c>
      <c r="D16" s="137">
        <f>(D11-C11)/C11</f>
        <v>2.9933831352191489E-2</v>
      </c>
    </row>
    <row r="17" spans="1:4" ht="15.75" thickBot="1" x14ac:dyDescent="0.3">
      <c r="A17" s="138" t="s">
        <v>135</v>
      </c>
      <c r="B17" s="139"/>
      <c r="C17" s="139">
        <f t="shared" ref="C17:D17" si="3">(C14-B14)/B14</f>
        <v>6.0835751903678672E-3</v>
      </c>
      <c r="D17" s="140">
        <f t="shared" si="3"/>
        <v>2.9357448335787267E-2</v>
      </c>
    </row>
    <row r="18" spans="1:4" ht="16.5" thickTop="1" thickBot="1" x14ac:dyDescent="0.3">
      <c r="A18" s="117"/>
      <c r="B18" s="118"/>
      <c r="C18" s="118"/>
      <c r="D18" s="118"/>
    </row>
    <row r="19" spans="1:4" ht="15.75" thickTop="1" x14ac:dyDescent="0.25">
      <c r="A19" s="240" t="s">
        <v>142</v>
      </c>
      <c r="B19" s="241"/>
      <c r="C19" s="241"/>
      <c r="D19" s="242"/>
    </row>
    <row r="20" spans="1:4" ht="15" x14ac:dyDescent="0.25">
      <c r="A20" s="237" t="s">
        <v>138</v>
      </c>
      <c r="B20" s="238"/>
      <c r="C20" s="238"/>
      <c r="D20" s="239"/>
    </row>
    <row r="21" spans="1:4" ht="15" x14ac:dyDescent="0.25">
      <c r="A21" s="237" t="s">
        <v>123</v>
      </c>
      <c r="B21" s="238"/>
      <c r="C21" s="238"/>
      <c r="D21" s="239"/>
    </row>
    <row r="22" spans="1:4" ht="15" x14ac:dyDescent="0.25">
      <c r="A22" s="141"/>
      <c r="B22" s="124">
        <f>+B4</f>
        <v>45047</v>
      </c>
      <c r="C22" s="124">
        <f>+C4</f>
        <v>45200</v>
      </c>
      <c r="D22" s="126">
        <f>+D4</f>
        <v>45352</v>
      </c>
    </row>
    <row r="23" spans="1:4" ht="14.25" x14ac:dyDescent="0.2">
      <c r="A23" s="133" t="s">
        <v>124</v>
      </c>
      <c r="B23" s="111">
        <v>294.83999999999997</v>
      </c>
      <c r="C23" s="111">
        <f>+B23</f>
        <v>294.83999999999997</v>
      </c>
      <c r="D23" s="142">
        <f>+C23</f>
        <v>294.83999999999997</v>
      </c>
    </row>
    <row r="24" spans="1:4" ht="14.25" x14ac:dyDescent="0.2">
      <c r="A24" s="143" t="s">
        <v>125</v>
      </c>
      <c r="B24" s="113">
        <f t="shared" ref="B24:D25" si="4">+B6</f>
        <v>1195.155</v>
      </c>
      <c r="C24" s="113">
        <f t="shared" si="4"/>
        <v>1195.155</v>
      </c>
      <c r="D24" s="144">
        <f t="shared" si="4"/>
        <v>1248</v>
      </c>
    </row>
    <row r="25" spans="1:4" ht="14.25" x14ac:dyDescent="0.2">
      <c r="A25" s="143" t="s">
        <v>126</v>
      </c>
      <c r="B25" s="113">
        <f t="shared" si="4"/>
        <v>42.903249999999986</v>
      </c>
      <c r="C25" s="113">
        <f t="shared" si="4"/>
        <v>52.555749999999996</v>
      </c>
      <c r="D25" s="144">
        <f t="shared" si="4"/>
        <v>39.450000000000003</v>
      </c>
    </row>
    <row r="26" spans="1:4" ht="14.25" x14ac:dyDescent="0.2">
      <c r="A26" s="143" t="str">
        <f>+A8</f>
        <v>Provincial Costs Recoverable</v>
      </c>
      <c r="B26" s="113">
        <f>+B8</f>
        <v>5.8272500000000003</v>
      </c>
      <c r="C26" s="113">
        <f>+B26</f>
        <v>5.8272500000000003</v>
      </c>
      <c r="D26" s="144">
        <v>0</v>
      </c>
    </row>
    <row r="27" spans="1:4" ht="14.25" x14ac:dyDescent="0.2">
      <c r="A27" s="143" t="s">
        <v>127</v>
      </c>
      <c r="B27" s="113">
        <f t="shared" ref="B27:D27" si="5">+B9</f>
        <v>2.1287500000000001</v>
      </c>
      <c r="C27" s="113">
        <f t="shared" si="5"/>
        <v>2.1287500000000001</v>
      </c>
      <c r="D27" s="144">
        <f t="shared" si="5"/>
        <v>2.4700000000000002</v>
      </c>
    </row>
    <row r="28" spans="1:4" ht="14.25" x14ac:dyDescent="0.2">
      <c r="A28" s="143" t="s">
        <v>128</v>
      </c>
      <c r="B28" s="113">
        <f t="shared" ref="B28:D28" si="6">+B10</f>
        <v>-13.237250000000003</v>
      </c>
      <c r="C28" s="113">
        <f t="shared" si="6"/>
        <v>-13.237250000000003</v>
      </c>
      <c r="D28" s="144">
        <f t="shared" si="6"/>
        <v>-0.63</v>
      </c>
    </row>
    <row r="29" spans="1:4" ht="15" x14ac:dyDescent="0.25">
      <c r="A29" s="131" t="s">
        <v>129</v>
      </c>
      <c r="B29" s="114">
        <f>SUM(B23:B28)</f>
        <v>1527.6170000000002</v>
      </c>
      <c r="C29" s="114">
        <f t="shared" ref="C29:D29" si="7">SUM(C23:C28)</f>
        <v>1537.2695000000001</v>
      </c>
      <c r="D29" s="145">
        <f t="shared" si="7"/>
        <v>1584.1299999999999</v>
      </c>
    </row>
    <row r="30" spans="1:4" ht="14.25" x14ac:dyDescent="0.2">
      <c r="A30" s="133" t="str">
        <f>+A12</f>
        <v>HST</v>
      </c>
      <c r="B30" s="113">
        <f>+B29*0.15</f>
        <v>229.14255000000003</v>
      </c>
      <c r="C30" s="113">
        <f t="shared" ref="C30:D30" si="8">+C29*0.15</f>
        <v>230.59042500000001</v>
      </c>
      <c r="D30" s="144">
        <f t="shared" si="8"/>
        <v>237.61949999999996</v>
      </c>
    </row>
    <row r="31" spans="1:4" ht="14.25" x14ac:dyDescent="0.2">
      <c r="A31" s="133" t="str">
        <f>+A13</f>
        <v>Provincial Clean Energy Rebate*</v>
      </c>
      <c r="B31" s="113">
        <f>-SUM(B24:B28)*0.1</f>
        <v>-123.27770000000004</v>
      </c>
      <c r="C31" s="113">
        <f t="shared" ref="C31:D31" si="9">-SUM(C24:C28)*0.1</f>
        <v>-124.24295000000002</v>
      </c>
      <c r="D31" s="144">
        <f t="shared" si="9"/>
        <v>-128.929</v>
      </c>
    </row>
    <row r="32" spans="1:4" ht="15" x14ac:dyDescent="0.25">
      <c r="A32" s="134" t="s">
        <v>132</v>
      </c>
      <c r="B32" s="115">
        <f>SUM(B29:B31)-0.01</f>
        <v>1633.4718500000001</v>
      </c>
      <c r="C32" s="115">
        <f>SUM(C29:C31)+0.01</f>
        <v>1643.6269750000001</v>
      </c>
      <c r="D32" s="146">
        <f>SUM(D29:D31)+0</f>
        <v>1692.8204999999998</v>
      </c>
    </row>
    <row r="33" spans="1:4" ht="15" x14ac:dyDescent="0.25">
      <c r="A33" s="136" t="s">
        <v>133</v>
      </c>
      <c r="B33" s="115"/>
      <c r="C33" s="115"/>
      <c r="D33" s="146"/>
    </row>
    <row r="34" spans="1:4" ht="15" x14ac:dyDescent="0.25">
      <c r="A34" s="134" t="s">
        <v>134</v>
      </c>
      <c r="B34" s="116"/>
      <c r="C34" s="116">
        <f>(C29-B29)/B29</f>
        <v>6.3186649533226698E-3</v>
      </c>
      <c r="D34" s="137">
        <f t="shared" ref="D34" si="10">(D29-C29)/C29</f>
        <v>3.0482943947043619E-2</v>
      </c>
    </row>
    <row r="35" spans="1:4" ht="15.75" thickBot="1" x14ac:dyDescent="0.3">
      <c r="A35" s="138" t="s">
        <v>135</v>
      </c>
      <c r="B35" s="139"/>
      <c r="C35" s="139">
        <f>(C32-B32)/B32</f>
        <v>6.2168962385240967E-3</v>
      </c>
      <c r="D35" s="140">
        <f t="shared" ref="D35" si="11">(D32-C32)/C32</f>
        <v>2.9929859845479644E-2</v>
      </c>
    </row>
    <row r="36" spans="1:4" ht="15.75" thickTop="1" thickBot="1" x14ac:dyDescent="0.25">
      <c r="A36" s="119"/>
      <c r="B36" s="120"/>
      <c r="C36" s="120"/>
      <c r="D36" s="120"/>
    </row>
    <row r="37" spans="1:4" ht="15.75" thickTop="1" x14ac:dyDescent="0.25">
      <c r="A37" s="228" t="s">
        <v>143</v>
      </c>
      <c r="B37" s="229"/>
      <c r="C37" s="229"/>
      <c r="D37" s="230"/>
    </row>
    <row r="38" spans="1:4" ht="15" x14ac:dyDescent="0.25">
      <c r="A38" s="231" t="s">
        <v>137</v>
      </c>
      <c r="B38" s="232"/>
      <c r="C38" s="232"/>
      <c r="D38" s="233"/>
    </row>
    <row r="39" spans="1:4" ht="15" x14ac:dyDescent="0.25">
      <c r="A39" s="234" t="s">
        <v>139</v>
      </c>
      <c r="B39" s="235"/>
      <c r="C39" s="235"/>
      <c r="D39" s="236"/>
    </row>
    <row r="40" spans="1:4" ht="15" x14ac:dyDescent="0.25">
      <c r="A40" s="237" t="s">
        <v>123</v>
      </c>
      <c r="B40" s="238"/>
      <c r="C40" s="238"/>
      <c r="D40" s="239"/>
    </row>
    <row r="41" spans="1:4" ht="15" x14ac:dyDescent="0.25">
      <c r="A41" s="125"/>
      <c r="B41" s="124">
        <f>+B22</f>
        <v>45047</v>
      </c>
      <c r="C41" s="124">
        <f t="shared" ref="C41:D41" si="12">+C22</f>
        <v>45200</v>
      </c>
      <c r="D41" s="126">
        <f t="shared" si="12"/>
        <v>45352</v>
      </c>
    </row>
    <row r="42" spans="1:4" ht="14.25" x14ac:dyDescent="0.2">
      <c r="A42" s="127" t="s">
        <v>124</v>
      </c>
      <c r="B42" s="121">
        <v>294.83999999999997</v>
      </c>
      <c r="C42" s="110">
        <f>+B42</f>
        <v>294.83999999999997</v>
      </c>
      <c r="D42" s="128">
        <f>+C42</f>
        <v>294.83999999999997</v>
      </c>
    </row>
    <row r="43" spans="1:4" ht="14.25" x14ac:dyDescent="0.2">
      <c r="A43" s="127" t="s">
        <v>136</v>
      </c>
      <c r="B43" s="109">
        <v>4834.8</v>
      </c>
      <c r="C43" s="109">
        <f>+B43</f>
        <v>4834.8</v>
      </c>
      <c r="D43" s="129">
        <f>+C43</f>
        <v>4834.8</v>
      </c>
    </row>
    <row r="44" spans="1:4" ht="14.25" x14ac:dyDescent="0.2">
      <c r="A44" s="127" t="s">
        <v>125</v>
      </c>
      <c r="B44" s="109">
        <v>18703.5</v>
      </c>
      <c r="C44" s="109">
        <f>+B44</f>
        <v>18703.5</v>
      </c>
      <c r="D44" s="129">
        <v>19529.5</v>
      </c>
    </row>
    <row r="45" spans="1:4" ht="14.25" x14ac:dyDescent="0.2">
      <c r="A45" s="130" t="s">
        <v>126</v>
      </c>
      <c r="B45" s="109">
        <v>660.05</v>
      </c>
      <c r="C45" s="109">
        <v>808.55</v>
      </c>
      <c r="D45" s="129">
        <v>606.9</v>
      </c>
    </row>
    <row r="46" spans="1:4" ht="14.25" x14ac:dyDescent="0.2">
      <c r="A46" s="130" t="s">
        <v>144</v>
      </c>
      <c r="B46" s="109">
        <f>+C46</f>
        <v>89.65</v>
      </c>
      <c r="C46" s="109">
        <v>89.65</v>
      </c>
      <c r="D46" s="129">
        <v>0</v>
      </c>
    </row>
    <row r="47" spans="1:4" ht="14.25" x14ac:dyDescent="0.2">
      <c r="A47" s="130" t="s">
        <v>127</v>
      </c>
      <c r="B47" s="109">
        <f t="shared" ref="B47:B48" si="13">+C47</f>
        <v>32.75</v>
      </c>
      <c r="C47" s="109">
        <v>32.75</v>
      </c>
      <c r="D47" s="129">
        <v>37.950000000000003</v>
      </c>
    </row>
    <row r="48" spans="1:4" ht="14.25" x14ac:dyDescent="0.2">
      <c r="A48" s="130" t="s">
        <v>128</v>
      </c>
      <c r="B48" s="109">
        <f t="shared" si="13"/>
        <v>-203.65</v>
      </c>
      <c r="C48" s="109">
        <v>-203.65</v>
      </c>
      <c r="D48" s="129">
        <v>-9.76</v>
      </c>
    </row>
    <row r="49" spans="1:4" ht="15" x14ac:dyDescent="0.25">
      <c r="A49" s="131" t="s">
        <v>129</v>
      </c>
      <c r="B49" s="113">
        <f>SUM(B42:B48)</f>
        <v>24411.94</v>
      </c>
      <c r="C49" s="122">
        <f>SUM(C42:C48)</f>
        <v>24560.44</v>
      </c>
      <c r="D49" s="132">
        <f>SUM(D42:D48)</f>
        <v>25294.230000000003</v>
      </c>
    </row>
    <row r="50" spans="1:4" ht="14.25" x14ac:dyDescent="0.2">
      <c r="A50" s="133" t="s">
        <v>140</v>
      </c>
      <c r="B50" s="122">
        <f>+B49*0.15</f>
        <v>3661.7909999999997</v>
      </c>
      <c r="C50" s="122">
        <f t="shared" ref="C50:D50" si="14">+C49*0.15</f>
        <v>3684.0659999999998</v>
      </c>
      <c r="D50" s="132">
        <f t="shared" si="14"/>
        <v>3794.1345000000001</v>
      </c>
    </row>
    <row r="51" spans="1:4" ht="15" x14ac:dyDescent="0.25">
      <c r="A51" s="134" t="s">
        <v>132</v>
      </c>
      <c r="B51" s="123">
        <f t="shared" ref="B51:D51" si="15">SUM(B49:B50)</f>
        <v>28073.731</v>
      </c>
      <c r="C51" s="123">
        <f t="shared" si="15"/>
        <v>28244.505999999998</v>
      </c>
      <c r="D51" s="135">
        <f t="shared" si="15"/>
        <v>29088.364500000003</v>
      </c>
    </row>
    <row r="52" spans="1:4" ht="15" x14ac:dyDescent="0.25">
      <c r="A52" s="136" t="s">
        <v>133</v>
      </c>
      <c r="B52" s="123"/>
      <c r="C52" s="123"/>
      <c r="D52" s="135"/>
    </row>
    <row r="53" spans="1:4" ht="15" x14ac:dyDescent="0.25">
      <c r="A53" s="134" t="s">
        <v>134</v>
      </c>
      <c r="B53" s="116"/>
      <c r="C53" s="116">
        <f t="shared" ref="C53:D53" si="16">(C49-B49)/B49</f>
        <v>6.0830888491451322E-3</v>
      </c>
      <c r="D53" s="137">
        <f t="shared" si="16"/>
        <v>2.9876907742695347E-2</v>
      </c>
    </row>
    <row r="54" spans="1:4" ht="15.75" thickBot="1" x14ac:dyDescent="0.3">
      <c r="A54" s="138" t="s">
        <v>135</v>
      </c>
      <c r="B54" s="139"/>
      <c r="C54" s="139">
        <f t="shared" ref="C54:D54" si="17">(C51-B51)/B51</f>
        <v>6.0830888491450541E-3</v>
      </c>
      <c r="D54" s="140">
        <f t="shared" si="17"/>
        <v>2.9876907742695368E-2</v>
      </c>
    </row>
    <row r="55" spans="1:4" ht="13.5" thickTop="1" x14ac:dyDescent="0.2"/>
    <row r="56" spans="1:4" x14ac:dyDescent="0.2">
      <c r="A56" s="151" t="s">
        <v>145</v>
      </c>
    </row>
  </sheetData>
  <mergeCells count="10">
    <mergeCell ref="A1:D1"/>
    <mergeCell ref="A2:D2"/>
    <mergeCell ref="A3:D3"/>
    <mergeCell ref="A40:D40"/>
    <mergeCell ref="A19:D19"/>
    <mergeCell ref="A20:D20"/>
    <mergeCell ref="A21:D21"/>
    <mergeCell ref="A37:D37"/>
    <mergeCell ref="A38:D38"/>
    <mergeCell ref="A39:D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0"/>
  <sheetViews>
    <sheetView topLeftCell="A7" workbookViewId="0">
      <selection activeCell="C8" sqref="C8"/>
    </sheetView>
  </sheetViews>
  <sheetFormatPr defaultRowHeight="12.75" x14ac:dyDescent="0.2"/>
  <cols>
    <col min="1" max="1" width="82.7109375" bestFit="1" customWidth="1"/>
    <col min="2" max="2" width="9.28515625" bestFit="1" customWidth="1"/>
    <col min="3" max="3" width="14" bestFit="1" customWidth="1"/>
  </cols>
  <sheetData>
    <row r="1" spans="1:3" x14ac:dyDescent="0.2">
      <c r="A1" s="194" t="s">
        <v>46</v>
      </c>
      <c r="B1" s="195"/>
      <c r="C1" s="196"/>
    </row>
    <row r="2" spans="1:3" x14ac:dyDescent="0.2">
      <c r="A2" s="194" t="s">
        <v>44</v>
      </c>
      <c r="B2" s="195"/>
      <c r="C2" s="196"/>
    </row>
    <row r="3" spans="1:3" x14ac:dyDescent="0.2">
      <c r="A3" s="191" t="s">
        <v>50</v>
      </c>
      <c r="B3" s="192"/>
      <c r="C3" s="193"/>
    </row>
    <row r="4" spans="1:3" x14ac:dyDescent="0.2">
      <c r="A4" s="29" t="s">
        <v>51</v>
      </c>
      <c r="B4" s="30" t="s">
        <v>39</v>
      </c>
      <c r="C4" s="31">
        <f>'Appendix A 2022 ECAM Schedule'!N18</f>
        <v>149199760.41</v>
      </c>
    </row>
    <row r="5" spans="1:3" x14ac:dyDescent="0.2">
      <c r="A5" s="29" t="s">
        <v>36</v>
      </c>
      <c r="B5" s="30" t="s">
        <v>40</v>
      </c>
      <c r="C5" s="32">
        <f>'Appendix A 2022 ECAM Schedule'!N23</f>
        <v>1498710488</v>
      </c>
    </row>
    <row r="6" spans="1:3" x14ac:dyDescent="0.2">
      <c r="A6" s="29" t="s">
        <v>37</v>
      </c>
      <c r="B6" s="30" t="s">
        <v>41</v>
      </c>
      <c r="C6" s="33">
        <f>'Appendix A 2022 ECAM Schedule'!N24</f>
        <v>9.2439999999999994E-2</v>
      </c>
    </row>
    <row r="7" spans="1:3" x14ac:dyDescent="0.2">
      <c r="A7" s="29" t="s">
        <v>38</v>
      </c>
      <c r="B7" s="30" t="s">
        <v>42</v>
      </c>
      <c r="C7" s="31">
        <f>C5*C6</f>
        <v>138540797.51071998</v>
      </c>
    </row>
    <row r="8" spans="1:3" x14ac:dyDescent="0.2">
      <c r="A8" s="34" t="s">
        <v>88</v>
      </c>
      <c r="B8" s="35" t="s">
        <v>43</v>
      </c>
      <c r="C8" s="36">
        <f>C4-C7</f>
        <v>10658962.899280012</v>
      </c>
    </row>
    <row r="9" spans="1:3" x14ac:dyDescent="0.2">
      <c r="A9" s="34" t="s">
        <v>60</v>
      </c>
      <c r="B9" s="39" t="s">
        <v>59</v>
      </c>
      <c r="C9" s="40">
        <v>5845867</v>
      </c>
    </row>
    <row r="10" spans="1:3" x14ac:dyDescent="0.2">
      <c r="A10" s="41" t="s">
        <v>61</v>
      </c>
      <c r="B10" s="42" t="s">
        <v>62</v>
      </c>
      <c r="C10" s="43">
        <f>+C8-C9</f>
        <v>4813095.8992800117</v>
      </c>
    </row>
  </sheetData>
  <mergeCells count="3">
    <mergeCell ref="A3:C3"/>
    <mergeCell ref="A1:C1"/>
    <mergeCell ref="A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BFF6B-CDAF-40B2-9084-70FC772A3581}">
  <dimension ref="A1:C8"/>
  <sheetViews>
    <sheetView workbookViewId="0">
      <selection sqref="A1:C6"/>
    </sheetView>
  </sheetViews>
  <sheetFormatPr defaultRowHeight="12.75" x14ac:dyDescent="0.2"/>
  <cols>
    <col min="1" max="1" width="68.7109375" bestFit="1" customWidth="1"/>
    <col min="3" max="3" width="10.85546875" bestFit="1" customWidth="1"/>
  </cols>
  <sheetData>
    <row r="1" spans="1:3" x14ac:dyDescent="0.2">
      <c r="A1" s="194" t="s">
        <v>65</v>
      </c>
      <c r="B1" s="195"/>
      <c r="C1" s="196"/>
    </row>
    <row r="2" spans="1:3" x14ac:dyDescent="0.2">
      <c r="A2" s="194" t="s">
        <v>66</v>
      </c>
      <c r="B2" s="195"/>
      <c r="C2" s="196"/>
    </row>
    <row r="3" spans="1:3" x14ac:dyDescent="0.2">
      <c r="A3" s="191" t="s">
        <v>50</v>
      </c>
      <c r="B3" s="192"/>
      <c r="C3" s="193"/>
    </row>
    <row r="4" spans="1:3" x14ac:dyDescent="0.2">
      <c r="A4" s="29" t="s">
        <v>70</v>
      </c>
      <c r="B4" s="30" t="s">
        <v>39</v>
      </c>
      <c r="C4" s="40">
        <v>-4485371</v>
      </c>
    </row>
    <row r="5" spans="1:3" x14ac:dyDescent="0.2">
      <c r="A5" s="29" t="s">
        <v>63</v>
      </c>
      <c r="B5" s="30" t="s">
        <v>40</v>
      </c>
      <c r="C5" s="40">
        <f>+'Appendix A 2022 ECAM Schedule'!N35</f>
        <v>-4434236.2930800002</v>
      </c>
    </row>
    <row r="6" spans="1:3" x14ac:dyDescent="0.2">
      <c r="A6" s="34" t="s">
        <v>64</v>
      </c>
      <c r="B6" s="35" t="s">
        <v>67</v>
      </c>
      <c r="C6" s="43">
        <f>+C5-C4</f>
        <v>51134.706919999793</v>
      </c>
    </row>
    <row r="8" spans="1:3" x14ac:dyDescent="0.2">
      <c r="C8" s="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36525-187B-42AE-934B-318EA711D827}">
  <dimension ref="A1:E8"/>
  <sheetViews>
    <sheetView workbookViewId="0">
      <selection activeCell="E6" sqref="E6"/>
    </sheetView>
  </sheetViews>
  <sheetFormatPr defaultRowHeight="12.75" x14ac:dyDescent="0.2"/>
  <cols>
    <col min="1" max="1" width="31.140625" bestFit="1" customWidth="1"/>
    <col min="2" max="2" width="10.42578125" bestFit="1" customWidth="1"/>
    <col min="3" max="3" width="14" bestFit="1" customWidth="1"/>
    <col min="4" max="4" width="14.140625" bestFit="1" customWidth="1"/>
    <col min="5" max="5" width="12.85546875" bestFit="1" customWidth="1"/>
  </cols>
  <sheetData>
    <row r="1" spans="1:5" x14ac:dyDescent="0.2">
      <c r="A1" s="197" t="s">
        <v>98</v>
      </c>
      <c r="B1" s="197"/>
      <c r="C1" s="197"/>
      <c r="D1" s="197"/>
      <c r="E1" s="197"/>
    </row>
    <row r="2" spans="1:5" x14ac:dyDescent="0.2">
      <c r="A2" s="197" t="s">
        <v>97</v>
      </c>
      <c r="B2" s="197"/>
      <c r="C2" s="197"/>
      <c r="D2" s="197"/>
      <c r="E2" s="197"/>
    </row>
    <row r="3" spans="1:5" x14ac:dyDescent="0.2">
      <c r="A3" s="76" t="s">
        <v>89</v>
      </c>
      <c r="B3" s="77" t="s">
        <v>90</v>
      </c>
      <c r="C3" s="77" t="s">
        <v>96</v>
      </c>
      <c r="D3" s="78" t="s">
        <v>93</v>
      </c>
      <c r="E3" s="78" t="s">
        <v>95</v>
      </c>
    </row>
    <row r="4" spans="1:5" ht="15" x14ac:dyDescent="0.25">
      <c r="A4" s="79" t="s">
        <v>91</v>
      </c>
      <c r="B4" s="80">
        <v>10</v>
      </c>
      <c r="C4" s="83">
        <v>0</v>
      </c>
      <c r="D4" s="86">
        <f>ROUND(+'[3]Lepreau Replacement Energy'!$L$4,-3)</f>
        <v>129000</v>
      </c>
      <c r="E4" s="86">
        <f>+D4-C4</f>
        <v>129000</v>
      </c>
    </row>
    <row r="5" spans="1:5" ht="15" x14ac:dyDescent="0.25">
      <c r="A5" s="81" t="s">
        <v>94</v>
      </c>
      <c r="B5" s="80">
        <v>140</v>
      </c>
      <c r="C5" s="84">
        <f>ROUND('[3]Lepreau Replacement Energy'!$L$7-'[3]Lepreau Replacement Energy'!$S$7+'[3]Lepreau Replacement Energy'!$L$9-'[3]Lepreau Replacement Energy'!$S$9+'[3]Lepreau Replacement Energy'!$L$8+'[3]Lepreau Replacement Energy'!$L$11-'[3]Lepreau Replacement Energy'!$S$11,-3)</f>
        <v>2861000</v>
      </c>
      <c r="D5" s="87">
        <f>ROUND(+'[3]Lepreau Replacement Energy'!$L$7+'[3]Lepreau Replacement Energy'!$L$8+'[3]Lepreau Replacement Energy'!$L$9+'[3]Lepreau Replacement Energy'!$L$10+'[3]Lepreau Replacement Energy'!$L$11,-3)+1000</f>
        <v>8331000</v>
      </c>
      <c r="E5" s="87">
        <f t="shared" ref="E5:E7" si="0">+D5-C5</f>
        <v>5470000</v>
      </c>
    </row>
    <row r="6" spans="1:5" ht="15" x14ac:dyDescent="0.25">
      <c r="A6" s="81" t="s">
        <v>99</v>
      </c>
      <c r="B6" s="80">
        <v>4</v>
      </c>
      <c r="C6" s="84"/>
      <c r="D6" s="87">
        <f>ROUND(+'[3]Lepreau Replacement Energy'!$S$12,-3)</f>
        <v>80000</v>
      </c>
      <c r="E6" s="87">
        <f t="shared" si="0"/>
        <v>80000</v>
      </c>
    </row>
    <row r="7" spans="1:5" ht="15" x14ac:dyDescent="0.25">
      <c r="A7" s="79" t="s">
        <v>92</v>
      </c>
      <c r="B7" s="80">
        <v>18</v>
      </c>
      <c r="C7" s="85">
        <v>0</v>
      </c>
      <c r="D7" s="87">
        <f>ROUND(+'[3]Lepreau Replacement Energy'!$L$15,-3)</f>
        <v>3026000</v>
      </c>
      <c r="E7" s="87">
        <f t="shared" si="0"/>
        <v>3026000</v>
      </c>
    </row>
    <row r="8" spans="1:5" ht="15" x14ac:dyDescent="0.25">
      <c r="A8" s="82" t="s">
        <v>71</v>
      </c>
      <c r="B8" s="89">
        <f>SUM(B4:B7)</f>
        <v>172</v>
      </c>
      <c r="C8" s="88">
        <f>SUM(C4:C7)</f>
        <v>2861000</v>
      </c>
      <c r="D8" s="88">
        <f>SUM(D4:D7)</f>
        <v>11566000</v>
      </c>
      <c r="E8" s="88">
        <f>SUM(E4:E7)</f>
        <v>8705000</v>
      </c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5"/>
  <sheetViews>
    <sheetView workbookViewId="0">
      <selection activeCell="A27" sqref="A27"/>
    </sheetView>
  </sheetViews>
  <sheetFormatPr defaultRowHeight="15" x14ac:dyDescent="0.2"/>
  <cols>
    <col min="1" max="1" width="88.28515625" style="44" bestFit="1" customWidth="1"/>
    <col min="2" max="2" width="18.5703125" style="44" bestFit="1" customWidth="1"/>
    <col min="3" max="3" width="17.5703125" style="44" bestFit="1" customWidth="1"/>
    <col min="4" max="4" width="15.5703125" style="44" bestFit="1" customWidth="1"/>
    <col min="5" max="6" width="9.140625" style="44"/>
    <col min="7" max="7" width="15.5703125" style="44" bestFit="1" customWidth="1"/>
    <col min="8" max="16384" width="9.140625" style="44"/>
  </cols>
  <sheetData>
    <row r="1" spans="1:7" ht="15.75" x14ac:dyDescent="0.25">
      <c r="A1" s="201" t="s">
        <v>76</v>
      </c>
      <c r="B1" s="202"/>
      <c r="C1" s="203"/>
    </row>
    <row r="2" spans="1:7" ht="15.75" x14ac:dyDescent="0.25">
      <c r="A2" s="198" t="s">
        <v>74</v>
      </c>
      <c r="B2" s="199"/>
      <c r="C2" s="200"/>
    </row>
    <row r="3" spans="1:7" x14ac:dyDescent="0.2">
      <c r="A3" s="45" t="str">
        <f>+'Table 1 Energy Costs Deferred'!A10</f>
        <v>Difference Between 2022 Actual and GRA Forecast Energy Costs Deferred to ECAM</v>
      </c>
      <c r="B3" s="46" t="s">
        <v>72</v>
      </c>
      <c r="C3" s="47">
        <f>+'Table 1 Energy Costs Deferred'!C10</f>
        <v>4813095.8992800117</v>
      </c>
    </row>
    <row r="4" spans="1:7" x14ac:dyDescent="0.2">
      <c r="A4" s="45" t="str">
        <f>+'Table 2 ECAM Collections'!A6</f>
        <v>Shortfall in Actual ECAM Collections from Customers from GRA Forecast</v>
      </c>
      <c r="B4" s="46" t="s">
        <v>75</v>
      </c>
      <c r="C4" s="47">
        <f>+'Table 2 ECAM Collections'!C6</f>
        <v>51134.706919999793</v>
      </c>
    </row>
    <row r="5" spans="1:7" ht="15.75" x14ac:dyDescent="0.25">
      <c r="A5" s="48" t="s">
        <v>73</v>
      </c>
      <c r="B5" s="46" t="s">
        <v>0</v>
      </c>
      <c r="C5" s="49">
        <f>SUM(C3:C4)</f>
        <v>4864230.6062000114</v>
      </c>
    </row>
    <row r="6" spans="1:7" x14ac:dyDescent="0.2">
      <c r="A6" s="50" t="s">
        <v>52</v>
      </c>
      <c r="B6" s="51" t="s">
        <v>76</v>
      </c>
      <c r="C6" s="52">
        <f>+'Table 6 kWh Sales'!C11</f>
        <v>1474617600</v>
      </c>
    </row>
    <row r="7" spans="1:7" ht="15.75" x14ac:dyDescent="0.25">
      <c r="A7" s="53" t="s">
        <v>29</v>
      </c>
      <c r="B7" s="53"/>
      <c r="C7" s="54">
        <f>+C5/C6</f>
        <v>3.298638647877261E-3</v>
      </c>
    </row>
    <row r="9" spans="1:7" x14ac:dyDescent="0.2">
      <c r="A9" s="50" t="s">
        <v>57</v>
      </c>
      <c r="B9" s="51" t="s">
        <v>9</v>
      </c>
      <c r="C9" s="55">
        <f>'Appendix A 2022 ECAM Schedule'!N37</f>
        <v>11655300.606200002</v>
      </c>
    </row>
    <row r="10" spans="1:7" x14ac:dyDescent="0.2">
      <c r="A10" s="50" t="s">
        <v>78</v>
      </c>
      <c r="B10" s="51" t="s">
        <v>77</v>
      </c>
      <c r="C10" s="55">
        <v>-6791068</v>
      </c>
    </row>
    <row r="11" spans="1:7" ht="15.75" x14ac:dyDescent="0.25">
      <c r="A11" s="53" t="s">
        <v>58</v>
      </c>
      <c r="B11" s="46" t="s">
        <v>0</v>
      </c>
      <c r="C11" s="56">
        <f>SUM(C9:C10)</f>
        <v>4864232.6062000021</v>
      </c>
    </row>
    <row r="13" spans="1:7" x14ac:dyDescent="0.2">
      <c r="C13" s="57"/>
      <c r="D13" s="58"/>
      <c r="E13" s="61"/>
      <c r="G13" s="94"/>
    </row>
    <row r="15" spans="1:7" x14ac:dyDescent="0.2">
      <c r="C15" s="59"/>
      <c r="D15" s="59"/>
    </row>
  </sheetData>
  <mergeCells count="2">
    <mergeCell ref="A2:C2"/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2"/>
  <sheetViews>
    <sheetView workbookViewId="0">
      <selection activeCell="B5" sqref="B5"/>
    </sheetView>
  </sheetViews>
  <sheetFormatPr defaultRowHeight="14.25" x14ac:dyDescent="0.2"/>
  <cols>
    <col min="1" max="1" width="17" style="7" bestFit="1" customWidth="1"/>
    <col min="2" max="2" width="26.28515625" style="7" customWidth="1"/>
    <col min="3" max="3" width="23.5703125" style="7" customWidth="1"/>
    <col min="4" max="4" width="14.5703125" style="7" customWidth="1"/>
    <col min="5" max="16384" width="9.140625" style="7"/>
  </cols>
  <sheetData>
    <row r="1" spans="1:4" ht="15" x14ac:dyDescent="0.25">
      <c r="A1" s="204" t="s">
        <v>56</v>
      </c>
      <c r="B1" s="205"/>
      <c r="C1" s="205"/>
      <c r="D1" s="206"/>
    </row>
    <row r="2" spans="1:4" ht="15" x14ac:dyDescent="0.25">
      <c r="A2" s="207" t="s">
        <v>32</v>
      </c>
      <c r="B2" s="208"/>
      <c r="C2" s="208"/>
      <c r="D2" s="209"/>
    </row>
    <row r="3" spans="1:4" ht="15" x14ac:dyDescent="0.25">
      <c r="A3" s="213" t="s">
        <v>34</v>
      </c>
      <c r="B3" s="210" t="s">
        <v>100</v>
      </c>
      <c r="C3" s="210"/>
      <c r="D3" s="211" t="s">
        <v>101</v>
      </c>
    </row>
    <row r="4" spans="1:4" ht="30" x14ac:dyDescent="0.25">
      <c r="A4" s="214"/>
      <c r="B4" s="38" t="s">
        <v>102</v>
      </c>
      <c r="C4" s="38" t="s">
        <v>53</v>
      </c>
      <c r="D4" s="212"/>
    </row>
    <row r="5" spans="1:4" x14ac:dyDescent="0.2">
      <c r="A5" s="26" t="s">
        <v>2</v>
      </c>
      <c r="B5" s="93">
        <f>ROUND(740515626.501939,-2)</f>
        <v>740515600</v>
      </c>
      <c r="C5" s="17">
        <v>767531700</v>
      </c>
      <c r="D5" s="90">
        <f>(C5-B5)/B5</f>
        <v>3.6482823589401761E-2</v>
      </c>
    </row>
    <row r="6" spans="1:4" x14ac:dyDescent="0.2">
      <c r="A6" s="18" t="s">
        <v>103</v>
      </c>
      <c r="B6" s="17">
        <f>ROUND(411764961.436502,-2)</f>
        <v>411765000</v>
      </c>
      <c r="C6" s="17">
        <v>428530600</v>
      </c>
      <c r="D6" s="91">
        <f t="shared" ref="D6:D11" si="0">(C6-B6)/B6</f>
        <v>4.0716428059694242E-2</v>
      </c>
    </row>
    <row r="7" spans="1:4" x14ac:dyDescent="0.2">
      <c r="A7" s="18" t="s">
        <v>3</v>
      </c>
      <c r="B7" s="17">
        <f>ROUND(166988361.405,-2)</f>
        <v>166988400</v>
      </c>
      <c r="C7" s="17">
        <v>167552200</v>
      </c>
      <c r="D7" s="91">
        <f t="shared" si="0"/>
        <v>3.3762824244079228E-3</v>
      </c>
    </row>
    <row r="8" spans="1:4" x14ac:dyDescent="0.2">
      <c r="A8" s="18" t="s">
        <v>47</v>
      </c>
      <c r="B8" s="17">
        <f>ROUND(98963814.1946059,-2)</f>
        <v>98963800</v>
      </c>
      <c r="C8" s="17">
        <v>104440200</v>
      </c>
      <c r="D8" s="91">
        <f t="shared" si="0"/>
        <v>5.5337406203076277E-2</v>
      </c>
    </row>
    <row r="9" spans="1:4" x14ac:dyDescent="0.2">
      <c r="A9" s="18" t="s">
        <v>48</v>
      </c>
      <c r="B9" s="17">
        <f>ROUND(3941068.17715319,-2)</f>
        <v>3941100</v>
      </c>
      <c r="C9" s="17">
        <v>3982400</v>
      </c>
      <c r="D9" s="91">
        <f t="shared" si="0"/>
        <v>1.0479307807464922E-2</v>
      </c>
    </row>
    <row r="10" spans="1:4" x14ac:dyDescent="0.2">
      <c r="A10" s="18" t="s">
        <v>1</v>
      </c>
      <c r="B10" s="17">
        <f>ROUND(2555878.85438562,-2)</f>
        <v>2555900</v>
      </c>
      <c r="C10" s="17">
        <v>2580500</v>
      </c>
      <c r="D10" s="91">
        <f t="shared" si="0"/>
        <v>9.6247897022575211E-3</v>
      </c>
    </row>
    <row r="11" spans="1:4" ht="15" x14ac:dyDescent="0.25">
      <c r="A11" s="15" t="s">
        <v>33</v>
      </c>
      <c r="B11" s="19">
        <f>SUM(B5:B10)</f>
        <v>1424729800</v>
      </c>
      <c r="C11" s="19">
        <f>SUM(C5:C10)</f>
        <v>1474617600</v>
      </c>
      <c r="D11" s="92">
        <f t="shared" si="0"/>
        <v>3.5015621909501721E-2</v>
      </c>
    </row>
    <row r="12" spans="1:4" x14ac:dyDescent="0.2">
      <c r="C12" s="25"/>
    </row>
  </sheetData>
  <mergeCells count="5">
    <mergeCell ref="A1:D1"/>
    <mergeCell ref="A2:D2"/>
    <mergeCell ref="B3:C3"/>
    <mergeCell ref="D3:D4"/>
    <mergeCell ref="A3:A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5"/>
  <sheetViews>
    <sheetView workbookViewId="0">
      <selection activeCell="L22" sqref="L22"/>
    </sheetView>
  </sheetViews>
  <sheetFormatPr defaultRowHeight="14.25" x14ac:dyDescent="0.2"/>
  <cols>
    <col min="1" max="1" width="18.5703125" style="7" bestFit="1" customWidth="1"/>
    <col min="2" max="2" width="21.140625" style="7" bestFit="1" customWidth="1"/>
    <col min="3" max="3" width="22.7109375" style="7" customWidth="1"/>
    <col min="4" max="4" width="17.7109375" style="7" bestFit="1" customWidth="1"/>
    <col min="5" max="5" width="9.140625" style="7"/>
    <col min="6" max="6" width="12.7109375" style="7" bestFit="1" customWidth="1"/>
    <col min="7" max="7" width="9.140625" style="7"/>
    <col min="8" max="8" width="12.7109375" style="7" bestFit="1" customWidth="1"/>
    <col min="9" max="16384" width="9.140625" style="7"/>
  </cols>
  <sheetData>
    <row r="1" spans="1:4" ht="15" x14ac:dyDescent="0.25">
      <c r="A1" s="204" t="s">
        <v>104</v>
      </c>
      <c r="B1" s="205"/>
      <c r="C1" s="205"/>
      <c r="D1" s="206"/>
    </row>
    <row r="2" spans="1:4" ht="15" x14ac:dyDescent="0.25">
      <c r="A2" s="207" t="s">
        <v>79</v>
      </c>
      <c r="B2" s="208"/>
      <c r="C2" s="208"/>
      <c r="D2" s="209"/>
    </row>
    <row r="3" spans="1:4" ht="30" x14ac:dyDescent="0.25">
      <c r="A3" s="28" t="s">
        <v>30</v>
      </c>
      <c r="B3" s="28" t="s">
        <v>32</v>
      </c>
      <c r="C3" s="27" t="s">
        <v>35</v>
      </c>
      <c r="D3" s="28" t="s">
        <v>28</v>
      </c>
    </row>
    <row r="4" spans="1:4" x14ac:dyDescent="0.2">
      <c r="A4" s="16" t="s">
        <v>54</v>
      </c>
      <c r="B4" s="17">
        <f>ROUND(52690291.8964686,-2)</f>
        <v>52690300</v>
      </c>
      <c r="C4" s="20">
        <f>'Table 5 Add Amt to Coll &amp; Rate'!C7</f>
        <v>3.298638647877261E-3</v>
      </c>
      <c r="D4" s="23">
        <f>+B4*C4</f>
        <v>173806.25994824723</v>
      </c>
    </row>
    <row r="5" spans="1:4" x14ac:dyDescent="0.2">
      <c r="A5" s="16">
        <v>45231</v>
      </c>
      <c r="B5" s="17">
        <f>+ROUND(113148835.582324,-2)</f>
        <v>113148800</v>
      </c>
      <c r="C5" s="21">
        <f>C4</f>
        <v>3.298638647877261E-3</v>
      </c>
      <c r="D5" s="17">
        <f t="shared" ref="D5:D15" si="0">+B5*C5</f>
        <v>373237.00464093464</v>
      </c>
    </row>
    <row r="6" spans="1:4" x14ac:dyDescent="0.2">
      <c r="A6" s="16">
        <v>45261</v>
      </c>
      <c r="B6" s="17">
        <f>ROUND(122072100,-2)</f>
        <v>122072100</v>
      </c>
      <c r="C6" s="21">
        <f t="shared" ref="C6:C16" si="1">C5</f>
        <v>3.298638647877261E-3</v>
      </c>
      <c r="D6" s="17">
        <f t="shared" si="0"/>
        <v>402671.74688753777</v>
      </c>
    </row>
    <row r="7" spans="1:4" x14ac:dyDescent="0.2">
      <c r="A7" s="16">
        <v>45292</v>
      </c>
      <c r="B7" s="17">
        <f>ROUND(148247979.874558,-2)</f>
        <v>148248000</v>
      </c>
      <c r="C7" s="21">
        <f t="shared" si="1"/>
        <v>3.298638647877261E-3</v>
      </c>
      <c r="D7" s="17">
        <f t="shared" si="0"/>
        <v>489016.58227050817</v>
      </c>
    </row>
    <row r="8" spans="1:4" x14ac:dyDescent="0.2">
      <c r="A8" s="16">
        <v>45323</v>
      </c>
      <c r="B8" s="17">
        <f>ROUND(149288871.025726,-2)</f>
        <v>149288900</v>
      </c>
      <c r="C8" s="21">
        <f t="shared" si="1"/>
        <v>3.298638647877261E-3</v>
      </c>
      <c r="D8" s="17">
        <f t="shared" si="0"/>
        <v>492450.13523908361</v>
      </c>
    </row>
    <row r="9" spans="1:4" x14ac:dyDescent="0.2">
      <c r="A9" s="16">
        <v>45352</v>
      </c>
      <c r="B9" s="17">
        <f>ROUND(136977838.559426,-2)</f>
        <v>136977800</v>
      </c>
      <c r="C9" s="21">
        <f t="shared" si="1"/>
        <v>3.298638647877261E-3</v>
      </c>
      <c r="D9" s="17">
        <f t="shared" si="0"/>
        <v>451840.26498120185</v>
      </c>
    </row>
    <row r="10" spans="1:4" x14ac:dyDescent="0.2">
      <c r="A10" s="16">
        <v>45383</v>
      </c>
      <c r="B10" s="17">
        <f>ROUND(127481991.396064,-2)</f>
        <v>127482000</v>
      </c>
      <c r="C10" s="21">
        <f t="shared" si="1"/>
        <v>3.298638647877261E-3</v>
      </c>
      <c r="D10" s="17">
        <f t="shared" si="0"/>
        <v>420517.05210868898</v>
      </c>
    </row>
    <row r="11" spans="1:4" x14ac:dyDescent="0.2">
      <c r="A11" s="16">
        <v>45413</v>
      </c>
      <c r="B11" s="17">
        <f>ROUND(119381634.848408,-2)</f>
        <v>119381600</v>
      </c>
      <c r="C11" s="21">
        <f t="shared" si="1"/>
        <v>3.298638647877261E-3</v>
      </c>
      <c r="D11" s="17">
        <f t="shared" si="0"/>
        <v>393796.75960542401</v>
      </c>
    </row>
    <row r="12" spans="1:4" x14ac:dyDescent="0.2">
      <c r="A12" s="16">
        <v>45444</v>
      </c>
      <c r="B12" s="17">
        <f>ROUND(105961890.829177,-2)</f>
        <v>105961900</v>
      </c>
      <c r="C12" s="21">
        <f t="shared" si="1"/>
        <v>3.298638647877261E-3</v>
      </c>
      <c r="D12" s="17">
        <f t="shared" si="0"/>
        <v>349530.01854250551</v>
      </c>
    </row>
    <row r="13" spans="1:4" x14ac:dyDescent="0.2">
      <c r="A13" s="16">
        <v>45474</v>
      </c>
      <c r="B13" s="17">
        <f>ROUND(111175222.429035,-2)</f>
        <v>111175200</v>
      </c>
      <c r="C13" s="21">
        <f t="shared" si="1"/>
        <v>3.298638647877261E-3</v>
      </c>
      <c r="D13" s="17">
        <f t="shared" si="0"/>
        <v>366726.81140548404</v>
      </c>
    </row>
    <row r="14" spans="1:4" x14ac:dyDescent="0.2">
      <c r="A14" s="16">
        <v>45505</v>
      </c>
      <c r="B14" s="17">
        <f>ROUND(119837720.236425,-2)</f>
        <v>119837700</v>
      </c>
      <c r="C14" s="21">
        <f t="shared" si="1"/>
        <v>3.298638647877261E-3</v>
      </c>
      <c r="D14" s="17">
        <f t="shared" si="0"/>
        <v>395301.26869272086</v>
      </c>
    </row>
    <row r="15" spans="1:4" x14ac:dyDescent="0.2">
      <c r="A15" s="16">
        <v>45536</v>
      </c>
      <c r="B15" s="17">
        <f>ROUND(113620471.451084,-2)</f>
        <v>113620500</v>
      </c>
      <c r="C15" s="21">
        <f t="shared" si="1"/>
        <v>3.298638647877261E-3</v>
      </c>
      <c r="D15" s="17">
        <f t="shared" si="0"/>
        <v>374792.97249113832</v>
      </c>
    </row>
    <row r="16" spans="1:4" x14ac:dyDescent="0.2">
      <c r="A16" s="16" t="s">
        <v>55</v>
      </c>
      <c r="B16" s="17">
        <f>ROUND(54732839.7533079,-2)</f>
        <v>54732800</v>
      </c>
      <c r="C16" s="21">
        <f t="shared" si="1"/>
        <v>3.298638647877261E-3</v>
      </c>
      <c r="D16" s="17">
        <f>+B16*C16</f>
        <v>180543.72938653655</v>
      </c>
    </row>
    <row r="17" spans="1:8" ht="15" x14ac:dyDescent="0.25">
      <c r="A17" s="15" t="s">
        <v>0</v>
      </c>
      <c r="B17" s="19">
        <f>SUM(B4:B16)</f>
        <v>1474617600</v>
      </c>
      <c r="C17" s="22">
        <f>'Table 5 Add Amt to Coll &amp; Rate'!C7</f>
        <v>3.298638647877261E-3</v>
      </c>
      <c r="D17" s="24">
        <f>SUM(D4:D16)</f>
        <v>4864230.6062000124</v>
      </c>
      <c r="F17" s="25"/>
    </row>
    <row r="18" spans="1:8" x14ac:dyDescent="0.2">
      <c r="F18" s="25"/>
    </row>
    <row r="19" spans="1:8" ht="39" customHeight="1" x14ac:dyDescent="0.2">
      <c r="A19" s="215" t="s">
        <v>31</v>
      </c>
      <c r="B19" s="215"/>
      <c r="C19" s="215"/>
      <c r="D19" s="215"/>
      <c r="F19" s="25"/>
    </row>
    <row r="20" spans="1:8" x14ac:dyDescent="0.2">
      <c r="D20" s="25"/>
      <c r="F20" s="25"/>
    </row>
    <row r="21" spans="1:8" x14ac:dyDescent="0.2">
      <c r="D21" s="37"/>
      <c r="F21" s="25"/>
    </row>
    <row r="22" spans="1:8" x14ac:dyDescent="0.2">
      <c r="D22" s="60"/>
      <c r="F22" s="25"/>
    </row>
    <row r="23" spans="1:8" x14ac:dyDescent="0.2">
      <c r="D23" s="37"/>
      <c r="F23" s="25"/>
      <c r="H23" s="37"/>
    </row>
    <row r="24" spans="1:8" x14ac:dyDescent="0.2">
      <c r="F24" s="25"/>
    </row>
    <row r="25" spans="1:8" x14ac:dyDescent="0.2">
      <c r="F25" s="25"/>
    </row>
  </sheetData>
  <mergeCells count="3">
    <mergeCell ref="A2:D2"/>
    <mergeCell ref="A19:D19"/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AC31F-6DC4-47D7-9195-8F31F683C289}">
  <dimension ref="A1:D30"/>
  <sheetViews>
    <sheetView workbookViewId="0">
      <selection activeCell="A2" sqref="A2:D2"/>
    </sheetView>
  </sheetViews>
  <sheetFormatPr defaultRowHeight="12.75" x14ac:dyDescent="0.2"/>
  <cols>
    <col min="1" max="1" width="45" bestFit="1" customWidth="1"/>
    <col min="2" max="2" width="10.28515625" bestFit="1" customWidth="1"/>
    <col min="3" max="3" width="9.28515625" customWidth="1"/>
    <col min="4" max="4" width="10" bestFit="1" customWidth="1"/>
  </cols>
  <sheetData>
    <row r="1" spans="1:4" ht="15" x14ac:dyDescent="0.25">
      <c r="A1" s="216" t="s">
        <v>149</v>
      </c>
      <c r="B1" s="217"/>
      <c r="C1" s="217"/>
      <c r="D1" s="218"/>
    </row>
    <row r="2" spans="1:4" ht="15" x14ac:dyDescent="0.25">
      <c r="A2" s="219" t="s">
        <v>105</v>
      </c>
      <c r="B2" s="220"/>
      <c r="C2" s="220"/>
      <c r="D2" s="221"/>
    </row>
    <row r="3" spans="1:4" x14ac:dyDescent="0.2">
      <c r="A3" s="35" t="s">
        <v>34</v>
      </c>
      <c r="B3" s="104">
        <v>45047</v>
      </c>
      <c r="C3" s="104">
        <v>45200</v>
      </c>
      <c r="D3" s="104">
        <v>45352</v>
      </c>
    </row>
    <row r="4" spans="1:4" x14ac:dyDescent="0.2">
      <c r="A4" s="95" t="s">
        <v>106</v>
      </c>
      <c r="B4" s="96">
        <v>0.15540000000000001</v>
      </c>
      <c r="C4" s="96">
        <f>+B4</f>
        <v>0.15540000000000001</v>
      </c>
      <c r="D4" s="96">
        <v>0.16020000000000001</v>
      </c>
    </row>
    <row r="5" spans="1:4" x14ac:dyDescent="0.2">
      <c r="A5" s="97" t="s">
        <v>107</v>
      </c>
      <c r="B5" s="96">
        <v>0.1229</v>
      </c>
      <c r="C5" s="96">
        <f t="shared" ref="C5:C10" si="0">+B5</f>
        <v>0.1229</v>
      </c>
      <c r="D5" s="96">
        <v>0.12670000000000001</v>
      </c>
    </row>
    <row r="6" spans="1:4" x14ac:dyDescent="0.2">
      <c r="A6" s="95" t="s">
        <v>108</v>
      </c>
      <c r="B6" s="96">
        <v>0.19189999999999999</v>
      </c>
      <c r="C6" s="96">
        <f t="shared" si="0"/>
        <v>0.19189999999999999</v>
      </c>
      <c r="D6" s="96">
        <v>0.1978</v>
      </c>
    </row>
    <row r="7" spans="1:4" x14ac:dyDescent="0.2">
      <c r="A7" s="97" t="s">
        <v>109</v>
      </c>
      <c r="B7" s="96">
        <v>0.12429999999999999</v>
      </c>
      <c r="C7" s="96">
        <f t="shared" si="0"/>
        <v>0.12429999999999999</v>
      </c>
      <c r="D7" s="96">
        <v>0.12809999999999999</v>
      </c>
    </row>
    <row r="8" spans="1:4" x14ac:dyDescent="0.2">
      <c r="A8" s="95" t="s">
        <v>110</v>
      </c>
      <c r="B8" s="96">
        <v>0.18779999999999999</v>
      </c>
      <c r="C8" s="96">
        <f t="shared" si="0"/>
        <v>0.18779999999999999</v>
      </c>
      <c r="D8" s="96">
        <v>0.19359999999999999</v>
      </c>
    </row>
    <row r="9" spans="1:4" x14ac:dyDescent="0.2">
      <c r="A9" s="97" t="s">
        <v>111</v>
      </c>
      <c r="B9" s="96">
        <v>9.3100000000000002E-2</v>
      </c>
      <c r="C9" s="96">
        <f t="shared" si="0"/>
        <v>9.3100000000000002E-2</v>
      </c>
      <c r="D9" s="96">
        <v>9.5899999999999999E-2</v>
      </c>
    </row>
    <row r="10" spans="1:4" x14ac:dyDescent="0.2">
      <c r="A10" s="98" t="s">
        <v>3</v>
      </c>
      <c r="B10" s="99">
        <v>7.6999999999999999E-2</v>
      </c>
      <c r="C10" s="96">
        <f t="shared" si="0"/>
        <v>7.6999999999999999E-2</v>
      </c>
      <c r="D10" s="99">
        <v>7.9699999999999993E-2</v>
      </c>
    </row>
    <row r="11" spans="1:4" x14ac:dyDescent="0.2">
      <c r="A11" s="72"/>
      <c r="B11" s="65"/>
      <c r="C11" s="65"/>
      <c r="D11" s="66"/>
    </row>
    <row r="12" spans="1:4" ht="15" x14ac:dyDescent="0.25">
      <c r="A12" s="222" t="s">
        <v>112</v>
      </c>
      <c r="B12" s="223"/>
      <c r="C12" s="223"/>
      <c r="D12" s="224"/>
    </row>
    <row r="13" spans="1:4" x14ac:dyDescent="0.2">
      <c r="A13" s="35" t="s">
        <v>113</v>
      </c>
      <c r="B13" s="104">
        <f>+B3</f>
        <v>45047</v>
      </c>
      <c r="C13" s="104">
        <f t="shared" ref="C13:D13" si="1">+C3</f>
        <v>45200</v>
      </c>
      <c r="D13" s="104">
        <f t="shared" si="1"/>
        <v>45352</v>
      </c>
    </row>
    <row r="14" spans="1:4" x14ac:dyDescent="0.2">
      <c r="A14" s="100" t="s">
        <v>114</v>
      </c>
      <c r="B14" s="72"/>
      <c r="C14" s="65"/>
      <c r="D14" s="66"/>
    </row>
    <row r="15" spans="1:4" x14ac:dyDescent="0.2">
      <c r="A15" s="106" t="s">
        <v>119</v>
      </c>
      <c r="B15" s="96">
        <v>5.8999999999999999E-3</v>
      </c>
      <c r="C15" s="96">
        <f>+B15</f>
        <v>5.8999999999999999E-3</v>
      </c>
      <c r="D15" s="96">
        <v>2.8700000000000002E-3</v>
      </c>
    </row>
    <row r="16" spans="1:4" x14ac:dyDescent="0.2">
      <c r="A16" s="106" t="s">
        <v>120</v>
      </c>
      <c r="B16" s="96"/>
      <c r="C16" s="96">
        <f>+'Table 5 Add Amt to Coll &amp; Rate'!C7</f>
        <v>3.298638647877261E-3</v>
      </c>
      <c r="D16" s="96">
        <f>+C16</f>
        <v>3.298638647877261E-3</v>
      </c>
    </row>
    <row r="17" spans="1:4" x14ac:dyDescent="0.2">
      <c r="A17" s="107" t="s">
        <v>121</v>
      </c>
      <c r="B17" s="108">
        <f>SUM(B15:B16)</f>
        <v>5.8999999999999999E-3</v>
      </c>
      <c r="C17" s="108">
        <f t="shared" ref="C17:D17" si="2">SUM(C15:C16)</f>
        <v>9.1986386478772608E-3</v>
      </c>
      <c r="D17" s="108">
        <f t="shared" si="2"/>
        <v>6.1686386478772611E-3</v>
      </c>
    </row>
    <row r="18" spans="1:4" x14ac:dyDescent="0.2">
      <c r="A18" s="100" t="s">
        <v>116</v>
      </c>
      <c r="B18" s="101">
        <v>-2E-3</v>
      </c>
      <c r="C18" s="101">
        <f>+B18</f>
        <v>-2E-3</v>
      </c>
      <c r="D18" s="101">
        <v>0</v>
      </c>
    </row>
    <row r="19" spans="1:4" x14ac:dyDescent="0.2">
      <c r="A19" s="100" t="s">
        <v>115</v>
      </c>
      <c r="B19" s="96">
        <v>0</v>
      </c>
      <c r="C19" s="96">
        <f>+B19</f>
        <v>0</v>
      </c>
      <c r="D19" s="101">
        <v>3.3E-4</v>
      </c>
    </row>
    <row r="20" spans="1:4" ht="15" x14ac:dyDescent="0.25">
      <c r="A20" s="102" t="s">
        <v>117</v>
      </c>
      <c r="B20" s="148">
        <f>SUM(B17:B19)</f>
        <v>3.8999999999999998E-3</v>
      </c>
      <c r="C20" s="148">
        <f t="shared" ref="C20:D20" si="3">SUM(C17:C19)</f>
        <v>7.1986386478772608E-3</v>
      </c>
      <c r="D20" s="148">
        <f t="shared" si="3"/>
        <v>6.4986386478772615E-3</v>
      </c>
    </row>
    <row r="21" spans="1:4" x14ac:dyDescent="0.2">
      <c r="A21" s="72"/>
      <c r="B21" s="65"/>
      <c r="C21" s="65"/>
      <c r="D21" s="66"/>
    </row>
    <row r="22" spans="1:4" ht="15" x14ac:dyDescent="0.25">
      <c r="A22" s="225" t="s">
        <v>118</v>
      </c>
      <c r="B22" s="226"/>
      <c r="C22" s="226"/>
      <c r="D22" s="227"/>
    </row>
    <row r="23" spans="1:4" ht="15" x14ac:dyDescent="0.25">
      <c r="A23" s="103" t="str">
        <f>+A3</f>
        <v>Class</v>
      </c>
      <c r="B23" s="105">
        <f>+B13</f>
        <v>45047</v>
      </c>
      <c r="C23" s="105">
        <f t="shared" ref="C23:D23" si="4">+C13</f>
        <v>45200</v>
      </c>
      <c r="D23" s="105">
        <f t="shared" si="4"/>
        <v>45352</v>
      </c>
    </row>
    <row r="24" spans="1:4" x14ac:dyDescent="0.2">
      <c r="A24" s="95" t="s">
        <v>106</v>
      </c>
      <c r="B24" s="96">
        <f t="shared" ref="B24:D30" si="5">B4+B$20</f>
        <v>0.1593</v>
      </c>
      <c r="C24" s="96">
        <f t="shared" si="5"/>
        <v>0.16259863864787727</v>
      </c>
      <c r="D24" s="96">
        <f t="shared" si="5"/>
        <v>0.16669863864787726</v>
      </c>
    </row>
    <row r="25" spans="1:4" x14ac:dyDescent="0.2">
      <c r="A25" s="97" t="s">
        <v>107</v>
      </c>
      <c r="B25" s="96">
        <f t="shared" si="5"/>
        <v>0.1268</v>
      </c>
      <c r="C25" s="96">
        <f t="shared" si="5"/>
        <v>0.13009863864787727</v>
      </c>
      <c r="D25" s="96">
        <f t="shared" si="5"/>
        <v>0.13319863864787726</v>
      </c>
    </row>
    <row r="26" spans="1:4" x14ac:dyDescent="0.2">
      <c r="A26" s="95" t="s">
        <v>108</v>
      </c>
      <c r="B26" s="96">
        <f t="shared" si="5"/>
        <v>0.19579999999999997</v>
      </c>
      <c r="C26" s="96">
        <f t="shared" si="5"/>
        <v>0.19909863864787725</v>
      </c>
      <c r="D26" s="96">
        <f t="shared" si="5"/>
        <v>0.20429863864787726</v>
      </c>
    </row>
    <row r="27" spans="1:4" x14ac:dyDescent="0.2">
      <c r="A27" s="97" t="s">
        <v>109</v>
      </c>
      <c r="B27" s="96">
        <f t="shared" si="5"/>
        <v>0.12819999999999998</v>
      </c>
      <c r="C27" s="96">
        <f t="shared" si="5"/>
        <v>0.13149863864787725</v>
      </c>
      <c r="D27" s="96">
        <f t="shared" si="5"/>
        <v>0.13459863864787724</v>
      </c>
    </row>
    <row r="28" spans="1:4" x14ac:dyDescent="0.2">
      <c r="A28" s="95" t="s">
        <v>110</v>
      </c>
      <c r="B28" s="96">
        <f t="shared" si="5"/>
        <v>0.19169999999999998</v>
      </c>
      <c r="C28" s="96">
        <f t="shared" si="5"/>
        <v>0.19499863864787725</v>
      </c>
      <c r="D28" s="96">
        <f t="shared" si="5"/>
        <v>0.20009863864787725</v>
      </c>
    </row>
    <row r="29" spans="1:4" x14ac:dyDescent="0.2">
      <c r="A29" s="97" t="s">
        <v>111</v>
      </c>
      <c r="B29" s="96">
        <f t="shared" si="5"/>
        <v>9.7000000000000003E-2</v>
      </c>
      <c r="C29" s="96">
        <f t="shared" si="5"/>
        <v>0.10029863864787726</v>
      </c>
      <c r="D29" s="96">
        <f t="shared" si="5"/>
        <v>0.10239863864787727</v>
      </c>
    </row>
    <row r="30" spans="1:4" x14ac:dyDescent="0.2">
      <c r="A30" s="97" t="s">
        <v>3</v>
      </c>
      <c r="B30" s="96">
        <f t="shared" si="5"/>
        <v>8.09E-2</v>
      </c>
      <c r="C30" s="96">
        <f t="shared" si="5"/>
        <v>8.4198638647877258E-2</v>
      </c>
      <c r="D30" s="96">
        <f t="shared" si="5"/>
        <v>8.619863864787726E-2</v>
      </c>
    </row>
  </sheetData>
  <mergeCells count="4">
    <mergeCell ref="A1:D1"/>
    <mergeCell ref="A2:D2"/>
    <mergeCell ref="A12:D12"/>
    <mergeCell ref="A22:D2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9C583-3295-44BF-8568-B164735FEFDF}">
  <dimension ref="A1:C52"/>
  <sheetViews>
    <sheetView tabSelected="1" topLeftCell="A34" workbookViewId="0">
      <selection activeCell="F30" sqref="F30"/>
    </sheetView>
  </sheetViews>
  <sheetFormatPr defaultRowHeight="12.75" x14ac:dyDescent="0.2"/>
  <cols>
    <col min="1" max="1" width="57.5703125" bestFit="1" customWidth="1"/>
    <col min="2" max="2" width="14.5703125" bestFit="1" customWidth="1"/>
    <col min="3" max="3" width="16.85546875" customWidth="1"/>
  </cols>
  <sheetData>
    <row r="1" spans="1:3" ht="15.75" thickTop="1" x14ac:dyDescent="0.25">
      <c r="A1" s="228" t="s">
        <v>142</v>
      </c>
      <c r="B1" s="229"/>
      <c r="C1" s="230"/>
    </row>
    <row r="2" spans="1:3" ht="15" x14ac:dyDescent="0.25">
      <c r="A2" s="231" t="s">
        <v>122</v>
      </c>
      <c r="B2" s="232"/>
      <c r="C2" s="233"/>
    </row>
    <row r="3" spans="1:3" ht="15" x14ac:dyDescent="0.25">
      <c r="A3" s="237"/>
      <c r="B3" s="238"/>
      <c r="C3" s="239"/>
    </row>
    <row r="4" spans="1:3" ht="30" x14ac:dyDescent="0.25">
      <c r="A4" s="141"/>
      <c r="B4" s="154" t="s">
        <v>147</v>
      </c>
      <c r="C4" s="155" t="s">
        <v>148</v>
      </c>
    </row>
    <row r="5" spans="1:3" ht="14.25" x14ac:dyDescent="0.2">
      <c r="A5" s="133" t="s">
        <v>124</v>
      </c>
      <c r="B5" s="111">
        <v>323.04000000000008</v>
      </c>
      <c r="C5" s="142">
        <f>+B5</f>
        <v>323.04000000000008</v>
      </c>
    </row>
    <row r="6" spans="1:3" ht="14.25" x14ac:dyDescent="0.2">
      <c r="A6" s="143" t="s">
        <v>125</v>
      </c>
      <c r="B6" s="113">
        <f>650*'Table 8 Energy Charge per kWh'!B4*12</f>
        <v>1212.1200000000001</v>
      </c>
      <c r="C6" s="144">
        <f>+B6</f>
        <v>1212.1200000000001</v>
      </c>
    </row>
    <row r="7" spans="1:3" ht="14.25" x14ac:dyDescent="0.2">
      <c r="A7" s="143" t="s">
        <v>126</v>
      </c>
      <c r="B7" s="113">
        <f>650*'Table 8 Energy Charge per kWh'!B17*12</f>
        <v>46.019999999999996</v>
      </c>
      <c r="C7" s="144">
        <f>650*'Table 8 Energy Charge per kWh'!C17*12</f>
        <v>71.749381453442638</v>
      </c>
    </row>
    <row r="8" spans="1:3" ht="14.25" x14ac:dyDescent="0.2">
      <c r="A8" s="127" t="s">
        <v>127</v>
      </c>
      <c r="B8" s="109">
        <f>650*'Table 8 Energy Charge per kWh'!B19*12</f>
        <v>0</v>
      </c>
      <c r="C8" s="129">
        <f>650*'Table 8 Energy Charge per kWh'!C19*12</f>
        <v>0</v>
      </c>
    </row>
    <row r="9" spans="1:3" ht="14.25" x14ac:dyDescent="0.2">
      <c r="A9" s="127" t="s">
        <v>128</v>
      </c>
      <c r="B9" s="109">
        <f>650*'Table 8 Energy Charge per kWh'!B18*12</f>
        <v>-15.600000000000001</v>
      </c>
      <c r="C9" s="129">
        <f>650*'Table 8 Energy Charge per kWh'!C18*12</f>
        <v>-15.600000000000001</v>
      </c>
    </row>
    <row r="10" spans="1:3" ht="14.25" x14ac:dyDescent="0.2">
      <c r="A10" s="130" t="s">
        <v>129</v>
      </c>
      <c r="B10" s="109">
        <f>SUM(B5:B9)</f>
        <v>1565.5800000000004</v>
      </c>
      <c r="C10" s="129">
        <f>SUM(C5:C9)</f>
        <v>1591.3093814534429</v>
      </c>
    </row>
    <row r="11" spans="1:3" ht="14.25" x14ac:dyDescent="0.2">
      <c r="A11" s="130" t="s">
        <v>130</v>
      </c>
      <c r="B11" s="109">
        <f>+B10*0.15</f>
        <v>234.83700000000005</v>
      </c>
      <c r="C11" s="129">
        <f t="shared" ref="C11" si="0">ROUND(+C10*0.15,2)</f>
        <v>238.7</v>
      </c>
    </row>
    <row r="12" spans="1:3" ht="14.25" x14ac:dyDescent="0.2">
      <c r="A12" s="130" t="s">
        <v>131</v>
      </c>
      <c r="B12" s="109">
        <f>-SUM(B6:B9)*0.1</f>
        <v>-124.25400000000002</v>
      </c>
      <c r="C12" s="129">
        <f>-SUM(C6:C9)*0.1</f>
        <v>-126.82693814534429</v>
      </c>
    </row>
    <row r="13" spans="1:3" ht="15" x14ac:dyDescent="0.25">
      <c r="A13" s="131" t="s">
        <v>132</v>
      </c>
      <c r="B13" s="150">
        <f>SUM(B10:B12)</f>
        <v>1676.1630000000005</v>
      </c>
      <c r="C13" s="146">
        <f>SUM(C10:C12)</f>
        <v>1703.1824433080988</v>
      </c>
    </row>
    <row r="14" spans="1:3" ht="14.25" x14ac:dyDescent="0.2">
      <c r="A14" s="133" t="s">
        <v>133</v>
      </c>
      <c r="B14" s="122"/>
      <c r="C14" s="132"/>
    </row>
    <row r="15" spans="1:3" ht="15" x14ac:dyDescent="0.25">
      <c r="A15" s="134" t="s">
        <v>134</v>
      </c>
      <c r="B15" s="123"/>
      <c r="C15" s="137">
        <f>+(C13-B13)/B13</f>
        <v>1.6119818483105928E-2</v>
      </c>
    </row>
    <row r="16" spans="1:3" ht="15.75" thickBot="1" x14ac:dyDescent="0.3">
      <c r="A16" s="138" t="s">
        <v>135</v>
      </c>
      <c r="B16" s="152"/>
      <c r="C16" s="140">
        <f>(C13-B13)/B13</f>
        <v>1.6119818483105928E-2</v>
      </c>
    </row>
    <row r="17" spans="1:3" ht="15.75" thickTop="1" thickBot="1" x14ac:dyDescent="0.25">
      <c r="A17" s="119"/>
      <c r="B17" s="153"/>
      <c r="C17" s="120"/>
    </row>
    <row r="18" spans="1:3" ht="15.75" thickTop="1" x14ac:dyDescent="0.25">
      <c r="A18" s="240" t="s">
        <v>143</v>
      </c>
      <c r="B18" s="241"/>
      <c r="C18" s="242"/>
    </row>
    <row r="19" spans="1:3" ht="15" x14ac:dyDescent="0.25">
      <c r="A19" s="237" t="s">
        <v>138</v>
      </c>
      <c r="B19" s="238"/>
      <c r="C19" s="239"/>
    </row>
    <row r="20" spans="1:3" ht="15" x14ac:dyDescent="0.25">
      <c r="A20" s="237"/>
      <c r="B20" s="238"/>
      <c r="C20" s="239"/>
    </row>
    <row r="21" spans="1:3" ht="30" x14ac:dyDescent="0.25">
      <c r="A21" s="141"/>
      <c r="B21" s="154" t="str">
        <f>+B4</f>
        <v>Approved May 1, 2023</v>
      </c>
      <c r="C21" s="155" t="str">
        <f>+C4</f>
        <v>Proposed October 1, 2024</v>
      </c>
    </row>
    <row r="22" spans="1:3" ht="14.25" x14ac:dyDescent="0.2">
      <c r="A22" s="133" t="s">
        <v>124</v>
      </c>
      <c r="B22" s="111">
        <v>294.83999999999997</v>
      </c>
      <c r="C22" s="142">
        <f>+B22</f>
        <v>294.83999999999997</v>
      </c>
    </row>
    <row r="23" spans="1:3" ht="14.25" x14ac:dyDescent="0.2">
      <c r="A23" s="143" t="s">
        <v>125</v>
      </c>
      <c r="B23" s="113">
        <f t="shared" ref="B23:C26" si="1">+B6</f>
        <v>1212.1200000000001</v>
      </c>
      <c r="C23" s="144">
        <f t="shared" si="1"/>
        <v>1212.1200000000001</v>
      </c>
    </row>
    <row r="24" spans="1:3" ht="14.25" x14ac:dyDescent="0.2">
      <c r="A24" s="143" t="s">
        <v>126</v>
      </c>
      <c r="B24" s="113">
        <f t="shared" si="1"/>
        <v>46.019999999999996</v>
      </c>
      <c r="C24" s="144">
        <f t="shared" si="1"/>
        <v>71.749381453442638</v>
      </c>
    </row>
    <row r="25" spans="1:3" ht="14.25" x14ac:dyDescent="0.2">
      <c r="A25" s="143" t="s">
        <v>127</v>
      </c>
      <c r="B25" s="113">
        <f t="shared" si="1"/>
        <v>0</v>
      </c>
      <c r="C25" s="144">
        <f t="shared" si="1"/>
        <v>0</v>
      </c>
    </row>
    <row r="26" spans="1:3" ht="14.25" x14ac:dyDescent="0.2">
      <c r="A26" s="143" t="s">
        <v>128</v>
      </c>
      <c r="B26" s="113">
        <f t="shared" si="1"/>
        <v>-15.600000000000001</v>
      </c>
      <c r="C26" s="144">
        <f t="shared" si="1"/>
        <v>-15.600000000000001</v>
      </c>
    </row>
    <row r="27" spans="1:3" ht="15" x14ac:dyDescent="0.25">
      <c r="A27" s="131" t="s">
        <v>129</v>
      </c>
      <c r="B27" s="114">
        <f>SUM(B22:B26)</f>
        <v>1537.38</v>
      </c>
      <c r="C27" s="145">
        <f>SUM(C22:C26)</f>
        <v>1563.1093814534427</v>
      </c>
    </row>
    <row r="28" spans="1:3" ht="14.25" x14ac:dyDescent="0.2">
      <c r="A28" s="133" t="str">
        <f>+A11</f>
        <v>HST</v>
      </c>
      <c r="B28" s="113">
        <f>+B27*0.15</f>
        <v>230.607</v>
      </c>
      <c r="C28" s="144">
        <f t="shared" ref="C28" si="2">+C27*0.15</f>
        <v>234.4664072180164</v>
      </c>
    </row>
    <row r="29" spans="1:3" ht="14.25" x14ac:dyDescent="0.2">
      <c r="A29" s="133" t="str">
        <f>+A12</f>
        <v>Provincial Clean Energy Rebate*</v>
      </c>
      <c r="B29" s="113">
        <f>-SUM(B23:B26)*0.1</f>
        <v>-124.25400000000002</v>
      </c>
      <c r="C29" s="144">
        <f>-SUM(C23:C26)*0.1</f>
        <v>-126.82693814534429</v>
      </c>
    </row>
    <row r="30" spans="1:3" ht="15" x14ac:dyDescent="0.25">
      <c r="A30" s="134" t="s">
        <v>132</v>
      </c>
      <c r="B30" s="150">
        <f>SUM(B27:B29)+0.01</f>
        <v>1643.7430000000002</v>
      </c>
      <c r="C30" s="146">
        <f>SUM(C27:C29)+0</f>
        <v>1670.7488505261149</v>
      </c>
    </row>
    <row r="31" spans="1:3" ht="15" x14ac:dyDescent="0.25">
      <c r="A31" s="136" t="s">
        <v>133</v>
      </c>
      <c r="B31" s="115"/>
      <c r="C31" s="146"/>
    </row>
    <row r="32" spans="1:3" ht="15" x14ac:dyDescent="0.25">
      <c r="A32" s="134" t="s">
        <v>134</v>
      </c>
      <c r="B32" s="116"/>
      <c r="C32" s="137">
        <f>(C27-B27)/B27</f>
        <v>1.6735863256607055E-2</v>
      </c>
    </row>
    <row r="33" spans="1:3" ht="15.75" thickBot="1" x14ac:dyDescent="0.3">
      <c r="A33" s="138" t="s">
        <v>135</v>
      </c>
      <c r="B33" s="139"/>
      <c r="C33" s="140">
        <f>+(C30-B30)/B30</f>
        <v>1.6429484734605548E-2</v>
      </c>
    </row>
    <row r="34" spans="1:3" ht="15.75" thickTop="1" thickBot="1" x14ac:dyDescent="0.25">
      <c r="A34" s="119"/>
      <c r="B34" s="120"/>
      <c r="C34" s="120"/>
    </row>
    <row r="35" spans="1:3" ht="15.75" thickTop="1" x14ac:dyDescent="0.25">
      <c r="A35" s="228" t="s">
        <v>146</v>
      </c>
      <c r="B35" s="229"/>
      <c r="C35" s="230"/>
    </row>
    <row r="36" spans="1:3" ht="15" x14ac:dyDescent="0.25">
      <c r="A36" s="231" t="s">
        <v>137</v>
      </c>
      <c r="B36" s="232"/>
      <c r="C36" s="233"/>
    </row>
    <row r="37" spans="1:3" ht="15" x14ac:dyDescent="0.25">
      <c r="A37" s="234" t="s">
        <v>139</v>
      </c>
      <c r="B37" s="235"/>
      <c r="C37" s="236"/>
    </row>
    <row r="38" spans="1:3" ht="15" x14ac:dyDescent="0.25">
      <c r="A38" s="237"/>
      <c r="B38" s="238"/>
      <c r="C38" s="239"/>
    </row>
    <row r="39" spans="1:3" ht="30" x14ac:dyDescent="0.25">
      <c r="A39" s="125"/>
      <c r="B39" s="154" t="str">
        <f>+B21</f>
        <v>Approved May 1, 2023</v>
      </c>
      <c r="C39" s="155" t="str">
        <f>+C21</f>
        <v>Proposed October 1, 2024</v>
      </c>
    </row>
    <row r="40" spans="1:3" ht="14.25" x14ac:dyDescent="0.2">
      <c r="A40" s="127" t="s">
        <v>124</v>
      </c>
      <c r="B40" s="121">
        <v>294.83999999999997</v>
      </c>
      <c r="C40" s="128">
        <f>+B40</f>
        <v>294.83999999999997</v>
      </c>
    </row>
    <row r="41" spans="1:3" ht="14.25" x14ac:dyDescent="0.2">
      <c r="A41" s="127" t="s">
        <v>136</v>
      </c>
      <c r="B41" s="109">
        <v>4834.8</v>
      </c>
      <c r="C41" s="129">
        <f>+B41</f>
        <v>4834.8</v>
      </c>
    </row>
    <row r="42" spans="1:3" ht="14.25" x14ac:dyDescent="0.2">
      <c r="A42" s="127" t="s">
        <v>125</v>
      </c>
      <c r="B42" s="109">
        <f>((5000*'Table 8 Energy Charge per kWh'!B6)+(5000*'Table 8 Energy Charge per kWh'!B7))*12</f>
        <v>18972</v>
      </c>
      <c r="C42" s="129">
        <f>+B42</f>
        <v>18972</v>
      </c>
    </row>
    <row r="43" spans="1:3" ht="14.25" x14ac:dyDescent="0.2">
      <c r="A43" s="130" t="s">
        <v>126</v>
      </c>
      <c r="B43" s="109">
        <f>10000*'Table 8 Energy Charge per kWh'!B17*12</f>
        <v>708</v>
      </c>
      <c r="C43" s="129">
        <f>10000*'Table 8 Energy Charge per kWh'!C17*12</f>
        <v>1103.8366377452712</v>
      </c>
    </row>
    <row r="44" spans="1:3" ht="14.25" x14ac:dyDescent="0.2">
      <c r="A44" s="130" t="s">
        <v>127</v>
      </c>
      <c r="B44" s="109">
        <f>10000*'Table 8 Energy Charge per kWh'!B19</f>
        <v>0</v>
      </c>
      <c r="C44" s="129">
        <f>10000*'Table 8 Energy Charge per kWh'!C19</f>
        <v>0</v>
      </c>
    </row>
    <row r="45" spans="1:3" ht="14.25" x14ac:dyDescent="0.2">
      <c r="A45" s="130" t="s">
        <v>128</v>
      </c>
      <c r="B45" s="109">
        <f>10000*'Table 8 Energy Charge per kWh'!B18*12</f>
        <v>-240</v>
      </c>
      <c r="C45" s="129">
        <f>+B45</f>
        <v>-240</v>
      </c>
    </row>
    <row r="46" spans="1:3" ht="15" x14ac:dyDescent="0.25">
      <c r="A46" s="131" t="s">
        <v>129</v>
      </c>
      <c r="B46" s="113">
        <f>SUM(B40:B45)</f>
        <v>24569.64</v>
      </c>
      <c r="C46" s="132">
        <f>SUM(C40:C45)</f>
        <v>24965.476637745269</v>
      </c>
    </row>
    <row r="47" spans="1:3" ht="14.25" x14ac:dyDescent="0.2">
      <c r="A47" s="133" t="s">
        <v>140</v>
      </c>
      <c r="B47" s="122">
        <f>+B46*0.15</f>
        <v>3685.4459999999999</v>
      </c>
      <c r="C47" s="132">
        <f t="shared" ref="C47" si="3">+C46*0.15</f>
        <v>3744.8214956617903</v>
      </c>
    </row>
    <row r="48" spans="1:3" ht="15" x14ac:dyDescent="0.25">
      <c r="A48" s="134" t="s">
        <v>132</v>
      </c>
      <c r="B48" s="123">
        <f t="shared" ref="B48:C48" si="4">SUM(B46:B47)</f>
        <v>28255.085999999999</v>
      </c>
      <c r="C48" s="135">
        <f t="shared" si="4"/>
        <v>28710.298133407057</v>
      </c>
    </row>
    <row r="49" spans="1:3" ht="15" x14ac:dyDescent="0.25">
      <c r="A49" s="136" t="s">
        <v>133</v>
      </c>
      <c r="B49" s="123"/>
      <c r="C49" s="135"/>
    </row>
    <row r="50" spans="1:3" ht="15" x14ac:dyDescent="0.25">
      <c r="A50" s="134" t="s">
        <v>134</v>
      </c>
      <c r="B50" s="116"/>
      <c r="C50" s="137">
        <f>(C46-B46)/B46</f>
        <v>1.6110803322526068E-2</v>
      </c>
    </row>
    <row r="51" spans="1:3" ht="15.75" thickBot="1" x14ac:dyDescent="0.3">
      <c r="A51" s="138" t="s">
        <v>135</v>
      </c>
      <c r="B51" s="139"/>
      <c r="C51" s="140">
        <f>(C48-B48)/B48</f>
        <v>1.6110803322526006E-2</v>
      </c>
    </row>
    <row r="52" spans="1:3" ht="13.5" thickTop="1" x14ac:dyDescent="0.2"/>
  </sheetData>
  <mergeCells count="10">
    <mergeCell ref="A1:C1"/>
    <mergeCell ref="A2:C2"/>
    <mergeCell ref="A18:C18"/>
    <mergeCell ref="A19:C19"/>
    <mergeCell ref="A20:C20"/>
    <mergeCell ref="A35:C35"/>
    <mergeCell ref="A36:C36"/>
    <mergeCell ref="A37:C37"/>
    <mergeCell ref="A38:C38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Appendix A 2022 ECAM Schedule</vt:lpstr>
      <vt:lpstr>Table 1 Energy Costs Deferred</vt:lpstr>
      <vt:lpstr>Table 2 ECAM Collections</vt:lpstr>
      <vt:lpstr>Table 4 Lepreau Replacement En</vt:lpstr>
      <vt:lpstr>Table 5 Add Amt to Coll &amp; Rate</vt:lpstr>
      <vt:lpstr>Table 6 kWh Sales</vt:lpstr>
      <vt:lpstr>Table 7 Oct 23 to Sep 24 Colln </vt:lpstr>
      <vt:lpstr>Table 8 Energy Charge per kWh</vt:lpstr>
      <vt:lpstr>Tables 9-11 Annual Cust Impact</vt:lpstr>
      <vt:lpstr>Customer Impact Summary</vt:lpstr>
      <vt:lpstr>Customer Impact Mar - Feb</vt:lpstr>
      <vt:lpstr>'Appendix A 2022 ECAM Schedule'!Print_Area</vt:lpstr>
      <vt:lpstr>'Appendix A 2022 ECAM Schedule'!Print_Titles</vt:lpstr>
    </vt:vector>
  </TitlesOfParts>
  <Company>Maritime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Crockett, Gloria</dc:creator>
  <cp:lastModifiedBy>Crockett, Gloria</cp:lastModifiedBy>
  <cp:lastPrinted>2023-07-17T19:22:57Z</cp:lastPrinted>
  <dcterms:created xsi:type="dcterms:W3CDTF">2001-09-20T18:08:58Z</dcterms:created>
  <dcterms:modified xsi:type="dcterms:W3CDTF">2023-07-26T17:19:00Z</dcterms:modified>
</cp:coreProperties>
</file>