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CIS and AMI Application\"/>
    </mc:Choice>
  </mc:AlternateContent>
  <xr:revisionPtr revIDLastSave="0" documentId="13_ncr:1_{6118772C-0CD7-497F-897B-8CE1CABD7D3D}" xr6:coauthVersionLast="36" xr6:coauthVersionMax="36" xr10:uidLastSave="{00000000-0000-0000-0000-000000000000}"/>
  <bookViews>
    <workbookView xWindow="0" yWindow="0" windowWidth="25125" windowHeight="11700" tabRatio="776" firstSheet="2" activeTab="7" xr2:uid="{00000000-000D-0000-FFFF-FFFF00000000}"/>
  </bookViews>
  <sheets>
    <sheet name="App A 2023 - 2030 Annual Impact" sheetId="9" r:id="rId1"/>
    <sheet name="OATT Rate Impact" sheetId="8" state="hidden" r:id="rId2"/>
    <sheet name="App B Annual Deprec and CCA" sheetId="7" r:id="rId3"/>
    <sheet name="App C 2030 Depreciation" sheetId="1" r:id="rId4"/>
    <sheet name="App D 2030 Income Taxes" sheetId="3" r:id="rId5"/>
    <sheet name="App E 2030 RateBase&amp;CostCapital" sheetId="2" r:id="rId6"/>
    <sheet name="App F 2030 Rev Requirement" sheetId="5" r:id="rId7"/>
    <sheet name="App G 2030 Distrib Rate Impact" sheetId="6" r:id="rId8"/>
  </sheets>
  <externalReferences>
    <externalReference r:id="rId9"/>
    <externalReference r:id="rId10"/>
    <externalReference r:id="rId11"/>
  </externalReferences>
  <definedNames>
    <definedName name="_ftn1" localSheetId="1">'OATT Rate Impact'!#REF!</definedName>
    <definedName name="_ftnref1" localSheetId="1">'OATT Rate Impact'!$A$7</definedName>
    <definedName name="_xlnm.Print_Area" localSheetId="3">'App C 2030 Depreciation'!$C$1:$E$41</definedName>
    <definedName name="_xlnm.Print_Area" localSheetId="4">'App D 2030 Income Taxes'!$C$1:$E$33</definedName>
    <definedName name="_xlnm.Print_Area" localSheetId="5">'App E 2030 RateBase&amp;CostCapital'!$C$1:$E$29</definedName>
    <definedName name="_xlnm.Print_Area" localSheetId="6">'App F 2030 Rev Requirement'!$C$1:$E$17</definedName>
    <definedName name="_xlnm.Print_Area" localSheetId="7">'App G 2030 Distrib Rate Impact'!$C$1:$E$25</definedName>
  </definedNames>
  <calcPr calcId="191029"/>
</workbook>
</file>

<file path=xl/calcChain.xml><?xml version="1.0" encoding="utf-8"?>
<calcChain xmlns="http://schemas.openxmlformats.org/spreadsheetml/2006/main">
  <c r="P3" i="9" l="1"/>
  <c r="O12" i="7" l="1"/>
  <c r="K12" i="7"/>
  <c r="G12" i="7"/>
  <c r="O15" i="7" l="1"/>
  <c r="K15" i="7"/>
  <c r="G15" i="7"/>
  <c r="C15" i="7"/>
  <c r="D75" i="7" l="1"/>
  <c r="E75" i="7" s="1"/>
  <c r="F75" i="7" s="1"/>
  <c r="G75" i="7" s="1"/>
  <c r="H75" i="7" s="1"/>
  <c r="I75" i="7" s="1"/>
  <c r="J75" i="7" s="1"/>
  <c r="G4" i="7"/>
  <c r="K4" i="7" s="1"/>
  <c r="O4" i="7" s="1"/>
  <c r="C27" i="7" s="1"/>
  <c r="G27" i="7" s="1"/>
  <c r="K27" i="7" s="1"/>
  <c r="O27" i="7" s="1"/>
  <c r="C24" i="7"/>
  <c r="G22" i="7"/>
  <c r="L10" i="9" l="1"/>
  <c r="L8" i="9"/>
  <c r="L9" i="9"/>
  <c r="L7" i="9"/>
  <c r="L6" i="9"/>
  <c r="B10" i="9" l="1"/>
  <c r="C10" i="9" s="1"/>
  <c r="B9" i="9"/>
  <c r="C9" i="9" s="1"/>
  <c r="B8" i="9"/>
  <c r="C8" i="9" s="1"/>
  <c r="E4" i="5" l="1"/>
  <c r="F24" i="7" l="1"/>
  <c r="C77" i="7"/>
  <c r="C22" i="7"/>
  <c r="F22" i="7" s="1"/>
  <c r="J22" i="7" s="1"/>
  <c r="G24" i="7"/>
  <c r="E13" i="1"/>
  <c r="E24" i="1" s="1"/>
  <c r="E27" i="1" s="1"/>
  <c r="E5" i="1"/>
  <c r="B5" i="9"/>
  <c r="C5" i="9" s="1"/>
  <c r="B4" i="9"/>
  <c r="C4" i="9" s="1"/>
  <c r="B3" i="9"/>
  <c r="C3" i="9" s="1"/>
  <c r="J24" i="7" l="1"/>
  <c r="D77" i="7"/>
  <c r="C78" i="7" l="1"/>
  <c r="C76" i="7"/>
  <c r="A59" i="7" l="1"/>
  <c r="E15" i="7"/>
  <c r="I15" i="7" s="1"/>
  <c r="I19" i="7" s="1"/>
  <c r="I24" i="7" s="1"/>
  <c r="D79" i="7" s="1"/>
  <c r="B7" i="9" l="1"/>
  <c r="C7" i="9" s="1"/>
  <c r="B6" i="9"/>
  <c r="C6" i="9" s="1"/>
  <c r="E17" i="1" s="1"/>
  <c r="P10" i="9" l="1"/>
  <c r="G6" i="8"/>
  <c r="G5" i="8"/>
  <c r="G15" i="8"/>
  <c r="G14" i="8"/>
  <c r="E17" i="8" l="1"/>
  <c r="E13" i="8"/>
  <c r="E12" i="8"/>
  <c r="E11" i="8"/>
  <c r="E9" i="8"/>
  <c r="E8" i="8"/>
  <c r="E7" i="8"/>
  <c r="F17" i="8" l="1"/>
  <c r="G17" i="8" l="1"/>
  <c r="P9" i="9"/>
  <c r="P8" i="9"/>
  <c r="P7" i="9"/>
  <c r="P6" i="9"/>
  <c r="P5" i="9"/>
  <c r="P4" i="9"/>
  <c r="C11" i="3" l="1"/>
  <c r="E5" i="6"/>
  <c r="O39" i="7" l="1"/>
  <c r="O40" i="7" s="1"/>
  <c r="I40" i="7"/>
  <c r="K39" i="7"/>
  <c r="K40" i="7" s="1"/>
  <c r="G39" i="7"/>
  <c r="M36" i="7"/>
  <c r="M40" i="7" s="1"/>
  <c r="G30" i="7"/>
  <c r="Q17" i="7"/>
  <c r="C39" i="7"/>
  <c r="O16" i="7"/>
  <c r="E36" i="7"/>
  <c r="E40" i="7" s="1"/>
  <c r="O7" i="7"/>
  <c r="A56" i="7"/>
  <c r="A55" i="7"/>
  <c r="A54" i="7"/>
  <c r="A53" i="7"/>
  <c r="A52" i="7"/>
  <c r="C50" i="7"/>
  <c r="D50" i="7" s="1"/>
  <c r="E50" i="7" s="1"/>
  <c r="F50" i="7" s="1"/>
  <c r="G50" i="7" s="1"/>
  <c r="H50" i="7" s="1"/>
  <c r="I50" i="7" s="1"/>
  <c r="J50" i="7" s="1"/>
  <c r="E17" i="7"/>
  <c r="K16" i="7"/>
  <c r="F60" i="7" s="1"/>
  <c r="G16" i="7"/>
  <c r="C16" i="7"/>
  <c r="M13" i="7"/>
  <c r="F10" i="7"/>
  <c r="G7" i="7"/>
  <c r="C7" i="7"/>
  <c r="F7" i="7" s="1"/>
  <c r="I5" i="7"/>
  <c r="M5" i="7" s="1"/>
  <c r="Q5" i="7" s="1"/>
  <c r="E28" i="7" s="1"/>
  <c r="I28" i="7" s="1"/>
  <c r="M28" i="7" s="1"/>
  <c r="Q28" i="7" s="1"/>
  <c r="G17" i="7" l="1"/>
  <c r="Q36" i="7"/>
  <c r="Q40" i="7" s="1"/>
  <c r="O44" i="7"/>
  <c r="O17" i="7"/>
  <c r="O21" i="7" s="1"/>
  <c r="L32" i="7"/>
  <c r="K44" i="7"/>
  <c r="L37" i="7"/>
  <c r="L36" i="7"/>
  <c r="L33" i="7"/>
  <c r="L38" i="7"/>
  <c r="L30" i="7"/>
  <c r="L31" i="7"/>
  <c r="L39" i="7"/>
  <c r="G40" i="7"/>
  <c r="H30" i="7" s="1"/>
  <c r="C40" i="7"/>
  <c r="D39" i="7" s="1"/>
  <c r="I17" i="7"/>
  <c r="C59" i="7"/>
  <c r="F14" i="7"/>
  <c r="D58" i="7" s="1"/>
  <c r="F12" i="7"/>
  <c r="F13" i="7"/>
  <c r="D57" i="7" s="1"/>
  <c r="C57" i="7"/>
  <c r="C58" i="7"/>
  <c r="F15" i="7"/>
  <c r="D78" i="7" s="1"/>
  <c r="G19" i="7"/>
  <c r="G21" i="7" s="1"/>
  <c r="K17" i="7"/>
  <c r="F8" i="7"/>
  <c r="C53" i="7"/>
  <c r="C54" i="7"/>
  <c r="M17" i="7"/>
  <c r="D56" i="7" l="1"/>
  <c r="D76" i="7"/>
  <c r="D80" i="7" s="1"/>
  <c r="D59" i="7"/>
  <c r="P7" i="7"/>
  <c r="P16" i="7"/>
  <c r="J60" i="7" s="1"/>
  <c r="P40" i="7"/>
  <c r="L40" i="7"/>
  <c r="H39" i="7"/>
  <c r="G44" i="7"/>
  <c r="D33" i="7"/>
  <c r="C44" i="7"/>
  <c r="D37" i="7"/>
  <c r="D36" i="7"/>
  <c r="D30" i="7"/>
  <c r="D32" i="7"/>
  <c r="D38" i="7"/>
  <c r="D31" i="7"/>
  <c r="F9" i="7"/>
  <c r="C56" i="7"/>
  <c r="J8" i="7"/>
  <c r="J14" i="7"/>
  <c r="H7" i="7"/>
  <c r="J13" i="7"/>
  <c r="C52" i="7"/>
  <c r="H16" i="7"/>
  <c r="P17" i="7" l="1"/>
  <c r="H40" i="7"/>
  <c r="D40" i="7"/>
  <c r="L17" i="7"/>
  <c r="D52" i="7"/>
  <c r="E57" i="7"/>
  <c r="N13" i="7"/>
  <c r="R13" i="7" s="1"/>
  <c r="E58" i="7"/>
  <c r="N14" i="7"/>
  <c r="R14" i="7" s="1"/>
  <c r="E52" i="7"/>
  <c r="N8" i="7"/>
  <c r="J15" i="7"/>
  <c r="E78" i="7" s="1"/>
  <c r="H17" i="7"/>
  <c r="J7" i="7"/>
  <c r="D53" i="7"/>
  <c r="J9" i="7"/>
  <c r="J12" i="7"/>
  <c r="E76" i="7" s="1"/>
  <c r="D54" i="7"/>
  <c r="J10" i="7"/>
  <c r="E59" i="7" l="1"/>
  <c r="E56" i="7"/>
  <c r="G58" i="7"/>
  <c r="H58" i="7"/>
  <c r="I58" i="7"/>
  <c r="F58" i="7"/>
  <c r="I57" i="7"/>
  <c r="F57" i="7"/>
  <c r="H57" i="7"/>
  <c r="G57" i="7"/>
  <c r="R8" i="7"/>
  <c r="I52" i="7"/>
  <c r="F52" i="7"/>
  <c r="G52" i="7"/>
  <c r="H52" i="7"/>
  <c r="N7" i="7"/>
  <c r="R7" i="7" s="1"/>
  <c r="N9" i="7"/>
  <c r="E53" i="7"/>
  <c r="N15" i="7"/>
  <c r="N12" i="7"/>
  <c r="F76" i="7" s="1"/>
  <c r="N10" i="7"/>
  <c r="E54" i="7"/>
  <c r="F78" i="7" l="1"/>
  <c r="R15" i="7"/>
  <c r="F56" i="7"/>
  <c r="F59" i="7"/>
  <c r="F31" i="7"/>
  <c r="J31" i="7" s="1"/>
  <c r="N31" i="7" s="1"/>
  <c r="R31" i="7" s="1"/>
  <c r="J52" i="7"/>
  <c r="R12" i="7"/>
  <c r="G76" i="7" s="1"/>
  <c r="R9" i="7"/>
  <c r="G53" i="7"/>
  <c r="H53" i="7"/>
  <c r="I53" i="7"/>
  <c r="F53" i="7"/>
  <c r="R10" i="7"/>
  <c r="F54" i="7"/>
  <c r="G54" i="7"/>
  <c r="H54" i="7"/>
  <c r="I54" i="7"/>
  <c r="G78" i="7"/>
  <c r="F36" i="7"/>
  <c r="J36" i="7" s="1"/>
  <c r="N36" i="7" s="1"/>
  <c r="R36" i="7" s="1"/>
  <c r="J57" i="7"/>
  <c r="F37" i="7"/>
  <c r="J37" i="7" s="1"/>
  <c r="N37" i="7" s="1"/>
  <c r="R37" i="7" s="1"/>
  <c r="J58" i="7"/>
  <c r="F30" i="7"/>
  <c r="G56" i="7" l="1"/>
  <c r="F38" i="7"/>
  <c r="H78" i="7" s="1"/>
  <c r="G59" i="7"/>
  <c r="F32" i="7"/>
  <c r="J32" i="7" s="1"/>
  <c r="N32" i="7" s="1"/>
  <c r="R32" i="7" s="1"/>
  <c r="J53" i="7"/>
  <c r="F33" i="7"/>
  <c r="J33" i="7" s="1"/>
  <c r="N33" i="7" s="1"/>
  <c r="R33" i="7" s="1"/>
  <c r="J54" i="7"/>
  <c r="F35" i="7"/>
  <c r="H76" i="7" s="1"/>
  <c r="J30" i="7"/>
  <c r="J35" i="7" l="1"/>
  <c r="I76" i="7" s="1"/>
  <c r="H56" i="7"/>
  <c r="J38" i="7"/>
  <c r="I78" i="7" s="1"/>
  <c r="H59" i="7"/>
  <c r="N30" i="7"/>
  <c r="N38" i="7" l="1"/>
  <c r="I59" i="7"/>
  <c r="N35" i="7"/>
  <c r="I56" i="7"/>
  <c r="R30" i="7"/>
  <c r="J76" i="7" l="1"/>
  <c r="R35" i="7"/>
  <c r="J78" i="7"/>
  <c r="R38" i="7"/>
  <c r="J56" i="7"/>
  <c r="J59" i="7"/>
  <c r="E22" i="2" l="1"/>
  <c r="E21" i="2"/>
  <c r="E24" i="2" s="1"/>
  <c r="E25" i="2" l="1"/>
  <c r="C4" i="3"/>
  <c r="E2" i="6" l="1"/>
  <c r="E2" i="5" l="1"/>
  <c r="E2" i="3"/>
  <c r="E2" i="2"/>
  <c r="E26" i="2" l="1"/>
  <c r="C17" i="7"/>
  <c r="E4" i="1" s="1"/>
  <c r="E4" i="3" l="1"/>
  <c r="E12" i="1"/>
  <c r="E6" i="1"/>
  <c r="D16" i="7"/>
  <c r="D17" i="7" s="1"/>
  <c r="C19" i="7"/>
  <c r="C21" i="7" s="1"/>
  <c r="C55" i="7"/>
  <c r="F11" i="7"/>
  <c r="E14" i="1" l="1"/>
  <c r="F19" i="7"/>
  <c r="E19" i="7"/>
  <c r="E24" i="7" s="1"/>
  <c r="C79" i="7" s="1"/>
  <c r="C80" i="7" s="1"/>
  <c r="D55" i="7"/>
  <c r="J11" i="7"/>
  <c r="F16" i="7"/>
  <c r="C60" i="7"/>
  <c r="C61" i="7" s="1"/>
  <c r="C67" i="7" l="1"/>
  <c r="N11" i="7"/>
  <c r="E55" i="7"/>
  <c r="J19" i="7"/>
  <c r="D60" i="7"/>
  <c r="D61" i="7" s="1"/>
  <c r="J16" i="7"/>
  <c r="J17" i="7" s="1"/>
  <c r="F17" i="7"/>
  <c r="R11" i="7" l="1"/>
  <c r="F55" i="7"/>
  <c r="F61" i="7" s="1"/>
  <c r="D67" i="7"/>
  <c r="N16" i="7"/>
  <c r="N17" i="7" s="1"/>
  <c r="E60" i="7"/>
  <c r="E61" i="7" s="1"/>
  <c r="K19" i="7"/>
  <c r="K21" i="7" l="1"/>
  <c r="K24" i="7"/>
  <c r="K22" i="7"/>
  <c r="E67" i="7"/>
  <c r="G55" i="7"/>
  <c r="F34" i="7"/>
  <c r="N19" i="7"/>
  <c r="H60" i="7"/>
  <c r="G60" i="7"/>
  <c r="I60" i="7"/>
  <c r="R16" i="7"/>
  <c r="F39" i="7" s="1"/>
  <c r="J39" i="7" s="1"/>
  <c r="N39" i="7" s="1"/>
  <c r="R39" i="7" s="1"/>
  <c r="F67" i="7"/>
  <c r="E77" i="7" l="1"/>
  <c r="N22" i="7"/>
  <c r="E79" i="7"/>
  <c r="N24" i="7"/>
  <c r="R24" i="7" s="1"/>
  <c r="F47" i="7" s="1"/>
  <c r="J47" i="7" s="1"/>
  <c r="N47" i="7" s="1"/>
  <c r="R47" i="7" s="1"/>
  <c r="G61" i="7"/>
  <c r="G67" i="7" s="1"/>
  <c r="R17" i="7"/>
  <c r="H55" i="7"/>
  <c r="H61" i="7" s="1"/>
  <c r="J34" i="7"/>
  <c r="F40" i="7"/>
  <c r="R19" i="7"/>
  <c r="R22" i="7" l="1"/>
  <c r="F77" i="7"/>
  <c r="F80" i="7" s="1"/>
  <c r="E80" i="7"/>
  <c r="R21" i="7"/>
  <c r="F44" i="7"/>
  <c r="I55" i="7"/>
  <c r="I61" i="7" s="1"/>
  <c r="N34" i="7"/>
  <c r="J40" i="7"/>
  <c r="J44" i="7" s="1"/>
  <c r="F42" i="7"/>
  <c r="H67" i="7"/>
  <c r="G77" i="7" l="1"/>
  <c r="G80" i="7" s="1"/>
  <c r="F45" i="7"/>
  <c r="I67" i="7"/>
  <c r="J55" i="7"/>
  <c r="J61" i="7" s="1"/>
  <c r="N40" i="7"/>
  <c r="N44" i="7" s="1"/>
  <c r="R34" i="7"/>
  <c r="R40" i="7" s="1"/>
  <c r="J42" i="7"/>
  <c r="K61" i="7" l="1"/>
  <c r="E18" i="1" s="1"/>
  <c r="H77" i="7"/>
  <c r="H80" i="7" s="1"/>
  <c r="J45" i="7"/>
  <c r="R44" i="7"/>
  <c r="B63" i="7" s="1"/>
  <c r="J67" i="7"/>
  <c r="N42" i="7"/>
  <c r="E19" i="1" l="1"/>
  <c r="E21" i="1" s="1"/>
  <c r="I77" i="7"/>
  <c r="I80" i="7" s="1"/>
  <c r="N45" i="7"/>
  <c r="E63" i="7"/>
  <c r="E65" i="7" s="1"/>
  <c r="E70" i="7" s="1"/>
  <c r="E82" i="7" s="1"/>
  <c r="C63" i="7"/>
  <c r="C65" i="7" s="1"/>
  <c r="D63" i="7"/>
  <c r="D65" i="7" s="1"/>
  <c r="D70" i="7" s="1"/>
  <c r="E8" i="1"/>
  <c r="E9" i="1" s="1"/>
  <c r="E35" i="1" s="1"/>
  <c r="E28" i="1"/>
  <c r="E29" i="1" s="1"/>
  <c r="I63" i="7"/>
  <c r="I65" i="7" s="1"/>
  <c r="I70" i="7" s="1"/>
  <c r="K9" i="9" s="1"/>
  <c r="H63" i="7"/>
  <c r="H65" i="7" s="1"/>
  <c r="H70" i="7" s="1"/>
  <c r="K8" i="9" s="1"/>
  <c r="G63" i="7"/>
  <c r="G65" i="7" s="1"/>
  <c r="G70" i="7" s="1"/>
  <c r="G82" i="7" s="1"/>
  <c r="F63" i="7"/>
  <c r="F65" i="7" s="1"/>
  <c r="F70" i="7" s="1"/>
  <c r="F82" i="7" s="1"/>
  <c r="J63" i="7"/>
  <c r="R42" i="7"/>
  <c r="J65" i="7" l="1"/>
  <c r="K65" i="7" s="1"/>
  <c r="C70" i="7"/>
  <c r="K63" i="7"/>
  <c r="C82" i="7"/>
  <c r="C84" i="7" s="1"/>
  <c r="D82" i="7"/>
  <c r="D71" i="7"/>
  <c r="E71" i="7" s="1"/>
  <c r="F71" i="7" s="1"/>
  <c r="G71" i="7" s="1"/>
  <c r="H71" i="7" s="1"/>
  <c r="I71" i="7" s="1"/>
  <c r="E26" i="3"/>
  <c r="H82" i="7"/>
  <c r="K5" i="9"/>
  <c r="R45" i="7"/>
  <c r="J77" i="7"/>
  <c r="K4" i="9"/>
  <c r="I82" i="7"/>
  <c r="G72" i="7"/>
  <c r="D7" i="9" s="1"/>
  <c r="F72" i="7"/>
  <c r="D6" i="9" s="1"/>
  <c r="K6" i="9"/>
  <c r="K7" i="9"/>
  <c r="K81" i="7" l="1"/>
  <c r="J80" i="7"/>
  <c r="K71" i="7"/>
  <c r="E31" i="1"/>
  <c r="E12" i="3" s="1"/>
  <c r="E33" i="1"/>
  <c r="E4" i="2" s="1"/>
  <c r="I72" i="7"/>
  <c r="D9" i="9" s="1"/>
  <c r="C72" i="7"/>
  <c r="D3" i="9" s="1"/>
  <c r="H72" i="7"/>
  <c r="D8" i="9" s="1"/>
  <c r="K3" i="9"/>
  <c r="J70" i="7"/>
  <c r="K10" i="9" s="1"/>
  <c r="K80" i="7"/>
  <c r="D72" i="7"/>
  <c r="D4" i="9" s="1"/>
  <c r="E72" i="7"/>
  <c r="D5" i="9" s="1"/>
  <c r="D84" i="7"/>
  <c r="E84" i="7" s="1"/>
  <c r="C86" i="7"/>
  <c r="E3" i="9" s="1"/>
  <c r="E27" i="3"/>
  <c r="E31" i="3" s="1"/>
  <c r="E3" i="5"/>
  <c r="E6" i="3"/>
  <c r="E8" i="3" s="1"/>
  <c r="E3" i="2"/>
  <c r="F3" i="9" l="1"/>
  <c r="F14" i="9" s="1"/>
  <c r="G14" i="9" s="1"/>
  <c r="J82" i="7"/>
  <c r="J71" i="7"/>
  <c r="K72" i="7" s="1"/>
  <c r="D86" i="7"/>
  <c r="D88" i="7" s="1"/>
  <c r="C88" i="7"/>
  <c r="E11" i="3"/>
  <c r="E13" i="3" s="1"/>
  <c r="E15" i="3" s="1"/>
  <c r="E86" i="7"/>
  <c r="F84" i="7"/>
  <c r="J72" i="7" l="1"/>
  <c r="D10" i="9" s="1"/>
  <c r="E4" i="9"/>
  <c r="G3" i="9"/>
  <c r="H14" i="9"/>
  <c r="I14" i="9" s="1"/>
  <c r="M3" i="9" s="1"/>
  <c r="H3" i="9"/>
  <c r="J3" i="9" s="1"/>
  <c r="N3" i="9" s="1"/>
  <c r="O3" i="9" s="1"/>
  <c r="Q3" i="9" s="1"/>
  <c r="R3" i="9" s="1"/>
  <c r="E5" i="2"/>
  <c r="E6" i="2" s="1"/>
  <c r="E5" i="9"/>
  <c r="F5" i="9" s="1"/>
  <c r="E88" i="7"/>
  <c r="G84" i="7"/>
  <c r="F86" i="7"/>
  <c r="E11" i="2" l="1"/>
  <c r="E10" i="2"/>
  <c r="E12" i="2" s="1"/>
  <c r="F4" i="9"/>
  <c r="H4" i="9" s="1"/>
  <c r="J4" i="9" s="1"/>
  <c r="G4" i="9"/>
  <c r="H15" i="9"/>
  <c r="E20" i="3"/>
  <c r="E21" i="3"/>
  <c r="E8" i="2"/>
  <c r="F88" i="7"/>
  <c r="E6" i="9"/>
  <c r="F6" i="9" s="1"/>
  <c r="H16" i="9"/>
  <c r="H5" i="9"/>
  <c r="J5" i="9" s="1"/>
  <c r="F16" i="9"/>
  <c r="G16" i="9" s="1"/>
  <c r="G5" i="9"/>
  <c r="G86" i="7"/>
  <c r="H84" i="7"/>
  <c r="F15" i="9" l="1"/>
  <c r="G15" i="9" s="1"/>
  <c r="S3" i="9"/>
  <c r="I15" i="9"/>
  <c r="M4" i="9" s="1"/>
  <c r="E5" i="5"/>
  <c r="E22" i="3"/>
  <c r="E25" i="3" s="1"/>
  <c r="E6" i="5"/>
  <c r="E18" i="3"/>
  <c r="I16" i="9"/>
  <c r="M5" i="9" s="1"/>
  <c r="N5" i="9" s="1"/>
  <c r="E7" i="9"/>
  <c r="F7" i="9" s="1"/>
  <c r="G88" i="7"/>
  <c r="G6" i="9"/>
  <c r="F17" i="9"/>
  <c r="G17" i="9" s="1"/>
  <c r="H6" i="9"/>
  <c r="J6" i="9" s="1"/>
  <c r="H17" i="9"/>
  <c r="I84" i="7"/>
  <c r="J84" i="7" s="1"/>
  <c r="J86" i="7" s="1"/>
  <c r="J88" i="7" s="1"/>
  <c r="H86" i="7"/>
  <c r="N4" i="9" l="1"/>
  <c r="O4" i="9" s="1"/>
  <c r="Q4" i="9" s="1"/>
  <c r="O5" i="9"/>
  <c r="Q5" i="9" s="1"/>
  <c r="S5" i="9" s="1"/>
  <c r="E28" i="3"/>
  <c r="E30" i="3" s="1"/>
  <c r="E32" i="3" s="1"/>
  <c r="E7" i="5" s="1"/>
  <c r="E8" i="5" s="1"/>
  <c r="E10" i="5" s="1"/>
  <c r="I86" i="7"/>
  <c r="I17" i="9"/>
  <c r="M6" i="9" s="1"/>
  <c r="N6" i="9" s="1"/>
  <c r="E8" i="9"/>
  <c r="F8" i="9" s="1"/>
  <c r="H88" i="7"/>
  <c r="G7" i="9"/>
  <c r="F18" i="9"/>
  <c r="G18" i="9" s="1"/>
  <c r="H7" i="9"/>
  <c r="J7" i="9" s="1"/>
  <c r="H18" i="9"/>
  <c r="S4" i="9" l="1"/>
  <c r="R4" i="9"/>
  <c r="R5" i="9"/>
  <c r="O6" i="9"/>
  <c r="Q6" i="9" s="1"/>
  <c r="E15" i="5"/>
  <c r="E4" i="6" s="1"/>
  <c r="E7" i="6" s="1"/>
  <c r="I18" i="9"/>
  <c r="M7" i="9" s="1"/>
  <c r="N7" i="9" s="1"/>
  <c r="H19" i="9"/>
  <c r="G8" i="9"/>
  <c r="H8" i="9"/>
  <c r="J8" i="9" s="1"/>
  <c r="F19" i="9"/>
  <c r="G19" i="9" s="1"/>
  <c r="E10" i="9"/>
  <c r="F10" i="9" s="1"/>
  <c r="H10" i="9" s="1"/>
  <c r="J10" i="9" s="1"/>
  <c r="E9" i="9"/>
  <c r="F9" i="9" s="1"/>
  <c r="I88" i="7"/>
  <c r="E14" i="6" l="1"/>
  <c r="E16" i="6" s="1"/>
  <c r="E9" i="6"/>
  <c r="R6" i="9"/>
  <c r="S6" i="9"/>
  <c r="O7" i="9"/>
  <c r="Q7" i="9" s="1"/>
  <c r="I19" i="9"/>
  <c r="M8" i="9" s="1"/>
  <c r="N8" i="9" s="1"/>
  <c r="F21" i="9"/>
  <c r="G21" i="9" s="1"/>
  <c r="G10" i="9"/>
  <c r="H21" i="9"/>
  <c r="F20" i="9"/>
  <c r="G20" i="9" s="1"/>
  <c r="H9" i="9"/>
  <c r="J9" i="9" s="1"/>
  <c r="G9" i="9"/>
  <c r="H20" i="9"/>
  <c r="E12" i="6" l="1"/>
  <c r="E11" i="6"/>
  <c r="S7" i="9"/>
  <c r="R7" i="9"/>
  <c r="O8" i="9"/>
  <c r="Q8" i="9" s="1"/>
  <c r="R8" i="9" s="1"/>
  <c r="I21" i="9"/>
  <c r="I20" i="9"/>
  <c r="M9" i="9" s="1"/>
  <c r="N9" i="9" s="1"/>
  <c r="S8" i="9" l="1"/>
  <c r="O9" i="9"/>
  <c r="Q9" i="9" s="1"/>
  <c r="S9" i="9" s="1"/>
  <c r="M10" i="9"/>
  <c r="N10" i="9" s="1"/>
  <c r="R9" i="9" l="1"/>
  <c r="O10" i="9"/>
  <c r="Q10" i="9" s="1"/>
  <c r="R10" i="9" l="1"/>
  <c r="S1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Crockett, Gloria</author>
    <author>Gorveatt, Chelsey</author>
  </authors>
  <commentList>
    <comment ref="Q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E3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I3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M3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Q3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Est WIP CIS in use in 2026</t>
        </r>
      </text>
    </comment>
    <comment ref="D42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What should these be for 2025 and 2026?</t>
        </r>
      </text>
    </comment>
    <comment ref="L42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What should these be for 2025 and 2026?</t>
        </r>
      </text>
    </comment>
    <comment ref="P42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What should these be for 2025 and 2026?</t>
        </r>
      </text>
    </comment>
    <comment ref="B50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No change to rates. New depreciation study for 2020 to come.</t>
        </r>
      </text>
    </comment>
    <comment ref="B6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Composite rate of Meters &amp; CIS
</t>
        </r>
      </text>
    </comment>
    <comment ref="B7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Gorveatt, Chelsey:</t>
        </r>
        <r>
          <rPr>
            <sz val="9"/>
            <color indexed="81"/>
            <rFont val="Tahoma"/>
            <family val="2"/>
          </rPr>
          <t xml:space="preserve">
No change to rates. New depreciation study for 2020 to come.</t>
        </r>
      </text>
    </comment>
    <comment ref="C7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Accelerated depreciation in 2023 only, to be phased out in 2024.</t>
        </r>
      </text>
    </comment>
    <comment ref="H7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Accelerated CCA fully phased out, 50% CCA in initial year of investment begins in 2028.</t>
        </r>
      </text>
    </comment>
    <comment ref="C7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Accelerated depreciation in 2023 only, to be phased out in 2024.</t>
        </r>
      </text>
    </comment>
    <comment ref="H7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Crockett, Gloria:</t>
        </r>
        <r>
          <rPr>
            <sz val="9"/>
            <color indexed="81"/>
            <rFont val="Tahoma"/>
            <family val="2"/>
          </rPr>
          <t xml:space="preserve">
Accelerated CCA fully phased out, 50% CCA in initial year of investment begins in 2028.</t>
        </r>
      </text>
    </comment>
  </commentList>
</comments>
</file>

<file path=xl/sharedStrings.xml><?xml version="1.0" encoding="utf-8"?>
<sst xmlns="http://schemas.openxmlformats.org/spreadsheetml/2006/main" count="449" uniqueCount="309">
  <si>
    <t>Ref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</si>
  <si>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</si>
  <si>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</si>
  <si>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</si>
  <si>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</si>
  <si>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</si>
  <si>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</si>
  <si>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</si>
  <si>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</si>
  <si>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</si>
  <si>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</si>
  <si>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Depreciation Expense</t>
  </si>
  <si>
    <t>12</t>
  </si>
  <si>
    <t>13</t>
  </si>
  <si>
    <t>14</t>
  </si>
  <si>
    <t>15</t>
  </si>
  <si>
    <t>16</t>
  </si>
  <si>
    <t>Accumulated Depreciation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</si>
  <si>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</si>
  <si>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</si>
  <si>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</si>
  <si>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</si>
  <si>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</si>
  <si>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</si>
  <si>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</si>
  <si>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</si>
  <si>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</si>
  <si>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</si>
  <si>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</si>
  <si>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</si>
  <si>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</si>
  <si>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</si>
  <si>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</si>
  <si>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</si>
  <si>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</si>
  <si>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</si>
  <si>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Future Income Taxes</t>
  </si>
  <si>
    <t>4</t>
  </si>
  <si>
    <t xml:space="preserve">  Debt</t>
  </si>
  <si>
    <t xml:space="preserve">  Common Equity</t>
  </si>
  <si>
    <t xml:space="preserve">  Cost of Debt</t>
  </si>
  <si>
    <t xml:space="preserve">  Cost of Common Equity</t>
  </si>
  <si>
    <t>ref</t>
  </si>
  <si>
    <t>Ending UCC</t>
  </si>
  <si>
    <t>35</t>
  </si>
  <si>
    <t>36</t>
  </si>
  <si>
    <t>37</t>
  </si>
  <si>
    <t>38</t>
  </si>
  <si>
    <t>39</t>
  </si>
  <si>
    <t>40</t>
  </si>
  <si>
    <t>Depreciation</t>
  </si>
  <si>
    <t>Future Tax Rate</t>
  </si>
  <si>
    <t>Add: Depreciation</t>
  </si>
  <si>
    <t>Corporate Tax Rate</t>
  </si>
  <si>
    <t>Capital Cost Allowance</t>
  </si>
  <si>
    <t>Difference CCA/Depreciation</t>
  </si>
  <si>
    <t>Income Taxes</t>
  </si>
  <si>
    <t>Return on Rate Base</t>
  </si>
  <si>
    <t>Customer Contributions</t>
  </si>
  <si>
    <t>Depreciation Expense - Contributions</t>
  </si>
  <si>
    <t xml:space="preserve">  Amortization of Customer Contributions</t>
  </si>
  <si>
    <t>Return on Debt</t>
  </si>
  <si>
    <t>Return on Common Equity</t>
  </si>
  <si>
    <t>Equity Return (grossed up)</t>
  </si>
  <si>
    <t>Debt Return</t>
  </si>
  <si>
    <t>WA Cost of Debt</t>
  </si>
  <si>
    <t>WA Cost of Common Equity</t>
  </si>
  <si>
    <t xml:space="preserve">  Depreciation Rate (Note 2)</t>
  </si>
  <si>
    <t>Capital Investment</t>
  </si>
  <si>
    <t xml:space="preserve">  Capital Investment</t>
  </si>
  <si>
    <t xml:space="preserve">  Costs of Removal (Note 3)</t>
  </si>
  <si>
    <t>Total Project Revenue Requirement</t>
  </si>
  <si>
    <t xml:space="preserve">  Total Return On Rate Base</t>
  </si>
  <si>
    <t>Less: CCA</t>
  </si>
  <si>
    <t>Net Book Value, Capital Investment</t>
  </si>
  <si>
    <t>Total Income Tax Expense</t>
  </si>
  <si>
    <t>Return on Equity</t>
  </si>
  <si>
    <t>Income Taxes (000s)</t>
  </si>
  <si>
    <t>Project Rate Impact</t>
  </si>
  <si>
    <t>Income Tax Effects of Increased Return</t>
  </si>
  <si>
    <t>Rate Base &amp; Cost of Capital (000s)</t>
  </si>
  <si>
    <t xml:space="preserve">  Plant Investment for Depreciation</t>
  </si>
  <si>
    <t>Annual</t>
  </si>
  <si>
    <t xml:space="preserve">  Annual Contributions</t>
  </si>
  <si>
    <t xml:space="preserve">  Total Capital Investment</t>
  </si>
  <si>
    <t xml:space="preserve"> Total Change in Accumulated Depreciation</t>
  </si>
  <si>
    <t>Depreciation (000s)</t>
  </si>
  <si>
    <t xml:space="preserve">  Projected Rate Base</t>
  </si>
  <si>
    <t>C = A + B</t>
  </si>
  <si>
    <t>D</t>
  </si>
  <si>
    <t>E = C X D</t>
  </si>
  <si>
    <t>A</t>
  </si>
  <si>
    <t>F</t>
  </si>
  <si>
    <t>G = A + F</t>
  </si>
  <si>
    <t>K</t>
  </si>
  <si>
    <t>B</t>
  </si>
  <si>
    <t>C</t>
  </si>
  <si>
    <t>F = C - E</t>
  </si>
  <si>
    <t>G</t>
  </si>
  <si>
    <t>H = F X G</t>
  </si>
  <si>
    <t>H</t>
  </si>
  <si>
    <t>I</t>
  </si>
  <si>
    <t>J</t>
  </si>
  <si>
    <t>L</t>
  </si>
  <si>
    <t>M</t>
  </si>
  <si>
    <t>L = J + K</t>
  </si>
  <si>
    <t>C = A / B</t>
  </si>
  <si>
    <t>D = 650 kWh X C X 12 months</t>
  </si>
  <si>
    <t>G = 10,000 kWh X C X 12 months</t>
  </si>
  <si>
    <t>H = G / K</t>
  </si>
  <si>
    <t>E = D / I</t>
  </si>
  <si>
    <t>F = D / J</t>
  </si>
  <si>
    <t>Reference</t>
  </si>
  <si>
    <t>Note 3:  Costs of Removal are estimated to be 17% of total capital investment and costs of removal based on average for 2018-2020.</t>
  </si>
  <si>
    <t>Weighted Average Cost of Capital ("WACC")</t>
  </si>
  <si>
    <t>Forecast Increase Per kWh Project Rate Impact</t>
  </si>
  <si>
    <t>Net Book Value (NBV) - Customer Contributions</t>
  </si>
  <si>
    <t>Net Book Value, Contributions</t>
  </si>
  <si>
    <t>D = A + B + C</t>
  </si>
  <si>
    <t>F = D X O</t>
  </si>
  <si>
    <t>G = D X P</t>
  </si>
  <si>
    <t>H = F + G</t>
  </si>
  <si>
    <t>N</t>
  </si>
  <si>
    <t>O = I X K X M/ N</t>
  </si>
  <si>
    <t>P = J X L X M/ N</t>
  </si>
  <si>
    <t>R</t>
  </si>
  <si>
    <t>Q = O + P</t>
  </si>
  <si>
    <t xml:space="preserve">  Estimated Annual Project Revenue Requirement </t>
  </si>
  <si>
    <t>E = D / R</t>
  </si>
  <si>
    <t>Forecast 2023 WACC</t>
  </si>
  <si>
    <t>Forecast 2023 Average Capitalization (Total Debt plus Common Equity)</t>
  </si>
  <si>
    <t>* 2023 revenue requirement per Table 6-6 of the GRA is $249,256.</t>
  </si>
  <si>
    <t xml:space="preserve">Forecast 2023 Revenue Requirement* </t>
  </si>
  <si>
    <t>Forecast Increase Annual Cost Benchmark Residential Customer (650 kWh per month) before tax</t>
  </si>
  <si>
    <t>Forecast Increase Annual Cost Benchmark General Service Customer (10,000 kWh per month) before tax</t>
  </si>
  <si>
    <t>Forecast 2023 Average Rate Base*</t>
  </si>
  <si>
    <t>* Per Table 6-2 of GRA filed on June 20, 2022.</t>
  </si>
  <si>
    <t>Estimated Impact on Rate Base, Revenue Requirement and Customer Rates</t>
  </si>
  <si>
    <t>Maritime Electric Financial Forecast</t>
  </si>
  <si>
    <t>Balance</t>
  </si>
  <si>
    <t>ASSET CLASS</t>
  </si>
  <si>
    <t>Additions</t>
  </si>
  <si>
    <t>WIP</t>
  </si>
  <si>
    <t>Retirement</t>
  </si>
  <si>
    <t>Production - CTGS</t>
  </si>
  <si>
    <t>Production - BGS GENERATORS</t>
  </si>
  <si>
    <t>Production - CT3 GENERATOR</t>
  </si>
  <si>
    <t>ECC</t>
  </si>
  <si>
    <t>Transmission Plant</t>
  </si>
  <si>
    <t>Transportation</t>
  </si>
  <si>
    <t>General Property</t>
  </si>
  <si>
    <t>Non Depreciable Assets</t>
  </si>
  <si>
    <t>Contributions</t>
  </si>
  <si>
    <t>check</t>
  </si>
  <si>
    <t>DEPRECIATION</t>
  </si>
  <si>
    <t>Rate</t>
  </si>
  <si>
    <t>Net Depreciation</t>
  </si>
  <si>
    <t>Composite Rate</t>
  </si>
  <si>
    <t xml:space="preserve">  2030 Depreciation Expense - first full year of depreciation</t>
  </si>
  <si>
    <t>ACCUMILATED DEPRECIATION 2023-2030</t>
  </si>
  <si>
    <t>CCA Deductions 2023-2030</t>
  </si>
  <si>
    <t xml:space="preserve"> Accumulated Depreciation, December 31, 2030</t>
  </si>
  <si>
    <t>Forecast 2030 kWh Sales *</t>
  </si>
  <si>
    <t>* Forecast 2025 kWh GRA sales forecast plus 1.64% average annual growth to 2030 per load forecast.</t>
  </si>
  <si>
    <t>2030 Annual Project Revenue Requirement (000s)</t>
  </si>
  <si>
    <t>% Increase over 2023 Forecast Revenue Requirement</t>
  </si>
  <si>
    <t>Total 2030 Depreciation Expense (Net of Contributions)</t>
  </si>
  <si>
    <t>Future Income Tax Expense</t>
  </si>
  <si>
    <t>Future Income Tax Liability</t>
  </si>
  <si>
    <t>Income Tax Expense</t>
  </si>
  <si>
    <t>Current Income Tax Expense</t>
  </si>
  <si>
    <t>% Increase over 2023 Forecast Annual Cost for Rural Residential Customer</t>
  </si>
  <si>
    <t>% Increase over 2023 Forecast Annual Cost for Urban Residential Customer</t>
  </si>
  <si>
    <t>% Increase over 2023 Forecast Annual Cost for General Service Customer</t>
  </si>
  <si>
    <t>Update to Table 5 of OATT Application to Include Bedeque Assets</t>
  </si>
  <si>
    <t>Services</t>
  </si>
  <si>
    <t>Schedule in OATT</t>
  </si>
  <si>
    <t>Scheduling, System Control and Dispatch</t>
  </si>
  <si>
    <t>Appendix F</t>
  </si>
  <si>
    <t>Appendix H</t>
  </si>
  <si>
    <t>3(a)</t>
  </si>
  <si>
    <t>NB OATT</t>
  </si>
  <si>
    <t>3(b)</t>
  </si>
  <si>
    <t>3(c)</t>
  </si>
  <si>
    <t>$0.44/MWh</t>
  </si>
  <si>
    <t>Energy Imbalance</t>
  </si>
  <si>
    <t>Section 6.3</t>
  </si>
  <si>
    <t>n/a</t>
  </si>
  <si>
    <t>6(a)</t>
  </si>
  <si>
    <t>6(b)</t>
  </si>
  <si>
    <t>Point-to-Point Transmission Service</t>
  </si>
  <si>
    <t>7 and 8</t>
  </si>
  <si>
    <t>Appendix D</t>
  </si>
  <si>
    <t>Non-Capital Support Charge Rate</t>
  </si>
  <si>
    <t>Section 8.0</t>
  </si>
  <si>
    <t>Residual Uplift</t>
  </si>
  <si>
    <t>Network Transmission Service</t>
  </si>
  <si>
    <t>Att. H</t>
  </si>
  <si>
    <t>Appendix E</t>
  </si>
  <si>
    <t>Approved Rates ($/MW-month) per UE22-04</t>
  </si>
  <si>
    <t>Reactive Supply and Voltage Control from Generation Sources</t>
  </si>
  <si>
    <t>Regulation (Automatic Generation Control) *</t>
  </si>
  <si>
    <t>Load Following *</t>
  </si>
  <si>
    <t>AGC and Load Following for Non-Dispatchable Wind *</t>
  </si>
  <si>
    <t>Operating Reserve – Supplemental (10 minute) *</t>
  </si>
  <si>
    <t>Operating Reserve – Supplemental (30 minute) *</t>
  </si>
  <si>
    <t>Operating Reserve – Spinning *</t>
  </si>
  <si>
    <t>* These rates are taken directly from the NB Power OATT, effective January 1, 2019, and are shown for reference.</t>
  </si>
  <si>
    <t>Total Rate Impact for Services in Maritime Electric’s Open Access Transmission Tariff</t>
  </si>
  <si>
    <t>Accumulated Depreciation, December 31, 2030</t>
  </si>
  <si>
    <t>Difference between accounting depreciation &amp; CCA</t>
  </si>
  <si>
    <t>Cumulative difference between accounting depreciation &amp; CCA</t>
  </si>
  <si>
    <t>Annual Statutory Tax Rate</t>
  </si>
  <si>
    <t>Future Tax Liability</t>
  </si>
  <si>
    <t>2022 Forecast Year End Rate Base *</t>
  </si>
  <si>
    <t>Total % Increase from 2022 Forecast Year End Rate Base</t>
  </si>
  <si>
    <t xml:space="preserve"> 2022 Annual Cost Benchmark Rural Residential Customer (650 kWh per month) excluding tax per Table 7-4 of GRA filed with the Commission on June 20, 2022.</t>
  </si>
  <si>
    <t xml:space="preserve"> 2022 Annual Cost Benchmark Rural Residential Customer (650 kWh per month) excluding tax per Table 7-5 of GRA filed with the Commission on June 20, 2022.</t>
  </si>
  <si>
    <t>2022 Annual Cost Benchmark General Service Customer (10,000 kWh per month) excluding tax  per Table 7-6 of GRA filed with the Commission on June 20, 2022.</t>
  </si>
  <si>
    <t>Taxable Income Estimate</t>
  </si>
  <si>
    <t>Year</t>
  </si>
  <si>
    <t>2030 OATT Rates Adjusted to Reflect 2022 - 2029 Investments in Bedeque</t>
  </si>
  <si>
    <t>2027 OATT Rates Adjusted to Reflect 2022 - 2026 Investments in Bedeque</t>
  </si>
  <si>
    <t>Total % Change</t>
  </si>
  <si>
    <t xml:space="preserve">  Depreciation Rate</t>
  </si>
  <si>
    <t>** GRA Forecast 2023 - 2025 kWh GRA sales forecast plus 1.64% average annual growth from 2026 to 2030 per load forecast.</t>
  </si>
  <si>
    <t>Operating Expenses</t>
  </si>
  <si>
    <t>CIS</t>
  </si>
  <si>
    <t>Meters CCA - Class 47</t>
  </si>
  <si>
    <t>CIS CCA - Class 47</t>
  </si>
  <si>
    <t xml:space="preserve">B </t>
  </si>
  <si>
    <t>H = A / (1-1%) X 1%</t>
  </si>
  <si>
    <t>Contributions - Meters</t>
  </si>
  <si>
    <t>Contributions - CIS</t>
  </si>
  <si>
    <t>TOTAL CCA</t>
  </si>
  <si>
    <t>Less:  Contributions</t>
  </si>
  <si>
    <t>D = A - B - C</t>
  </si>
  <si>
    <t>Total Change in Revenue Requirement Allocated to MECL</t>
  </si>
  <si>
    <t>A = $53,495</t>
  </si>
  <si>
    <t>Note 1:  Proposed retirements of existing RF meters and CIS sytem</t>
  </si>
  <si>
    <t>Note 2:  Composite depreciation rate for meters and CIS per 2020 Depreciation Study as proposed in GRA.</t>
  </si>
  <si>
    <t>* Estimated cost of removal is included in installation costs of AMI meters and is expected to be negligable for CIS.</t>
  </si>
  <si>
    <t>Annual Investment (Net of Contributions)
A</t>
  </si>
  <si>
    <t>Cost of Removal *
B</t>
  </si>
  <si>
    <t>NBV
C</t>
  </si>
  <si>
    <t>Future Tax Liability
D</t>
  </si>
  <si>
    <t>Increase over 2022 Forecast Year End Rate Base
F***</t>
  </si>
  <si>
    <t>*** F = E/(R from 2030 Rate Base &amp; Cost Capital Tab) /1000</t>
  </si>
  <si>
    <t>***** G = E X (Q from 2030 Rate Base &amp; Cost Capital Tab)</t>
  </si>
  <si>
    <t xml:space="preserve">Meters </t>
  </si>
  <si>
    <t xml:space="preserve">  Capital Additions for 2023-2030</t>
  </si>
  <si>
    <r>
      <t xml:space="preserve">  Retirements 2023-2030 (</t>
    </r>
    <r>
      <rPr>
        <sz val="10"/>
        <rFont val="Arial"/>
        <family val="2"/>
      </rPr>
      <t>Note 1</t>
    </r>
    <r>
      <rPr>
        <sz val="10"/>
        <color theme="1"/>
        <rFont val="Arial"/>
        <family val="2"/>
      </rPr>
      <t>)</t>
    </r>
  </si>
  <si>
    <t xml:space="preserve">  Less: Customer Contributions per Annual Depreciation - Appendix B</t>
  </si>
  <si>
    <t>TOTALS</t>
  </si>
  <si>
    <t xml:space="preserve">  Customer Contributions per Annual Depreciation - Appendix B</t>
  </si>
  <si>
    <t>Net Book Value (NBV) - Capital Investment</t>
  </si>
  <si>
    <t>I = H from Appendix E</t>
  </si>
  <si>
    <t>J = 
G from Appendix E / (1-G)</t>
  </si>
  <si>
    <t>K = F from Appendix E</t>
  </si>
  <si>
    <t>P = O X G</t>
  </si>
  <si>
    <t>O = L + M + N</t>
  </si>
  <si>
    <t>Q = (-M - N)* G</t>
  </si>
  <si>
    <t>R = P + Q</t>
  </si>
  <si>
    <t>C = H  from Appendix D</t>
  </si>
  <si>
    <t>C 
= F from Appendix E</t>
  </si>
  <si>
    <t>D
 = G from Appendix E</t>
  </si>
  <si>
    <t>E 
= R from Appendix D</t>
  </si>
  <si>
    <t>F = A + B + C + D + E</t>
  </si>
  <si>
    <t>G = F / H</t>
  </si>
  <si>
    <t>100% = F</t>
  </si>
  <si>
    <t>A = F from Appendix F X 1000</t>
  </si>
  <si>
    <t>Class</t>
  </si>
  <si>
    <t>TOTAL DEPRECIATION</t>
  </si>
  <si>
    <t>NBV, DECEMBER 31</t>
  </si>
  <si>
    <t>UCC, DECEMBER 31, 2030</t>
  </si>
  <si>
    <t>Depreciation and CCA</t>
  </si>
  <si>
    <t>Total Rate Base (NBV - Future Tax Liability</t>
  </si>
  <si>
    <t>Total</t>
  </si>
  <si>
    <t>CCA</t>
  </si>
  <si>
    <t>Asset</t>
  </si>
  <si>
    <t>Increase in Average Rate Base
C+D=
E</t>
  </si>
  <si>
    <t>Allocation to IDC
H</t>
  </si>
  <si>
    <t>Return on Rate Base Before IDC ($)
G****</t>
  </si>
  <si>
    <t>Annual Depreciation
J</t>
  </si>
  <si>
    <t>Operating Expenses
K</t>
  </si>
  <si>
    <t>Annual Tax Expense
U x 31%=
L</t>
  </si>
  <si>
    <t>Forecast Sales (kWh) **
O</t>
  </si>
  <si>
    <t>Equity Return
S</t>
  </si>
  <si>
    <t>Equity Return Grossed-up for Tax
T</t>
  </si>
  <si>
    <t>Debt Return
U</t>
  </si>
  <si>
    <t>Taxable Income
V</t>
  </si>
  <si>
    <t>Net Return on Rate Base 
G + H =
I</t>
  </si>
  <si>
    <t>Annual Revenue Requirement
I+J+K+L=
M</t>
  </si>
  <si>
    <t>100% to MECL Customers
M =
N</t>
  </si>
  <si>
    <t>Cost per kWh
N/O=
P</t>
  </si>
  <si>
    <t>Annual Cost - Residential using 650 kWh per month
P x 650 x 12 =
Q</t>
  </si>
  <si>
    <t>Annual Cost - GS using 10,000 kWh per month
P x 10,000 x 12
=
R</t>
  </si>
  <si>
    <t>J = H + I</t>
  </si>
  <si>
    <t>K = C - J</t>
  </si>
  <si>
    <t>M = F X L</t>
  </si>
  <si>
    <t>O = F - N</t>
  </si>
  <si>
    <t>P = E + M</t>
  </si>
  <si>
    <t>E = 
I - N From Appendix C</t>
  </si>
  <si>
    <t>M = P from Appendix C</t>
  </si>
  <si>
    <t>N = 2030 CCA from Appendix B</t>
  </si>
  <si>
    <t>A = K from Appendix C</t>
  </si>
  <si>
    <t>B = O from Appendix C</t>
  </si>
  <si>
    <t>A 
= P from Appendix C</t>
  </si>
  <si>
    <t>B 
= Column K - Year 2030 from Appendix A 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</si>
</sst>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0.0%"/>
    <numFmt numFmtId="168" formatCode="_-* #,##0_-;\-* #,##0_-;_-* &quot;-&quot;??_-;_-@_-"/>
    <numFmt numFmtId="169" formatCode="[$-409]mmm\-yy;@"/>
    <numFmt numFmtId="170" formatCode="#,##0;\(#,##0\)"/>
    <numFmt numFmtId="171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Accounting"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 val="singleAccounting"/>
      <sz val="8"/>
      <name val="Arial"/>
      <family val="2"/>
    </font>
    <font>
      <b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8"/>
      <color indexed="8"/>
      <name val="Arial"/>
      <family val="2"/>
    </font>
    <font>
      <b/>
      <sz val="8"/>
      <color rgb="FFFF0000"/>
      <name val="Arial"/>
      <family val="2"/>
    </font>
    <font>
      <b/>
      <u val="doubleAccounting"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u val="doubleAccounting"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 applyNumberFormat="0" applyFill="0" applyBorder="0" applyAlignment="0" applyProtection="0">
      <alignment vertical="top"/>
      <protection locked="0"/>
    </xf>
  </cellStyleXfs>
  <cellXfs count="343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2" fillId="0" borderId="0" xfId="2" applyNumberFormat="1" applyFont="1"/>
    <xf numFmtId="0" fontId="2" fillId="0" borderId="0" xfId="0" applyFont="1" applyFill="1" applyAlignment="1">
      <alignment horizontal="center"/>
    </xf>
    <xf numFmtId="0" fontId="5" fillId="0" borderId="0" xfId="0" applyFont="1"/>
    <xf numFmtId="43" fontId="0" fillId="0" borderId="0" xfId="0" applyNumberFormat="1"/>
    <xf numFmtId="164" fontId="0" fillId="0" borderId="0" xfId="0" applyNumberFormat="1"/>
    <xf numFmtId="0" fontId="0" fillId="0" borderId="0" xfId="0" applyFill="1"/>
    <xf numFmtId="0" fontId="7" fillId="0" borderId="0" xfId="0" applyFont="1"/>
    <xf numFmtId="0" fontId="6" fillId="0" borderId="0" xfId="0" applyFont="1"/>
    <xf numFmtId="0" fontId="7" fillId="0" borderId="4" xfId="0" applyFont="1" applyBorder="1"/>
    <xf numFmtId="0" fontId="7" fillId="0" borderId="3" xfId="0" applyFont="1" applyBorder="1"/>
    <xf numFmtId="165" fontId="9" fillId="0" borderId="4" xfId="3" applyNumberFormat="1" applyFont="1" applyBorder="1" applyAlignment="1">
      <alignment horizontal="left"/>
    </xf>
    <xf numFmtId="164" fontId="9" fillId="0" borderId="4" xfId="1" applyNumberFormat="1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13" fillId="0" borderId="3" xfId="0" applyFont="1" applyBorder="1"/>
    <xf numFmtId="0" fontId="15" fillId="0" borderId="3" xfId="0" applyFont="1" applyBorder="1"/>
    <xf numFmtId="0" fontId="6" fillId="0" borderId="5" xfId="0" applyFont="1" applyBorder="1"/>
    <xf numFmtId="0" fontId="6" fillId="0" borderId="7" xfId="0" applyFont="1" applyBorder="1"/>
    <xf numFmtId="0" fontId="7" fillId="3" borderId="4" xfId="0" applyFont="1" applyFill="1" applyBorder="1"/>
    <xf numFmtId="0" fontId="13" fillId="2" borderId="3" xfId="0" applyFont="1" applyFill="1" applyBorder="1"/>
    <xf numFmtId="0" fontId="7" fillId="2" borderId="4" xfId="0" applyFont="1" applyFill="1" applyBorder="1"/>
    <xf numFmtId="0" fontId="7" fillId="3" borderId="3" xfId="0" applyFont="1" applyFill="1" applyBorder="1"/>
    <xf numFmtId="164" fontId="9" fillId="3" borderId="4" xfId="1" applyNumberFormat="1" applyFont="1" applyFill="1" applyBorder="1" applyAlignment="1">
      <alignment horizontal="left"/>
    </xf>
    <xf numFmtId="164" fontId="11" fillId="3" borderId="4" xfId="1" applyNumberFormat="1" applyFont="1" applyFill="1" applyBorder="1" applyAlignment="1">
      <alignment horizontal="left"/>
    </xf>
    <xf numFmtId="165" fontId="9" fillId="3" borderId="4" xfId="3" applyNumberFormat="1" applyFont="1" applyFill="1" applyBorder="1" applyAlignment="1">
      <alignment horizontal="left"/>
    </xf>
    <xf numFmtId="10" fontId="12" fillId="3" borderId="4" xfId="2" applyNumberFormat="1" applyFont="1" applyFill="1" applyBorder="1" applyAlignment="1">
      <alignment horizontal="right"/>
    </xf>
    <xf numFmtId="0" fontId="6" fillId="3" borderId="3" xfId="0" applyFont="1" applyFill="1" applyBorder="1"/>
    <xf numFmtId="0" fontId="6" fillId="3" borderId="4" xfId="0" applyFont="1" applyFill="1" applyBorder="1"/>
    <xf numFmtId="0" fontId="6" fillId="2" borderId="4" xfId="0" applyFont="1" applyFill="1" applyBorder="1"/>
    <xf numFmtId="165" fontId="14" fillId="2" borderId="4" xfId="3" applyNumberFormat="1" applyFont="1" applyFill="1" applyBorder="1" applyAlignment="1">
      <alignment horizontal="left"/>
    </xf>
    <xf numFmtId="165" fontId="7" fillId="0" borderId="4" xfId="3" applyNumberFormat="1" applyFont="1" applyBorder="1"/>
    <xf numFmtId="164" fontId="16" fillId="0" borderId="4" xfId="1" applyNumberFormat="1" applyFont="1" applyBorder="1"/>
    <xf numFmtId="164" fontId="7" fillId="0" borderId="4" xfId="1" applyNumberFormat="1" applyFont="1" applyBorder="1"/>
    <xf numFmtId="164" fontId="16" fillId="0" borderId="4" xfId="0" applyNumberFormat="1" applyFont="1" applyBorder="1"/>
    <xf numFmtId="164" fontId="7" fillId="0" borderId="4" xfId="0" applyNumberFormat="1" applyFont="1" applyBorder="1"/>
    <xf numFmtId="10" fontId="17" fillId="3" borderId="4" xfId="2" applyNumberFormat="1" applyFont="1" applyFill="1" applyBorder="1"/>
    <xf numFmtId="164" fontId="16" fillId="0" borderId="4" xfId="1" applyNumberFormat="1" applyFont="1" applyFill="1" applyBorder="1"/>
    <xf numFmtId="165" fontId="13" fillId="0" borderId="4" xfId="3" applyNumberFormat="1" applyFont="1" applyBorder="1"/>
    <xf numFmtId="10" fontId="13" fillId="2" borderId="4" xfId="2" applyNumberFormat="1" applyFont="1" applyFill="1" applyBorder="1"/>
    <xf numFmtId="0" fontId="7" fillId="0" borderId="3" xfId="0" applyFont="1" applyFill="1" applyBorder="1"/>
    <xf numFmtId="10" fontId="7" fillId="0" borderId="4" xfId="2" applyNumberFormat="1" applyFont="1" applyBorder="1"/>
    <xf numFmtId="10" fontId="17" fillId="0" borderId="4" xfId="2" applyNumberFormat="1" applyFont="1" applyBorder="1"/>
    <xf numFmtId="0" fontId="7" fillId="0" borderId="5" xfId="0" applyFont="1" applyBorder="1"/>
    <xf numFmtId="164" fontId="7" fillId="0" borderId="4" xfId="1" applyNumberFormat="1" applyFont="1" applyFill="1" applyBorder="1"/>
    <xf numFmtId="0" fontId="7" fillId="0" borderId="7" xfId="0" applyFont="1" applyBorder="1"/>
    <xf numFmtId="0" fontId="7" fillId="0" borderId="0" xfId="0" quotePrefix="1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wrapText="1"/>
    </xf>
    <xf numFmtId="44" fontId="7" fillId="0" borderId="4" xfId="3" applyNumberFormat="1" applyFont="1" applyBorder="1"/>
    <xf numFmtId="10" fontId="7" fillId="0" borderId="0" xfId="2" applyNumberFormat="1" applyFont="1"/>
    <xf numFmtId="165" fontId="13" fillId="2" borderId="4" xfId="3" applyNumberFormat="1" applyFont="1" applyFill="1" applyBorder="1"/>
    <xf numFmtId="0" fontId="13" fillId="2" borderId="3" xfId="0" applyFont="1" applyFill="1" applyBorder="1" applyAlignment="1">
      <alignment wrapText="1"/>
    </xf>
    <xf numFmtId="44" fontId="13" fillId="2" borderId="4" xfId="3" applyNumberFormat="1" applyFont="1" applyFill="1" applyBorder="1"/>
    <xf numFmtId="0" fontId="13" fillId="4" borderId="1" xfId="0" applyFont="1" applyFill="1" applyBorder="1" applyAlignment="1">
      <alignment vertical="center"/>
    </xf>
    <xf numFmtId="0" fontId="13" fillId="4" borderId="2" xfId="0" quotePrefix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44" fontId="7" fillId="0" borderId="4" xfId="3" applyFont="1" applyBorder="1"/>
    <xf numFmtId="10" fontId="7" fillId="3" borderId="4" xfId="2" applyNumberFormat="1" applyFont="1" applyFill="1" applyBorder="1"/>
    <xf numFmtId="0" fontId="19" fillId="0" borderId="0" xfId="0" applyFont="1"/>
    <xf numFmtId="10" fontId="13" fillId="0" borderId="4" xfId="2" applyNumberFormat="1" applyFont="1" applyBorder="1"/>
    <xf numFmtId="0" fontId="7" fillId="0" borderId="6" xfId="0" applyFont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1" applyFont="1"/>
    <xf numFmtId="0" fontId="20" fillId="0" borderId="3" xfId="0" applyFont="1" applyBorder="1"/>
    <xf numFmtId="0" fontId="21" fillId="2" borderId="3" xfId="0" applyFont="1" applyFill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65" fontId="13" fillId="2" borderId="7" xfId="3" applyNumberFormat="1" applyFont="1" applyFill="1" applyBorder="1"/>
    <xf numFmtId="165" fontId="7" fillId="0" borderId="7" xfId="3" applyNumberFormat="1" applyFont="1" applyBorder="1"/>
    <xf numFmtId="0" fontId="7" fillId="3" borderId="6" xfId="0" applyFont="1" applyFill="1" applyBorder="1" applyAlignment="1">
      <alignment horizontal="center"/>
    </xf>
    <xf numFmtId="165" fontId="14" fillId="3" borderId="7" xfId="3" applyNumberFormat="1" applyFont="1" applyFill="1" applyBorder="1" applyAlignment="1">
      <alignment horizontal="left"/>
    </xf>
    <xf numFmtId="164" fontId="2" fillId="0" borderId="7" xfId="1" applyNumberFormat="1" applyFont="1" applyBorder="1"/>
    <xf numFmtId="0" fontId="15" fillId="0" borderId="1" xfId="0" applyFont="1" applyBorder="1"/>
    <xf numFmtId="0" fontId="15" fillId="0" borderId="8" xfId="0" applyFont="1" applyBorder="1" applyAlignment="1">
      <alignment horizontal="center"/>
    </xf>
    <xf numFmtId="164" fontId="18" fillId="0" borderId="2" xfId="1" applyNumberFormat="1" applyFont="1" applyBorder="1" applyAlignment="1">
      <alignment horizontal="left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7" fillId="0" borderId="2" xfId="0" applyFont="1" applyBorder="1"/>
    <xf numFmtId="166" fontId="13" fillId="2" borderId="4" xfId="3" applyNumberFormat="1" applyFont="1" applyFill="1" applyBorder="1"/>
    <xf numFmtId="164" fontId="9" fillId="0" borderId="4" xfId="1" applyNumberFormat="1" applyFont="1" applyFill="1" applyBorder="1" applyAlignment="1">
      <alignment horizontal="left"/>
    </xf>
    <xf numFmtId="0" fontId="13" fillId="0" borderId="3" xfId="0" applyFont="1" applyFill="1" applyBorder="1"/>
    <xf numFmtId="0" fontId="13" fillId="0" borderId="0" xfId="0" applyFont="1" applyFill="1" applyBorder="1" applyAlignment="1">
      <alignment horizontal="center"/>
    </xf>
    <xf numFmtId="165" fontId="14" fillId="0" borderId="4" xfId="3" applyNumberFormat="1" applyFont="1" applyFill="1" applyBorder="1" applyAlignment="1">
      <alignment horizontal="left"/>
    </xf>
    <xf numFmtId="167" fontId="7" fillId="3" borderId="4" xfId="2" applyNumberFormat="1" applyFont="1" applyFill="1" applyBorder="1"/>
    <xf numFmtId="0" fontId="13" fillId="0" borderId="3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4" fontId="13" fillId="0" borderId="4" xfId="3" applyNumberFormat="1" applyFont="1" applyFill="1" applyBorder="1"/>
    <xf numFmtId="0" fontId="15" fillId="2" borderId="5" xfId="0" applyFont="1" applyFill="1" applyBorder="1"/>
    <xf numFmtId="0" fontId="15" fillId="0" borderId="1" xfId="0" applyFont="1" applyFill="1" applyBorder="1"/>
    <xf numFmtId="0" fontId="15" fillId="0" borderId="5" xfId="0" applyFont="1" applyBorder="1"/>
    <xf numFmtId="0" fontId="15" fillId="0" borderId="6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68" fontId="25" fillId="0" borderId="0" xfId="1" applyNumberFormat="1" applyFont="1" applyFill="1" applyBorder="1" applyAlignment="1">
      <alignment horizontal="left"/>
    </xf>
    <xf numFmtId="169" fontId="26" fillId="0" borderId="0" xfId="4" applyBorder="1" applyAlignment="1" applyProtection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10" fontId="27" fillId="0" borderId="0" xfId="2" applyNumberFormat="1" applyFont="1"/>
    <xf numFmtId="0" fontId="27" fillId="0" borderId="0" xfId="0" applyFont="1"/>
    <xf numFmtId="168" fontId="27" fillId="0" borderId="0" xfId="1" applyNumberFormat="1" applyFont="1" applyFill="1"/>
    <xf numFmtId="0" fontId="27" fillId="0" borderId="0" xfId="0" applyFont="1" applyFill="1"/>
    <xf numFmtId="0" fontId="24" fillId="0" borderId="0" xfId="0" applyFont="1" applyAlignment="1" applyProtection="1">
      <alignment horizontal="left"/>
      <protection locked="0"/>
    </xf>
    <xf numFmtId="170" fontId="27" fillId="0" borderId="4" xfId="0" applyNumberFormat="1" applyFont="1" applyBorder="1"/>
    <xf numFmtId="170" fontId="27" fillId="0" borderId="3" xfId="0" applyNumberFormat="1" applyFont="1" applyBorder="1"/>
    <xf numFmtId="170" fontId="27" fillId="0" borderId="0" xfId="0" applyNumberFormat="1" applyFont="1" applyBorder="1"/>
    <xf numFmtId="0" fontId="25" fillId="0" borderId="0" xfId="0" applyFont="1" applyFill="1" applyAlignment="1" applyProtection="1">
      <alignment horizontal="left"/>
      <protection locked="0"/>
    </xf>
    <xf numFmtId="41" fontId="27" fillId="0" borderId="4" xfId="0" applyNumberFormat="1" applyFont="1" applyBorder="1"/>
    <xf numFmtId="168" fontId="27" fillId="0" borderId="3" xfId="1" applyNumberFormat="1" applyFont="1" applyFill="1" applyBorder="1" applyProtection="1">
      <protection locked="0"/>
    </xf>
    <xf numFmtId="41" fontId="27" fillId="0" borderId="0" xfId="1" applyNumberFormat="1" applyFont="1" applyFill="1" applyBorder="1" applyProtection="1">
      <protection locked="0"/>
    </xf>
    <xf numFmtId="41" fontId="27" fillId="0" borderId="0" xfId="1" applyNumberFormat="1" applyFont="1" applyBorder="1" applyProtection="1">
      <protection locked="0"/>
    </xf>
    <xf numFmtId="164" fontId="27" fillId="0" borderId="0" xfId="1" applyNumberFormat="1" applyFont="1" applyBorder="1" applyProtection="1">
      <protection locked="0"/>
    </xf>
    <xf numFmtId="0" fontId="27" fillId="0" borderId="0" xfId="0" applyFont="1" applyBorder="1"/>
    <xf numFmtId="41" fontId="28" fillId="0" borderId="0" xfId="1" applyNumberFormat="1" applyFont="1" applyBorder="1" applyProtection="1">
      <protection locked="0"/>
    </xf>
    <xf numFmtId="168" fontId="27" fillId="0" borderId="3" xfId="1" applyNumberFormat="1" applyFont="1" applyBorder="1" applyProtection="1">
      <protection locked="0"/>
    </xf>
    <xf numFmtId="41" fontId="29" fillId="0" borderId="4" xfId="0" applyNumberFormat="1" applyFont="1" applyBorder="1"/>
    <xf numFmtId="41" fontId="29" fillId="0" borderId="3" xfId="1" applyNumberFormat="1" applyFont="1" applyBorder="1" applyProtection="1">
      <protection locked="0"/>
    </xf>
    <xf numFmtId="41" fontId="29" fillId="0" borderId="0" xfId="1" applyNumberFormat="1" applyFont="1" applyBorder="1" applyProtection="1">
      <protection locked="0"/>
    </xf>
    <xf numFmtId="41" fontId="27" fillId="0" borderId="4" xfId="0" applyNumberFormat="1" applyFont="1" applyFill="1" applyBorder="1"/>
    <xf numFmtId="41" fontId="27" fillId="0" borderId="3" xfId="0" applyNumberFormat="1" applyFont="1" applyFill="1" applyBorder="1" applyProtection="1">
      <protection locked="0"/>
    </xf>
    <xf numFmtId="41" fontId="27" fillId="0" borderId="3" xfId="0" applyNumberFormat="1" applyFont="1" applyBorder="1" applyProtection="1">
      <protection locked="0"/>
    </xf>
    <xf numFmtId="41" fontId="27" fillId="0" borderId="0" xfId="0" applyNumberFormat="1" applyFont="1" applyBorder="1"/>
    <xf numFmtId="41" fontId="27" fillId="0" borderId="0" xfId="0" applyNumberFormat="1" applyFont="1" applyFill="1" applyBorder="1"/>
    <xf numFmtId="41" fontId="27" fillId="0" borderId="7" xfId="0" applyNumberFormat="1" applyFont="1" applyBorder="1"/>
    <xf numFmtId="41" fontId="27" fillId="0" borderId="5" xfId="0" applyNumberFormat="1" applyFont="1" applyBorder="1"/>
    <xf numFmtId="41" fontId="27" fillId="0" borderId="6" xfId="0" applyNumberFormat="1" applyFont="1" applyBorder="1"/>
    <xf numFmtId="10" fontId="27" fillId="0" borderId="0" xfId="2" applyNumberFormat="1" applyFont="1" applyAlignment="1">
      <alignment horizontal="right"/>
    </xf>
    <xf numFmtId="41" fontId="27" fillId="0" borderId="0" xfId="0" applyNumberFormat="1" applyFont="1"/>
    <xf numFmtId="41" fontId="27" fillId="0" borderId="0" xfId="0" applyNumberFormat="1" applyFont="1" applyFill="1"/>
    <xf numFmtId="168" fontId="27" fillId="0" borderId="0" xfId="1" applyNumberFormat="1" applyFont="1"/>
    <xf numFmtId="41" fontId="30" fillId="0" borderId="0" xfId="0" applyNumberFormat="1" applyFont="1" applyFill="1" applyBorder="1"/>
    <xf numFmtId="164" fontId="30" fillId="0" borderId="0" xfId="1" applyNumberFormat="1" applyFont="1" applyFill="1" applyBorder="1"/>
    <xf numFmtId="41" fontId="30" fillId="0" borderId="0" xfId="0" applyNumberFormat="1" applyFont="1" applyFill="1" applyAlignment="1"/>
    <xf numFmtId="0" fontId="24" fillId="0" borderId="0" xfId="0" applyFont="1"/>
    <xf numFmtId="0" fontId="30" fillId="0" borderId="0" xfId="0" applyNumberFormat="1" applyFont="1" applyFill="1" applyBorder="1" applyAlignment="1">
      <alignment horizontal="center"/>
    </xf>
    <xf numFmtId="164" fontId="30" fillId="0" borderId="0" xfId="1" applyNumberFormat="1" applyFont="1" applyFill="1" applyBorder="1" applyAlignment="1">
      <alignment horizontal="center"/>
    </xf>
    <xf numFmtId="10" fontId="27" fillId="0" borderId="11" xfId="2" applyNumberFormat="1" applyFont="1" applyFill="1" applyBorder="1"/>
    <xf numFmtId="3" fontId="27" fillId="0" borderId="11" xfId="0" applyNumberFormat="1" applyFont="1" applyBorder="1"/>
    <xf numFmtId="3" fontId="30" fillId="0" borderId="0" xfId="0" quotePrefix="1" applyNumberFormat="1" applyFont="1" applyFill="1" applyBorder="1" applyAlignment="1">
      <alignment horizontal="center"/>
    </xf>
    <xf numFmtId="164" fontId="30" fillId="0" borderId="0" xfId="1" quotePrefix="1" applyNumberFormat="1" applyFont="1" applyFill="1" applyBorder="1" applyAlignment="1">
      <alignment horizontal="center"/>
    </xf>
    <xf numFmtId="10" fontId="27" fillId="0" borderId="11" xfId="2" applyNumberFormat="1" applyFont="1" applyFill="1" applyBorder="1" applyProtection="1">
      <protection locked="0"/>
    </xf>
    <xf numFmtId="168" fontId="27" fillId="0" borderId="11" xfId="1" applyNumberFormat="1" applyFont="1" applyFill="1" applyBorder="1" applyProtection="1">
      <protection locked="0"/>
    </xf>
    <xf numFmtId="3" fontId="30" fillId="0" borderId="0" xfId="0" applyNumberFormat="1" applyFont="1" applyFill="1" applyBorder="1"/>
    <xf numFmtId="3" fontId="27" fillId="0" borderId="0" xfId="0" applyNumberFormat="1" applyFont="1" applyFill="1" applyBorder="1"/>
    <xf numFmtId="168" fontId="29" fillId="0" borderId="3" xfId="1" applyNumberFormat="1" applyFont="1" applyFill="1" applyBorder="1" applyProtection="1">
      <protection locked="0"/>
    </xf>
    <xf numFmtId="168" fontId="29" fillId="0" borderId="11" xfId="1" applyNumberFormat="1" applyFont="1" applyFill="1" applyBorder="1" applyProtection="1">
      <protection locked="0"/>
    </xf>
    <xf numFmtId="43" fontId="31" fillId="0" borderId="0" xfId="1" applyFont="1" applyFill="1"/>
    <xf numFmtId="3" fontId="27" fillId="0" borderId="11" xfId="0" applyNumberFormat="1" applyFont="1" applyFill="1" applyBorder="1"/>
    <xf numFmtId="3" fontId="30" fillId="0" borderId="0" xfId="0" applyNumberFormat="1" applyFont="1" applyFill="1"/>
    <xf numFmtId="0" fontId="27" fillId="0" borderId="11" xfId="0" applyFont="1" applyFill="1" applyBorder="1"/>
    <xf numFmtId="171" fontId="27" fillId="0" borderId="0" xfId="1" applyNumberFormat="1" applyFont="1" applyFill="1"/>
    <xf numFmtId="43" fontId="27" fillId="0" borderId="0" xfId="1" applyFont="1" applyFill="1"/>
    <xf numFmtId="164" fontId="32" fillId="0" borderId="11" xfId="1" applyNumberFormat="1" applyFont="1" applyFill="1" applyBorder="1"/>
    <xf numFmtId="168" fontId="33" fillId="0" borderId="0" xfId="1" applyNumberFormat="1" applyFont="1"/>
    <xf numFmtId="10" fontId="27" fillId="0" borderId="3" xfId="2" applyNumberFormat="1" applyFont="1" applyFill="1" applyBorder="1"/>
    <xf numFmtId="167" fontId="27" fillId="0" borderId="0" xfId="2" applyNumberFormat="1" applyFont="1"/>
    <xf numFmtId="10" fontId="27" fillId="0" borderId="5" xfId="2" applyNumberFormat="1" applyFont="1" applyFill="1" applyBorder="1"/>
    <xf numFmtId="10" fontId="27" fillId="0" borderId="9" xfId="2" applyNumberFormat="1" applyFont="1" applyFill="1" applyBorder="1"/>
    <xf numFmtId="3" fontId="27" fillId="0" borderId="0" xfId="0" applyNumberFormat="1" applyFont="1"/>
    <xf numFmtId="10" fontId="27" fillId="0" borderId="0" xfId="2" applyNumberFormat="1" applyFont="1" applyFill="1" applyBorder="1"/>
    <xf numFmtId="0" fontId="30" fillId="0" borderId="0" xfId="0" applyFont="1"/>
    <xf numFmtId="165" fontId="34" fillId="0" borderId="0" xfId="3" applyNumberFormat="1" applyFont="1"/>
    <xf numFmtId="165" fontId="34" fillId="0" borderId="0" xfId="0" applyNumberFormat="1" applyFont="1"/>
    <xf numFmtId="10" fontId="30" fillId="0" borderId="0" xfId="2" applyNumberFormat="1" applyFont="1"/>
    <xf numFmtId="10" fontId="27" fillId="0" borderId="12" xfId="0" applyNumberFormat="1" applyFont="1" applyBorder="1"/>
    <xf numFmtId="168" fontId="27" fillId="0" borderId="12" xfId="1" applyNumberFormat="1" applyFont="1" applyFill="1" applyBorder="1" applyProtection="1">
      <protection locked="0"/>
    </xf>
    <xf numFmtId="44" fontId="0" fillId="0" borderId="0" xfId="0" applyNumberFormat="1"/>
    <xf numFmtId="0" fontId="37" fillId="0" borderId="0" xfId="0" applyFont="1"/>
    <xf numFmtId="167" fontId="37" fillId="0" borderId="14" xfId="2" applyNumberFormat="1" applyFont="1" applyBorder="1" applyAlignment="1">
      <alignment horizontal="center"/>
    </xf>
    <xf numFmtId="165" fontId="37" fillId="0" borderId="15" xfId="3" applyNumberFormat="1" applyFont="1" applyBorder="1"/>
    <xf numFmtId="0" fontId="37" fillId="0" borderId="13" xfId="0" applyFont="1" applyBorder="1" applyAlignment="1">
      <alignment wrapText="1"/>
    </xf>
    <xf numFmtId="0" fontId="15" fillId="0" borderId="0" xfId="0" applyFont="1" applyBorder="1"/>
    <xf numFmtId="165" fontId="27" fillId="0" borderId="0" xfId="0" applyNumberFormat="1" applyFont="1"/>
    <xf numFmtId="164" fontId="27" fillId="0" borderId="0" xfId="1" applyNumberFormat="1" applyFont="1"/>
    <xf numFmtId="0" fontId="20" fillId="0" borderId="0" xfId="0" applyFont="1"/>
    <xf numFmtId="0" fontId="20" fillId="0" borderId="0" xfId="0" applyFont="1" applyAlignment="1"/>
    <xf numFmtId="0" fontId="21" fillId="6" borderId="18" xfId="0" applyFont="1" applyFill="1" applyBorder="1" applyAlignment="1">
      <alignment vertical="center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justify" vertical="center"/>
    </xf>
    <xf numFmtId="0" fontId="20" fillId="0" borderId="17" xfId="0" applyFont="1" applyBorder="1" applyAlignment="1">
      <alignment horizontal="center" vertical="center"/>
    </xf>
    <xf numFmtId="167" fontId="20" fillId="0" borderId="17" xfId="2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justify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/>
    <xf numFmtId="4" fontId="20" fillId="0" borderId="17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10" fontId="20" fillId="0" borderId="17" xfId="0" applyNumberFormat="1" applyFont="1" applyBorder="1" applyAlignment="1">
      <alignment horizontal="center" vertical="center"/>
    </xf>
    <xf numFmtId="10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0" fontId="38" fillId="0" borderId="0" xfId="0" applyFont="1" applyAlignment="1"/>
    <xf numFmtId="167" fontId="39" fillId="0" borderId="12" xfId="2" applyNumberFormat="1" applyFont="1" applyBorder="1"/>
    <xf numFmtId="3" fontId="39" fillId="0" borderId="12" xfId="0" quotePrefix="1" applyNumberFormat="1" applyFont="1" applyFill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67" fontId="39" fillId="0" borderId="12" xfId="2" applyNumberFormat="1" applyFont="1" applyBorder="1" applyAlignment="1">
      <alignment horizontal="center" wrapText="1"/>
    </xf>
    <xf numFmtId="41" fontId="39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164" fontId="10" fillId="0" borderId="12" xfId="1" applyNumberFormat="1" applyFont="1" applyBorder="1"/>
    <xf numFmtId="164" fontId="10" fillId="0" borderId="12" xfId="1" quotePrefix="1" applyNumberFormat="1" applyFont="1" applyFill="1" applyBorder="1" applyAlignment="1">
      <alignment horizontal="center"/>
    </xf>
    <xf numFmtId="168" fontId="10" fillId="0" borderId="12" xfId="1" applyNumberFormat="1" applyFont="1" applyBorder="1"/>
    <xf numFmtId="168" fontId="10" fillId="0" borderId="12" xfId="0" applyNumberFormat="1" applyFont="1" applyBorder="1"/>
    <xf numFmtId="166" fontId="10" fillId="0" borderId="12" xfId="3" applyNumberFormat="1" applyFont="1" applyBorder="1"/>
    <xf numFmtId="44" fontId="10" fillId="0" borderId="12" xfId="3" quotePrefix="1" applyNumberFormat="1" applyFont="1" applyFill="1" applyBorder="1" applyAlignment="1">
      <alignment horizontal="center"/>
    </xf>
    <xf numFmtId="44" fontId="10" fillId="0" borderId="12" xfId="3" quotePrefix="1" applyFont="1" applyFill="1" applyBorder="1" applyAlignment="1">
      <alignment horizontal="center"/>
    </xf>
    <xf numFmtId="3" fontId="10" fillId="0" borderId="12" xfId="0" quotePrefix="1" applyNumberFormat="1" applyFont="1" applyFill="1" applyBorder="1" applyAlignment="1">
      <alignment horizontal="center"/>
    </xf>
    <xf numFmtId="167" fontId="10" fillId="0" borderId="12" xfId="2" quotePrefix="1" applyNumberFormat="1" applyFont="1" applyFill="1" applyBorder="1" applyAlignment="1">
      <alignment horizontal="center"/>
    </xf>
    <xf numFmtId="164" fontId="10" fillId="0" borderId="12" xfId="0" applyNumberFormat="1" applyFont="1" applyBorder="1"/>
    <xf numFmtId="0" fontId="10" fillId="0" borderId="0" xfId="0" applyFont="1" applyAlignment="1">
      <alignment horizontal="center"/>
    </xf>
    <xf numFmtId="164" fontId="10" fillId="0" borderId="0" xfId="1" applyNumberFormat="1" applyFont="1"/>
    <xf numFmtId="164" fontId="10" fillId="0" borderId="0" xfId="0" applyNumberFormat="1" applyFont="1"/>
    <xf numFmtId="3" fontId="39" fillId="0" borderId="0" xfId="0" quotePrefix="1" applyNumberFormat="1" applyFont="1" applyFill="1" applyBorder="1" applyAlignment="1">
      <alignment horizontal="center"/>
    </xf>
    <xf numFmtId="167" fontId="39" fillId="0" borderId="0" xfId="2" quotePrefix="1" applyNumberFormat="1" applyFont="1" applyFill="1" applyBorder="1" applyAlignment="1">
      <alignment horizontal="center"/>
    </xf>
    <xf numFmtId="168" fontId="10" fillId="0" borderId="0" xfId="1" applyNumberFormat="1" applyFont="1"/>
    <xf numFmtId="168" fontId="10" fillId="0" borderId="0" xfId="0" applyNumberFormat="1" applyFont="1"/>
    <xf numFmtId="166" fontId="10" fillId="0" borderId="0" xfId="3" applyNumberFormat="1" applyFont="1"/>
    <xf numFmtId="44" fontId="39" fillId="0" borderId="0" xfId="3" quotePrefix="1" applyNumberFormat="1" applyFont="1" applyFill="1" applyBorder="1" applyAlignment="1">
      <alignment horizontal="center"/>
    </xf>
    <xf numFmtId="44" fontId="39" fillId="0" borderId="0" xfId="3" quotePrefix="1" applyFont="1" applyFill="1" applyBorder="1" applyAlignment="1">
      <alignment horizontal="center"/>
    </xf>
    <xf numFmtId="0" fontId="10" fillId="0" borderId="0" xfId="0" applyFont="1"/>
    <xf numFmtId="164" fontId="10" fillId="0" borderId="3" xfId="1" quotePrefix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164" fontId="10" fillId="0" borderId="0" xfId="1" applyNumberFormat="1" applyFont="1" applyBorder="1"/>
    <xf numFmtId="164" fontId="10" fillId="0" borderId="4" xfId="0" applyNumberFormat="1" applyFont="1" applyBorder="1"/>
    <xf numFmtId="0" fontId="10" fillId="0" borderId="5" xfId="0" applyFont="1" applyBorder="1" applyAlignment="1">
      <alignment horizontal="center"/>
    </xf>
    <xf numFmtId="164" fontId="10" fillId="0" borderId="6" xfId="1" applyNumberFormat="1" applyFont="1" applyBorder="1"/>
    <xf numFmtId="164" fontId="10" fillId="0" borderId="7" xfId="0" applyNumberFormat="1" applyFont="1" applyBorder="1"/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164" fontId="39" fillId="0" borderId="12" xfId="1" applyNumberFormat="1" applyFont="1" applyBorder="1" applyAlignment="1">
      <alignment horizontal="center" wrapText="1"/>
    </xf>
    <xf numFmtId="0" fontId="2" fillId="0" borderId="0" xfId="0" applyFont="1" applyBorder="1"/>
    <xf numFmtId="164" fontId="39" fillId="0" borderId="12" xfId="1" applyNumberFormat="1" applyFont="1" applyFill="1" applyBorder="1" applyAlignment="1">
      <alignment horizontal="center" wrapText="1"/>
    </xf>
    <xf numFmtId="3" fontId="30" fillId="0" borderId="11" xfId="0" quotePrefix="1" applyNumberFormat="1" applyFont="1" applyFill="1" applyBorder="1" applyAlignment="1">
      <alignment horizontal="center"/>
    </xf>
    <xf numFmtId="3" fontId="30" fillId="0" borderId="11" xfId="0" applyNumberFormat="1" applyFont="1" applyFill="1" applyBorder="1"/>
    <xf numFmtId="43" fontId="31" fillId="0" borderId="11" xfId="1" applyFont="1" applyFill="1" applyBorder="1"/>
    <xf numFmtId="164" fontId="27" fillId="0" borderId="11" xfId="1" applyNumberFormat="1" applyFont="1" applyFill="1" applyBorder="1"/>
    <xf numFmtId="171" fontId="27" fillId="0" borderId="11" xfId="1" applyNumberFormat="1" applyFont="1" applyFill="1" applyBorder="1"/>
    <xf numFmtId="168" fontId="33" fillId="0" borderId="11" xfId="1" applyNumberFormat="1" applyFont="1" applyBorder="1"/>
    <xf numFmtId="0" fontId="27" fillId="0" borderId="11" xfId="0" applyFont="1" applyBorder="1"/>
    <xf numFmtId="168" fontId="27" fillId="0" borderId="11" xfId="1" applyNumberFormat="1" applyFont="1" applyBorder="1"/>
    <xf numFmtId="0" fontId="27" fillId="0" borderId="9" xfId="0" applyFont="1" applyBorder="1"/>
    <xf numFmtId="10" fontId="30" fillId="0" borderId="11" xfId="2" applyNumberFormat="1" applyFont="1" applyFill="1" applyBorder="1"/>
    <xf numFmtId="43" fontId="30" fillId="0" borderId="10" xfId="1" applyFont="1" applyFill="1" applyBorder="1"/>
    <xf numFmtId="3" fontId="30" fillId="0" borderId="10" xfId="0" applyNumberFormat="1" applyFont="1" applyFill="1" applyBorder="1"/>
    <xf numFmtId="164" fontId="30" fillId="0" borderId="10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1" fontId="29" fillId="0" borderId="0" xfId="1" applyNumberFormat="1" applyFont="1" applyFill="1" applyBorder="1" applyProtection="1">
      <protection locked="0"/>
    </xf>
    <xf numFmtId="41" fontId="29" fillId="0" borderId="4" xfId="0" applyNumberFormat="1" applyFont="1" applyFill="1" applyBorder="1"/>
    <xf numFmtId="0" fontId="15" fillId="0" borderId="3" xfId="0" applyFont="1" applyFill="1" applyBorder="1"/>
    <xf numFmtId="0" fontId="30" fillId="2" borderId="10" xfId="0" applyNumberFormat="1" applyFont="1" applyFill="1" applyBorder="1" applyAlignment="1">
      <alignment horizontal="center"/>
    </xf>
    <xf numFmtId="10" fontId="30" fillId="2" borderId="10" xfId="2" applyNumberFormat="1" applyFont="1" applyFill="1" applyBorder="1" applyAlignment="1" applyProtection="1">
      <alignment horizontal="center"/>
      <protection locked="0"/>
    </xf>
    <xf numFmtId="0" fontId="30" fillId="2" borderId="4" xfId="0" applyNumberFormat="1" applyFont="1" applyFill="1" applyBorder="1" applyAlignment="1" applyProtection="1">
      <alignment horizontal="center"/>
      <protection locked="0"/>
    </xf>
    <xf numFmtId="0" fontId="30" fillId="2" borderId="3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14" fontId="30" fillId="2" borderId="0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>
      <alignment horizontal="center"/>
    </xf>
    <xf numFmtId="14" fontId="30" fillId="2" borderId="0" xfId="0" applyNumberFormat="1" applyFont="1" applyFill="1" applyBorder="1" applyAlignment="1">
      <alignment horizontal="center"/>
    </xf>
    <xf numFmtId="0" fontId="30" fillId="2" borderId="10" xfId="0" applyNumberFormat="1" applyFont="1" applyFill="1" applyBorder="1" applyAlignment="1" applyProtection="1">
      <alignment horizontal="center"/>
      <protection locked="0"/>
    </xf>
    <xf numFmtId="0" fontId="30" fillId="2" borderId="11" xfId="0" applyNumberFormat="1" applyFont="1" applyFill="1" applyBorder="1" applyAlignment="1" applyProtection="1">
      <alignment horizontal="center"/>
      <protection locked="0"/>
    </xf>
    <xf numFmtId="170" fontId="27" fillId="0" borderId="11" xfId="0" applyNumberFormat="1" applyFont="1" applyBorder="1"/>
    <xf numFmtId="41" fontId="27" fillId="0" borderId="11" xfId="0" applyNumberFormat="1" applyFont="1" applyBorder="1"/>
    <xf numFmtId="41" fontId="29" fillId="0" borderId="11" xfId="0" applyNumberFormat="1" applyFont="1" applyBorder="1"/>
    <xf numFmtId="41" fontId="27" fillId="0" borderId="11" xfId="0" applyNumberFormat="1" applyFont="1" applyFill="1" applyBorder="1"/>
    <xf numFmtId="41" fontId="27" fillId="0" borderId="11" xfId="1" applyNumberFormat="1" applyFont="1" applyFill="1" applyBorder="1" applyProtection="1">
      <protection locked="0"/>
    </xf>
    <xf numFmtId="41" fontId="27" fillId="0" borderId="9" xfId="0" applyNumberFormat="1" applyFont="1" applyBorder="1"/>
    <xf numFmtId="0" fontId="30" fillId="2" borderId="4" xfId="0" applyFont="1" applyFill="1" applyBorder="1" applyAlignment="1" applyProtection="1">
      <alignment horizontal="center"/>
      <protection locked="0"/>
    </xf>
    <xf numFmtId="10" fontId="30" fillId="2" borderId="12" xfId="2" applyNumberFormat="1" applyFont="1" applyFill="1" applyBorder="1"/>
    <xf numFmtId="0" fontId="24" fillId="2" borderId="12" xfId="0" applyFont="1" applyFill="1" applyBorder="1"/>
    <xf numFmtId="164" fontId="30" fillId="0" borderId="0" xfId="0" applyNumberFormat="1" applyFont="1"/>
    <xf numFmtId="43" fontId="30" fillId="0" borderId="0" xfId="0" applyNumberFormat="1" applyFont="1"/>
    <xf numFmtId="9" fontId="27" fillId="0" borderId="6" xfId="2" applyFont="1" applyBorder="1"/>
    <xf numFmtId="164" fontId="30" fillId="0" borderId="0" xfId="1" applyNumberFormat="1" applyFont="1" applyFill="1"/>
    <xf numFmtId="41" fontId="27" fillId="0" borderId="5" xfId="1" applyNumberFormat="1" applyFont="1" applyBorder="1" applyProtection="1">
      <protection locked="0"/>
    </xf>
    <xf numFmtId="41" fontId="27" fillId="0" borderId="6" xfId="1" applyNumberFormat="1" applyFont="1" applyFill="1" applyBorder="1" applyProtection="1">
      <protection locked="0"/>
    </xf>
    <xf numFmtId="164" fontId="27" fillId="0" borderId="6" xfId="1" applyNumberFormat="1" applyFont="1" applyBorder="1" applyProtection="1">
      <protection locked="0"/>
    </xf>
    <xf numFmtId="41" fontId="27" fillId="0" borderId="7" xfId="0" applyNumberFormat="1" applyFont="1" applyFill="1" applyBorder="1"/>
    <xf numFmtId="168" fontId="27" fillId="0" borderId="5" xfId="1" applyNumberFormat="1" applyFont="1" applyFill="1" applyBorder="1" applyProtection="1">
      <protection locked="0"/>
    </xf>
    <xf numFmtId="41" fontId="27" fillId="0" borderId="6" xfId="1" applyNumberFormat="1" applyFont="1" applyBorder="1" applyProtection="1">
      <protection locked="0"/>
    </xf>
    <xf numFmtId="168" fontId="27" fillId="0" borderId="5" xfId="1" applyNumberFormat="1" applyFont="1" applyBorder="1" applyProtection="1">
      <protection locked="0"/>
    </xf>
    <xf numFmtId="41" fontId="30" fillId="0" borderId="3" xfId="0" applyNumberFormat="1" applyFont="1" applyFill="1" applyBorder="1" applyProtection="1">
      <protection locked="0"/>
    </xf>
    <xf numFmtId="41" fontId="30" fillId="0" borderId="0" xfId="1" applyNumberFormat="1" applyFont="1" applyFill="1" applyBorder="1" applyProtection="1">
      <protection locked="0"/>
    </xf>
    <xf numFmtId="41" fontId="30" fillId="0" borderId="4" xfId="1" applyNumberFormat="1" applyFont="1" applyFill="1" applyBorder="1"/>
    <xf numFmtId="41" fontId="30" fillId="0" borderId="3" xfId="1" applyNumberFormat="1" applyFont="1" applyFill="1" applyBorder="1" applyProtection="1">
      <protection locked="0"/>
    </xf>
    <xf numFmtId="41" fontId="30" fillId="0" borderId="4" xfId="0" applyNumberFormat="1" applyFont="1" applyBorder="1"/>
    <xf numFmtId="0" fontId="24" fillId="0" borderId="0" xfId="0" applyFont="1" applyFill="1" applyAlignment="1" applyProtection="1">
      <alignment horizontal="left"/>
      <protection locked="0"/>
    </xf>
    <xf numFmtId="10" fontId="30" fillId="0" borderId="0" xfId="2" applyNumberFormat="1" applyFont="1" applyFill="1"/>
    <xf numFmtId="10" fontId="30" fillId="0" borderId="12" xfId="2" applyNumberFormat="1" applyFont="1" applyBorder="1"/>
    <xf numFmtId="164" fontId="30" fillId="0" borderId="0" xfId="1" applyNumberFormat="1" applyFont="1"/>
    <xf numFmtId="10" fontId="27" fillId="2" borderId="0" xfId="2" applyNumberFormat="1" applyFont="1" applyFill="1"/>
    <xf numFmtId="0" fontId="24" fillId="2" borderId="0" xfId="0" applyFont="1" applyFill="1" applyAlignment="1" applyProtection="1">
      <alignment horizontal="left"/>
      <protection locked="0"/>
    </xf>
    <xf numFmtId="10" fontId="30" fillId="2" borderId="12" xfId="2" applyNumberFormat="1" applyFont="1" applyFill="1" applyBorder="1" applyAlignment="1" applyProtection="1">
      <alignment horizontal="center"/>
      <protection locked="0"/>
    </xf>
    <xf numFmtId="0" fontId="30" fillId="2" borderId="12" xfId="0" applyNumberFormat="1" applyFont="1" applyFill="1" applyBorder="1" applyAlignment="1">
      <alignment horizontal="center"/>
    </xf>
    <xf numFmtId="41" fontId="30" fillId="0" borderId="9" xfId="0" applyNumberFormat="1" applyFont="1" applyBorder="1"/>
    <xf numFmtId="10" fontId="30" fillId="0" borderId="12" xfId="0" applyNumberFormat="1" applyFont="1" applyBorder="1"/>
    <xf numFmtId="168" fontId="30" fillId="0" borderId="12" xfId="1" applyNumberFormat="1" applyFont="1" applyFill="1" applyBorder="1" applyProtection="1">
      <protection locked="0"/>
    </xf>
    <xf numFmtId="10" fontId="30" fillId="0" borderId="3" xfId="2" applyNumberFormat="1" applyFont="1" applyFill="1" applyBorder="1"/>
    <xf numFmtId="164" fontId="40" fillId="0" borderId="11" xfId="1" applyNumberFormat="1" applyFont="1" applyFill="1" applyBorder="1"/>
    <xf numFmtId="164" fontId="30" fillId="0" borderId="11" xfId="1" applyNumberFormat="1" applyFont="1" applyFill="1" applyBorder="1"/>
    <xf numFmtId="0" fontId="39" fillId="0" borderId="12" xfId="0" applyFont="1" applyFill="1" applyBorder="1" applyAlignment="1">
      <alignment horizontal="center" wrapText="1"/>
    </xf>
    <xf numFmtId="164" fontId="10" fillId="0" borderId="12" xfId="1" applyNumberFormat="1" applyFont="1" applyFill="1" applyBorder="1"/>
    <xf numFmtId="168" fontId="10" fillId="0" borderId="12" xfId="1" applyNumberFormat="1" applyFont="1" applyFill="1" applyBorder="1"/>
    <xf numFmtId="164" fontId="10" fillId="0" borderId="1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10" fontId="30" fillId="0" borderId="0" xfId="2" applyNumberFormat="1" applyFont="1" applyAlignment="1">
      <alignment horizontal="left" wrapText="1"/>
    </xf>
    <xf numFmtId="10" fontId="30" fillId="2" borderId="13" xfId="2" applyNumberFormat="1" applyFont="1" applyFill="1" applyBorder="1" applyAlignment="1">
      <alignment horizontal="center"/>
    </xf>
    <xf numFmtId="10" fontId="30" fillId="2" borderId="14" xfId="2" applyNumberFormat="1" applyFont="1" applyFill="1" applyBorder="1" applyAlignment="1">
      <alignment horizontal="center"/>
    </xf>
    <xf numFmtId="10" fontId="30" fillId="2" borderId="15" xfId="2" applyNumberFormat="1" applyFont="1" applyFill="1" applyBorder="1" applyAlignment="1">
      <alignment horizontal="center"/>
    </xf>
    <xf numFmtId="0" fontId="30" fillId="2" borderId="13" xfId="0" applyNumberFormat="1" applyFont="1" applyFill="1" applyBorder="1" applyAlignment="1" applyProtection="1">
      <alignment horizontal="center"/>
      <protection locked="0"/>
    </xf>
    <xf numFmtId="0" fontId="30" fillId="2" borderId="14" xfId="0" applyNumberFormat="1" applyFont="1" applyFill="1" applyBorder="1" applyAlignment="1" applyProtection="1">
      <alignment horizontal="center"/>
      <protection locked="0"/>
    </xf>
    <xf numFmtId="0" fontId="30" fillId="2" borderId="15" xfId="0" applyNumberFormat="1" applyFont="1" applyFill="1" applyBorder="1" applyAlignment="1" applyProtection="1">
      <alignment horizontal="center"/>
      <protection locked="0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</cellXfs>
  <cellStyles count="5">
    <cellStyle name="Comma" xfId="1" builtinId="3"/>
    <cellStyle name="Currency" xfId="3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%20-%202023-2027/Forecast/Sales%20Frcst%20-%20BP%202023-202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ion/Applications%20and%20Filings/Rate%20Applications/2022/GRA%20Forecast/GRA%20Base%20Case%20March%202022/FinFrcst%20-%20Base%20c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Regulation/Applications%20and%20Filings/Rate%20Applications/2021/2021%20GRA%20Forecast/GRA%20Base%20Case%20March%202022/FinFrcst%20-%20Base%20c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bate"/>
      <sheetName val="Sheet1"/>
      <sheetName val="Instructions"/>
      <sheetName val="ChartData"/>
      <sheetName val="Charts"/>
      <sheetName val="BP Inputs"/>
      <sheetName val="RateCase"/>
      <sheetName val="ProrateMarRev"/>
      <sheetName val="Monthly"/>
      <sheetName val="5 Year Plan"/>
      <sheetName val="Current Forecast"/>
      <sheetName val="RES"/>
      <sheetName val="GS1"/>
      <sheetName val="GS2"/>
      <sheetName val="LInd"/>
      <sheetName val="SInd"/>
      <sheetName val="SL"/>
      <sheetName val="UM"/>
      <sheetName val="WS"/>
      <sheetName val="Ratios"/>
      <sheetName val="Growth"/>
      <sheetName val="Actual kWh"/>
      <sheetName val="Actual $"/>
      <sheetName val="Hist_Data"/>
      <sheetName val="Other Revenue"/>
      <sheetName val="SalesNPP"/>
      <sheetName val="Model"/>
      <sheetName val="Regressions"/>
      <sheetName val="Rate Increases"/>
      <sheetName val="Normalization"/>
      <sheetName val="Peak forecast"/>
      <sheetName val="Data CB730(6)"/>
      <sheetName val="CB730 (summ)"/>
      <sheetName val="Monthly Bill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G15">
            <v>1391748.933931804</v>
          </cell>
          <cell r="H15">
            <v>1412245.2257378467</v>
          </cell>
          <cell r="I15">
            <v>1431086.9631985931</v>
          </cell>
          <cell r="N15">
            <v>1454556.7893950499</v>
          </cell>
          <cell r="O15">
            <v>1478411.5207411286</v>
          </cell>
          <cell r="P15">
            <v>1502657.469681283</v>
          </cell>
          <cell r="Q15">
            <v>1527301.052184056</v>
          </cell>
          <cell r="R15">
            <v>1552348.7894398745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Notes"/>
      <sheetName val="BusinessPlan"/>
      <sheetName val="RateCaseFS"/>
      <sheetName val="RateBase"/>
      <sheetName val="Log"/>
      <sheetName val="Updates from 2020 Rate version"/>
      <sheetName val="Pg1"/>
      <sheetName val="Pg2"/>
      <sheetName val="Pg3"/>
      <sheetName val="Pg4"/>
      <sheetName val="IS"/>
      <sheetName val="BS"/>
      <sheetName val="CashFlow"/>
      <sheetName val="CASH"/>
      <sheetName val="Actual"/>
      <sheetName val="True-up"/>
      <sheetName val="Actuals"/>
      <sheetName val="Tax"/>
      <sheetName val="CostCapital"/>
      <sheetName val="Deferred"/>
      <sheetName val="Capital"/>
      <sheetName val="Bonds"/>
      <sheetName val="FITL"/>
      <sheetName val="Variance"/>
      <sheetName val="Operating"/>
      <sheetName val="CapBudget"/>
      <sheetName val="Budget"/>
      <sheetName val="06Capital"/>
      <sheetName val="SCFP"/>
      <sheetName val="Balance"/>
      <sheetName val="IncStmt"/>
      <sheetName val="Var"/>
      <sheetName val="SCFPold"/>
      <sheetName val="OldPg4"/>
      <sheetName val="Sheet1"/>
      <sheetName val="Plan Inputs"/>
      <sheetName val="Energy Input"/>
      <sheetName val="Chart for Strategic Issues"/>
      <sheetName val="Chart for Strategic Issues (2)"/>
      <sheetName val="Capital Chart for BOD Pres"/>
      <sheetName val="T &amp; D Capital Chart BOD P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7">
          <cell r="AP27">
            <v>0</v>
          </cell>
          <cell r="BC27">
            <v>0</v>
          </cell>
          <cell r="BK27">
            <v>0</v>
          </cell>
          <cell r="BS27">
            <v>0</v>
          </cell>
        </row>
        <row r="37">
          <cell r="AP37">
            <v>0</v>
          </cell>
          <cell r="BC37">
            <v>0</v>
          </cell>
          <cell r="BK37">
            <v>0</v>
          </cell>
          <cell r="BP37">
            <v>0</v>
          </cell>
          <cell r="BS37"/>
          <cell r="BX37"/>
          <cell r="CF37"/>
          <cell r="CJ37"/>
        </row>
        <row r="40">
          <cell r="AP40">
            <v>10000000</v>
          </cell>
          <cell r="BC40">
            <v>12100000</v>
          </cell>
          <cell r="BP40">
            <v>14900000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"/>
      <sheetName val="Notes"/>
      <sheetName val="BusinessPlan"/>
      <sheetName val="RateCaseFS"/>
      <sheetName val="RateBase"/>
      <sheetName val="Log"/>
      <sheetName val="Updates from 2020 Rate version"/>
      <sheetName val="Pg1"/>
      <sheetName val="Pg2"/>
      <sheetName val="Pg3"/>
      <sheetName val="Pg4"/>
      <sheetName val="IS"/>
      <sheetName val="BS"/>
      <sheetName val="CashFlow"/>
      <sheetName val="CASH"/>
      <sheetName val="Actual"/>
      <sheetName val="True-up"/>
      <sheetName val="Actuals"/>
      <sheetName val="Tax"/>
      <sheetName val="CostCapital"/>
      <sheetName val="Deferred"/>
      <sheetName val="Capital"/>
      <sheetName val="Bonds"/>
      <sheetName val="FITL"/>
      <sheetName val="Variance"/>
      <sheetName val="Operating"/>
      <sheetName val="CapBudget"/>
      <sheetName val="Budget"/>
      <sheetName val="06Capital"/>
      <sheetName val="SCFP"/>
      <sheetName val="Balance"/>
      <sheetName val="IncStmt"/>
      <sheetName val="Var"/>
      <sheetName val="SCFPold"/>
      <sheetName val="OldPg4"/>
      <sheetName val="Sheet1"/>
      <sheetName val="Plan Inputs"/>
      <sheetName val="Energy Input"/>
      <sheetName val="Chart for Strategic Issues"/>
      <sheetName val="Chart for Strategic Issues (2)"/>
      <sheetName val="Capital Chart for BOD Pres"/>
      <sheetName val="T &amp; D Capital Chart BOD Pres"/>
    </sheetNames>
    <sheetDataSet>
      <sheetData sheetId="0"/>
      <sheetData sheetId="1"/>
      <sheetData sheetId="2"/>
      <sheetData sheetId="3"/>
      <sheetData sheetId="4">
        <row r="167">
          <cell r="E167">
            <v>468293900</v>
          </cell>
        </row>
        <row r="168">
          <cell r="E168">
            <v>471022500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6"/>
  <sheetViews>
    <sheetView zoomScaleNormal="100" workbookViewId="0">
      <selection activeCell="N10" sqref="N10"/>
    </sheetView>
  </sheetViews>
  <sheetFormatPr defaultRowHeight="12.75" x14ac:dyDescent="0.2"/>
  <cols>
    <col min="1" max="1" width="8.140625" style="1" customWidth="1"/>
    <col min="2" max="2" width="13.7109375" style="1" customWidth="1"/>
    <col min="3" max="3" width="11.5703125" style="1" customWidth="1"/>
    <col min="4" max="4" width="11.28515625" style="1" bestFit="1" customWidth="1"/>
    <col min="5" max="5" width="11.42578125" style="1" bestFit="1" customWidth="1"/>
    <col min="6" max="6" width="12.28515625" style="1" bestFit="1" customWidth="1"/>
    <col min="7" max="7" width="10.5703125" style="1" bestFit="1" customWidth="1"/>
    <col min="8" max="8" width="10.85546875" style="1" bestFit="1" customWidth="1"/>
    <col min="9" max="10" width="10.7109375" style="1" customWidth="1"/>
    <col min="11" max="11" width="12.85546875" style="1" customWidth="1"/>
    <col min="12" max="12" width="10.28515625" style="1" bestFit="1" customWidth="1"/>
    <col min="13" max="13" width="12.7109375" style="1" bestFit="1" customWidth="1"/>
    <col min="14" max="14" width="13.42578125" style="1" customWidth="1"/>
    <col min="15" max="16" width="14" style="1" bestFit="1" customWidth="1"/>
    <col min="17" max="18" width="12.42578125" style="1" bestFit="1" customWidth="1"/>
    <col min="19" max="19" width="15.28515625" style="1" customWidth="1"/>
    <col min="20" max="16384" width="9.140625" style="1"/>
  </cols>
  <sheetData>
    <row r="2" spans="1:19" ht="102" x14ac:dyDescent="0.2">
      <c r="A2" s="216" t="s">
        <v>220</v>
      </c>
      <c r="B2" s="254" t="s">
        <v>242</v>
      </c>
      <c r="C2" s="256" t="s">
        <v>243</v>
      </c>
      <c r="D2" s="218" t="s">
        <v>244</v>
      </c>
      <c r="E2" s="220" t="s">
        <v>245</v>
      </c>
      <c r="F2" s="217" t="s">
        <v>280</v>
      </c>
      <c r="G2" s="217" t="s">
        <v>246</v>
      </c>
      <c r="H2" s="218" t="s">
        <v>282</v>
      </c>
      <c r="I2" s="324" t="s">
        <v>281</v>
      </c>
      <c r="J2" s="324" t="s">
        <v>291</v>
      </c>
      <c r="K2" s="218" t="s">
        <v>283</v>
      </c>
      <c r="L2" s="218" t="s">
        <v>284</v>
      </c>
      <c r="M2" s="218" t="s">
        <v>285</v>
      </c>
      <c r="N2" s="219" t="s">
        <v>292</v>
      </c>
      <c r="O2" s="218" t="s">
        <v>293</v>
      </c>
      <c r="P2" s="218" t="s">
        <v>286</v>
      </c>
      <c r="Q2" s="220" t="s">
        <v>294</v>
      </c>
      <c r="R2" s="217" t="s">
        <v>295</v>
      </c>
      <c r="S2" s="217" t="s">
        <v>296</v>
      </c>
    </row>
    <row r="3" spans="1:19" x14ac:dyDescent="0.2">
      <c r="A3" s="221">
        <v>2023</v>
      </c>
      <c r="B3" s="222">
        <f>ROUND(1593950,-2)</f>
        <v>1594000</v>
      </c>
      <c r="C3" s="222">
        <f>ROUND(B3/(1-17%)*17%,-3)*0</f>
        <v>0</v>
      </c>
      <c r="D3" s="222">
        <f>+'App B Annual Deprec and CCA'!C72+C3</f>
        <v>1621450</v>
      </c>
      <c r="E3" s="223">
        <f>(+'App B Annual Deprec and CCA'!C86)*-1</f>
        <v>0</v>
      </c>
      <c r="F3" s="229">
        <f>ROUND(+D3+E3,-3)</f>
        <v>1621000</v>
      </c>
      <c r="G3" s="230">
        <f>+F3/('App E 2030 RateBase&amp;CostCapital'!E$28*1000)</f>
        <v>3.5246562862168763E-3</v>
      </c>
      <c r="H3" s="224">
        <f>ROUND(+F3*'App E 2030 RateBase&amp;CostCapital'!E$26,-3)</f>
        <v>112000</v>
      </c>
      <c r="I3" s="325">
        <v>-55000</v>
      </c>
      <c r="J3" s="325">
        <f>SUM(H3:I3)</f>
        <v>57000</v>
      </c>
      <c r="K3" s="224">
        <f>ROUND(+'App B Annual Deprec and CCA'!C70,-3)</f>
        <v>0</v>
      </c>
      <c r="L3" s="224"/>
      <c r="M3" s="224">
        <f>ROUND(+I14*0.31,-3)</f>
        <v>14000</v>
      </c>
      <c r="N3" s="225">
        <f>J3+K3+L3+M3</f>
        <v>71000</v>
      </c>
      <c r="O3" s="222">
        <f>ROUND(+N3*1,-3)</f>
        <v>71000</v>
      </c>
      <c r="P3" s="222">
        <f>ROUND(+'[1]5 Year Plan'!$G$15*1000,-3)</f>
        <v>1391749000</v>
      </c>
      <c r="Q3" s="226">
        <f>ROUND(+O3/P3,5)</f>
        <v>5.0000000000000002E-5</v>
      </c>
      <c r="R3" s="227">
        <f>+Q3*650*12</f>
        <v>0.39</v>
      </c>
      <c r="S3" s="228">
        <f>+Q3*10000*12</f>
        <v>6</v>
      </c>
    </row>
    <row r="4" spans="1:19" x14ac:dyDescent="0.2">
      <c r="A4" s="221">
        <v>2024</v>
      </c>
      <c r="B4" s="222">
        <f>ROUND((6449476+12582197)*0.5,-2)</f>
        <v>9515800</v>
      </c>
      <c r="C4" s="222">
        <f>ROUND(B4*2/(1-17%)*17%,-3)*0</f>
        <v>0</v>
      </c>
      <c r="D4" s="222">
        <f>+'App B Annual Deprec and CCA'!D72+C4+C3</f>
        <v>9130627.4670961257</v>
      </c>
      <c r="E4" s="223">
        <f>(+'App B Annual Deprec and CCA'!D86)*-1</f>
        <v>-129721.19479979902</v>
      </c>
      <c r="F4" s="229">
        <f>ROUND(+D4+E4,-3)</f>
        <v>9001000</v>
      </c>
      <c r="G4" s="230">
        <f>+F4/('App E 2030 RateBase&amp;CostCapital'!E$28*1000)</f>
        <v>1.9571518341911228E-2</v>
      </c>
      <c r="H4" s="224">
        <f>ROUND(+F4*'App E 2030 RateBase&amp;CostCapital'!E$26,-3)</f>
        <v>620000</v>
      </c>
      <c r="I4" s="325">
        <v>-368000</v>
      </c>
      <c r="J4" s="325">
        <f t="shared" ref="J4:J10" si="0">SUM(H4:I4)</f>
        <v>252000</v>
      </c>
      <c r="K4" s="224">
        <f>ROUND(+'App B Annual Deprec and CCA'!D70,-3)</f>
        <v>91000</v>
      </c>
      <c r="L4" s="224"/>
      <c r="M4" s="224">
        <f t="shared" ref="M4:M9" si="1">ROUND(+I15*0.31,-3)</f>
        <v>79000</v>
      </c>
      <c r="N4" s="225">
        <f t="shared" ref="N4:N10" si="2">J4+K4+L4+M4</f>
        <v>422000</v>
      </c>
      <c r="O4" s="222">
        <f t="shared" ref="O4:O10" si="3">ROUND(+N4*1,-3)</f>
        <v>422000</v>
      </c>
      <c r="P4" s="222">
        <f>ROUND(+'[1]5 Year Plan'!$H$15*1000,-3)</f>
        <v>1412245000</v>
      </c>
      <c r="Q4" s="226">
        <f t="shared" ref="Q4:Q10" si="4">ROUND(+O4/P4,5)</f>
        <v>2.9999999999999997E-4</v>
      </c>
      <c r="R4" s="227">
        <f t="shared" ref="R4:R10" si="5">+Q4*650*12</f>
        <v>2.34</v>
      </c>
      <c r="S4" s="228">
        <f t="shared" ref="S4:S10" si="6">+Q4*10000*12</f>
        <v>35.999999999999993</v>
      </c>
    </row>
    <row r="5" spans="1:19" x14ac:dyDescent="0.2">
      <c r="A5" s="221">
        <v>2025</v>
      </c>
      <c r="B5" s="222">
        <f>ROUND(6357222+11823587-7890200,-2)</f>
        <v>10290600</v>
      </c>
      <c r="C5" s="222">
        <f>ROUND((B5+7890200)/(1-17%)*17%,-3)*0</f>
        <v>0</v>
      </c>
      <c r="D5" s="222">
        <f>+'App B Annual Deprec and CCA'!E72+C5+C4+C3</f>
        <v>14427690.34744052</v>
      </c>
      <c r="E5" s="223">
        <f>(+'App B Annual Deprec and CCA'!E86)*-1</f>
        <v>-2858386.8573924559</v>
      </c>
      <c r="F5" s="229">
        <f>ROUND(+D5+E5,-3)</f>
        <v>11569000</v>
      </c>
      <c r="G5" s="230">
        <f>+F5/('App E 2030 RateBase&amp;CostCapital'!E$28*1000)</f>
        <v>2.5155304488120322E-2</v>
      </c>
      <c r="H5" s="224">
        <f>ROUND(+F5*'App E 2030 RateBase&amp;CostCapital'!E$26,-3)</f>
        <v>797000</v>
      </c>
      <c r="I5" s="325">
        <v>-782000</v>
      </c>
      <c r="J5" s="325">
        <f t="shared" si="0"/>
        <v>15000</v>
      </c>
      <c r="K5" s="224">
        <f>ROUND(+'App B Annual Deprec and CCA'!E70,-3)</f>
        <v>1087000</v>
      </c>
      <c r="L5" s="224"/>
      <c r="M5" s="224">
        <f t="shared" si="1"/>
        <v>101000</v>
      </c>
      <c r="N5" s="225">
        <f t="shared" si="2"/>
        <v>1203000</v>
      </c>
      <c r="O5" s="222">
        <f t="shared" si="3"/>
        <v>1203000</v>
      </c>
      <c r="P5" s="222">
        <f>ROUND(+'[1]5 Year Plan'!$I$15*1000,-3)</f>
        <v>1431087000</v>
      </c>
      <c r="Q5" s="226">
        <f t="shared" si="4"/>
        <v>8.4000000000000003E-4</v>
      </c>
      <c r="R5" s="227">
        <f t="shared" si="5"/>
        <v>6.5520000000000005</v>
      </c>
      <c r="S5" s="228">
        <f t="shared" si="6"/>
        <v>100.80000000000001</v>
      </c>
    </row>
    <row r="6" spans="1:19" x14ac:dyDescent="0.2">
      <c r="A6" s="221">
        <v>2026</v>
      </c>
      <c r="B6" s="222">
        <f>ROUND(5537755+1641884,-2)</f>
        <v>7179600</v>
      </c>
      <c r="C6" s="222">
        <f>ROUND(B6/(1-17%)*17%,-3)*0</f>
        <v>0</v>
      </c>
      <c r="D6" s="222">
        <f>+'App B Annual Deprec and CCA'!F72+C3+C4+C5+C6</f>
        <v>19033768.540581357</v>
      </c>
      <c r="E6" s="223">
        <f>(+'App B Annual Deprec and CCA'!F86)*-1</f>
        <v>-4385255.7763912426</v>
      </c>
      <c r="F6" s="229">
        <f>ROUND(+D6+E6,-3)</f>
        <v>14649000</v>
      </c>
      <c r="G6" s="230">
        <f>+F6/('App E 2030 RateBase&amp;CostCapital'!E$28*1000)</f>
        <v>3.1852368869087613E-2</v>
      </c>
      <c r="H6" s="224">
        <f>ROUND(+F6*'App E 2030 RateBase&amp;CostCapital'!E$26,-3)</f>
        <v>1009000</v>
      </c>
      <c r="I6" s="325">
        <v>-719000</v>
      </c>
      <c r="J6" s="325">
        <f t="shared" si="0"/>
        <v>290000</v>
      </c>
      <c r="K6" s="224">
        <f>ROUND('App B Annual Deprec and CCA'!F70,-3)</f>
        <v>1658000</v>
      </c>
      <c r="L6" s="224">
        <f>ROUND(238584,-3)</f>
        <v>239000</v>
      </c>
      <c r="M6" s="224">
        <f t="shared" si="1"/>
        <v>128000</v>
      </c>
      <c r="N6" s="225">
        <f t="shared" si="2"/>
        <v>2315000</v>
      </c>
      <c r="O6" s="222">
        <f t="shared" si="3"/>
        <v>2315000</v>
      </c>
      <c r="P6" s="222">
        <f>ROUND(+'[1]5 Year Plan'!$N$15*1000,-3)</f>
        <v>1454557000</v>
      </c>
      <c r="Q6" s="226">
        <f t="shared" si="4"/>
        <v>1.5900000000000001E-3</v>
      </c>
      <c r="R6" s="227">
        <f t="shared" si="5"/>
        <v>12.402000000000001</v>
      </c>
      <c r="S6" s="228">
        <f t="shared" si="6"/>
        <v>190.8</v>
      </c>
    </row>
    <row r="7" spans="1:19" x14ac:dyDescent="0.2">
      <c r="A7" s="221">
        <v>2027</v>
      </c>
      <c r="B7" s="222">
        <f>ROUND(16629,-2)</f>
        <v>16600</v>
      </c>
      <c r="C7" s="222">
        <f>ROUND(B7/(1-17%)*17%,-3)*0</f>
        <v>0</v>
      </c>
      <c r="D7" s="222">
        <f>+'App B Annual Deprec and CCA'!G72+C3+C4+C5+C6+C7</f>
        <v>17099721.533644687</v>
      </c>
      <c r="E7" s="223">
        <f>(+'App B Annual Deprec and CCA'!G86)*-1</f>
        <v>-3436142.4378039949</v>
      </c>
      <c r="F7" s="229">
        <f>ROUND(+D7+E7,-3)</f>
        <v>13664000</v>
      </c>
      <c r="G7" s="230">
        <f>+F7/('App E 2030 RateBase&amp;CostCapital'!E$28*1000)</f>
        <v>2.9710612890109435E-2</v>
      </c>
      <c r="H7" s="224">
        <f>ROUND(+F7*'App E 2030 RateBase&amp;CostCapital'!E$26,-3)</f>
        <v>941000</v>
      </c>
      <c r="I7" s="326"/>
      <c r="J7" s="325">
        <f t="shared" si="0"/>
        <v>941000</v>
      </c>
      <c r="K7" s="224">
        <f>ROUND('App B Annual Deprec and CCA'!G70,-3)</f>
        <v>1951000</v>
      </c>
      <c r="L7" s="224">
        <f>ROUND(470830+857952,-3)</f>
        <v>1329000</v>
      </c>
      <c r="M7" s="224">
        <f t="shared" si="1"/>
        <v>119000</v>
      </c>
      <c r="N7" s="225">
        <f t="shared" si="2"/>
        <v>4340000</v>
      </c>
      <c r="O7" s="222">
        <f t="shared" si="3"/>
        <v>4340000</v>
      </c>
      <c r="P7" s="222">
        <f>ROUND(+'[1]5 Year Plan'!$O$15*1000,-3)</f>
        <v>1478412000</v>
      </c>
      <c r="Q7" s="226">
        <f t="shared" si="4"/>
        <v>2.9399999999999999E-3</v>
      </c>
      <c r="R7" s="227">
        <f t="shared" si="5"/>
        <v>22.932000000000002</v>
      </c>
      <c r="S7" s="228">
        <f t="shared" si="6"/>
        <v>352.79999999999995</v>
      </c>
    </row>
    <row r="8" spans="1:19" x14ac:dyDescent="0.2">
      <c r="A8" s="221">
        <v>2028</v>
      </c>
      <c r="B8" s="222">
        <f>ROUND(2820990,-2)</f>
        <v>2821000</v>
      </c>
      <c r="C8" s="222">
        <f>ROUND(B8/(1-17%)*17%,-3)*0</f>
        <v>0</v>
      </c>
      <c r="D8" s="222">
        <f>+'App B Annual Deprec and CCA'!H72+SUM(C3:C8)</f>
        <v>17875582.44670802</v>
      </c>
      <c r="E8" s="223">
        <f>(+'App B Annual Deprec and CCA'!H86)*-1</f>
        <v>-2986311.4198636962</v>
      </c>
      <c r="F8" s="229">
        <f t="shared" ref="F8:F10" si="7">ROUND(+D8+E8,-3)</f>
        <v>14889000</v>
      </c>
      <c r="G8" s="230">
        <f>+F8/('App E 2030 RateBase&amp;CostCapital'!E$28*1000)</f>
        <v>3.2374218041630515E-2</v>
      </c>
      <c r="H8" s="224">
        <f>ROUND(+F8*'App E 2030 RateBase&amp;CostCapital'!E$26,-3)</f>
        <v>1026000</v>
      </c>
      <c r="I8" s="326"/>
      <c r="J8" s="325">
        <f t="shared" si="0"/>
        <v>1026000</v>
      </c>
      <c r="K8" s="224">
        <f>ROUND('App B Annual Deprec and CCA'!H70,-3)</f>
        <v>2045000</v>
      </c>
      <c r="L8" s="224">
        <f>ROUND(470830*1.025+954515,-3)</f>
        <v>1437000</v>
      </c>
      <c r="M8" s="224">
        <f t="shared" si="1"/>
        <v>130000</v>
      </c>
      <c r="N8" s="225">
        <f t="shared" si="2"/>
        <v>4638000</v>
      </c>
      <c r="O8" s="222">
        <f t="shared" si="3"/>
        <v>4638000</v>
      </c>
      <c r="P8" s="222">
        <f>ROUND(+'[1]5 Year Plan'!$P$15*1000,-3)</f>
        <v>1502657000</v>
      </c>
      <c r="Q8" s="226">
        <f t="shared" si="4"/>
        <v>3.0899999999999999E-3</v>
      </c>
      <c r="R8" s="227">
        <f t="shared" si="5"/>
        <v>24.101999999999997</v>
      </c>
      <c r="S8" s="228">
        <f t="shared" si="6"/>
        <v>370.79999999999995</v>
      </c>
    </row>
    <row r="9" spans="1:19" x14ac:dyDescent="0.2">
      <c r="A9" s="221">
        <v>2029</v>
      </c>
      <c r="B9" s="222">
        <f>+ROUND(1712789,-2)</f>
        <v>1712800</v>
      </c>
      <c r="C9" s="222">
        <f>ROUND(B9/(1-17%)*17%,-3)*0</f>
        <v>0</v>
      </c>
      <c r="D9" s="222">
        <f>+'App B Annual Deprec and CCA'!I72+SUM(C3:C9)</f>
        <v>17392267.819771349</v>
      </c>
      <c r="E9" s="223">
        <f>(+'App B Annual Deprec and CCA'!I86)*-1</f>
        <v>-2531164.1366025927</v>
      </c>
      <c r="F9" s="229">
        <f t="shared" si="7"/>
        <v>14861000</v>
      </c>
      <c r="G9" s="230">
        <f>+F9/('App E 2030 RateBase&amp;CostCapital'!E$28*1000)</f>
        <v>3.2313335638167177E-2</v>
      </c>
      <c r="H9" s="224">
        <f>ROUND(+F9*'App E 2030 RateBase&amp;CostCapital'!E$26,-3)</f>
        <v>1024000</v>
      </c>
      <c r="I9" s="326"/>
      <c r="J9" s="325">
        <f t="shared" si="0"/>
        <v>1024000</v>
      </c>
      <c r="K9" s="224">
        <f>ROUND('App B Annual Deprec and CCA'!I70,-3)</f>
        <v>2196000</v>
      </c>
      <c r="L9" s="224">
        <f>ROUND(470830*1.025*1.025+930241,-3)</f>
        <v>1425000</v>
      </c>
      <c r="M9" s="224">
        <f t="shared" si="1"/>
        <v>130000</v>
      </c>
      <c r="N9" s="225">
        <f t="shared" si="2"/>
        <v>4775000</v>
      </c>
      <c r="O9" s="222">
        <f t="shared" si="3"/>
        <v>4775000</v>
      </c>
      <c r="P9" s="222">
        <f>ROUND(+'[1]5 Year Plan'!$Q$15*1000,-3)</f>
        <v>1527301000</v>
      </c>
      <c r="Q9" s="226">
        <f t="shared" si="4"/>
        <v>3.13E-3</v>
      </c>
      <c r="R9" s="227">
        <f t="shared" si="5"/>
        <v>24.414000000000001</v>
      </c>
      <c r="S9" s="228">
        <f t="shared" si="6"/>
        <v>375.6</v>
      </c>
    </row>
    <row r="10" spans="1:19" x14ac:dyDescent="0.2">
      <c r="A10" s="221">
        <v>2030</v>
      </c>
      <c r="B10" s="222">
        <f>ROUND(1364300,-2)</f>
        <v>1364300</v>
      </c>
      <c r="C10" s="222">
        <f>ROUND(B10/(1-17%)*17%,-3)*0</f>
        <v>0</v>
      </c>
      <c r="D10" s="222">
        <f>+'App B Annual Deprec and CCA'!J72+SUM(C3:C10)</f>
        <v>16457985.762834681</v>
      </c>
      <c r="E10" s="231">
        <f>-'App B Annual Deprec and CCA'!J86</f>
        <v>-2064356.1299543474</v>
      </c>
      <c r="F10" s="229">
        <f t="shared" si="7"/>
        <v>14394000</v>
      </c>
      <c r="G10" s="230">
        <f>+F10/('App E 2030 RateBase&amp;CostCapital'!E$28*1000)</f>
        <v>3.1297904123260778E-2</v>
      </c>
      <c r="H10" s="224">
        <f>ROUND(+F10*'App E 2030 RateBase&amp;CostCapital'!E$26,-3)</f>
        <v>991000</v>
      </c>
      <c r="I10" s="326"/>
      <c r="J10" s="325">
        <f t="shared" si="0"/>
        <v>991000</v>
      </c>
      <c r="K10" s="224">
        <f>ROUND('App B Annual Deprec and CCA'!J70,-3)</f>
        <v>2299000</v>
      </c>
      <c r="L10" s="224">
        <f>ROUND(470830*1.025*1.025*1.025+944362,-3)</f>
        <v>1451000</v>
      </c>
      <c r="M10" s="224">
        <f>ROUND(+I21*0.31,-3)</f>
        <v>126000</v>
      </c>
      <c r="N10" s="225">
        <f t="shared" si="2"/>
        <v>4867000</v>
      </c>
      <c r="O10" s="222">
        <f t="shared" si="3"/>
        <v>4867000</v>
      </c>
      <c r="P10" s="222">
        <f>ROUND(+'[1]5 Year Plan'!$R$15*1000,-3)</f>
        <v>1552349000</v>
      </c>
      <c r="Q10" s="226">
        <f t="shared" si="4"/>
        <v>3.14E-3</v>
      </c>
      <c r="R10" s="227">
        <f t="shared" si="5"/>
        <v>24.491999999999997</v>
      </c>
      <c r="S10" s="228">
        <f t="shared" si="6"/>
        <v>376.79999999999995</v>
      </c>
    </row>
    <row r="11" spans="1:19" x14ac:dyDescent="0.2">
      <c r="A11" s="232"/>
      <c r="B11" s="233"/>
      <c r="C11" s="233"/>
      <c r="D11" s="233"/>
      <c r="E11" s="234"/>
      <c r="F11" s="235"/>
      <c r="G11" s="236"/>
      <c r="H11" s="237"/>
      <c r="I11" s="237"/>
      <c r="J11" s="237"/>
      <c r="K11" s="237"/>
      <c r="L11" s="237"/>
      <c r="M11" s="238"/>
      <c r="N11" s="233"/>
      <c r="O11" s="233"/>
      <c r="P11" s="239"/>
      <c r="Q11" s="240"/>
      <c r="R11" s="241"/>
    </row>
    <row r="12" spans="1:19" x14ac:dyDescent="0.2">
      <c r="A12" s="232"/>
      <c r="B12" s="233"/>
      <c r="C12" s="233"/>
      <c r="D12" s="233"/>
      <c r="E12" s="327" t="s">
        <v>219</v>
      </c>
      <c r="F12" s="328"/>
      <c r="G12" s="328"/>
      <c r="H12" s="328"/>
      <c r="I12" s="329"/>
      <c r="J12" s="252"/>
      <c r="K12" s="252"/>
      <c r="L12" s="237"/>
      <c r="M12" s="238"/>
      <c r="N12" s="233"/>
      <c r="O12" s="233"/>
      <c r="P12" s="239"/>
      <c r="Q12" s="240"/>
      <c r="R12" s="241"/>
    </row>
    <row r="13" spans="1:19" ht="63.75" x14ac:dyDescent="0.2">
      <c r="A13" s="242"/>
      <c r="B13" s="233"/>
      <c r="C13" s="233"/>
      <c r="D13" s="233"/>
      <c r="E13" s="243"/>
      <c r="F13" s="244" t="s">
        <v>287</v>
      </c>
      <c r="G13" s="244" t="s">
        <v>288</v>
      </c>
      <c r="H13" s="244" t="s">
        <v>289</v>
      </c>
      <c r="I13" s="245" t="s">
        <v>290</v>
      </c>
      <c r="J13" s="244"/>
      <c r="K13" s="244"/>
      <c r="L13" s="242"/>
      <c r="M13" s="242"/>
      <c r="N13" s="242"/>
      <c r="O13" s="242"/>
      <c r="P13" s="242"/>
      <c r="Q13" s="242"/>
      <c r="R13" s="242"/>
    </row>
    <row r="14" spans="1:19" x14ac:dyDescent="0.2">
      <c r="A14" s="242"/>
      <c r="B14" s="242"/>
      <c r="C14" s="242"/>
      <c r="D14" s="242"/>
      <c r="E14" s="246">
        <v>2023</v>
      </c>
      <c r="F14" s="247">
        <f>+F3*'App E 2030 RateBase&amp;CostCapital'!E$25</f>
        <v>64206.206602048995</v>
      </c>
      <c r="G14" s="247">
        <f t="shared" ref="G14:G21" si="8">F14/(1-31%)</f>
        <v>93052.473336302894</v>
      </c>
      <c r="H14" s="247">
        <f>-F3*'App E 2030 RateBase&amp;CostCapital'!E$24</f>
        <v>-47446.368621295762</v>
      </c>
      <c r="I14" s="248">
        <f t="shared" ref="I14:I21" si="9">SUM(G14:H14)</f>
        <v>45606.104715007132</v>
      </c>
      <c r="J14" s="253"/>
      <c r="K14" s="253"/>
      <c r="L14" s="242"/>
      <c r="M14" s="242"/>
      <c r="N14" s="242"/>
      <c r="O14" s="242"/>
      <c r="P14" s="242"/>
      <c r="Q14" s="242"/>
      <c r="R14" s="242"/>
    </row>
    <row r="15" spans="1:19" x14ac:dyDescent="0.2">
      <c r="A15" s="242"/>
      <c r="B15" s="242"/>
      <c r="C15" s="242"/>
      <c r="D15" s="242"/>
      <c r="E15" s="246">
        <v>2024</v>
      </c>
      <c r="F15" s="247">
        <f>+F4*'App E 2030 RateBase&amp;CostCapital'!E$25</f>
        <v>356520.70673969341</v>
      </c>
      <c r="G15" s="247">
        <f t="shared" si="8"/>
        <v>516696.67643433833</v>
      </c>
      <c r="H15" s="247">
        <f>-F4*'App E 2030 RateBase&amp;CostCapital'!E$24</f>
        <v>-263457.59652084095</v>
      </c>
      <c r="I15" s="248">
        <f t="shared" si="9"/>
        <v>253239.07991349738</v>
      </c>
      <c r="J15" s="253"/>
      <c r="K15" s="253"/>
      <c r="L15" s="242"/>
      <c r="M15" s="242"/>
      <c r="N15" s="242"/>
      <c r="O15" s="242"/>
      <c r="P15" s="242"/>
      <c r="Q15" s="242"/>
      <c r="R15" s="242"/>
    </row>
    <row r="16" spans="1:19" x14ac:dyDescent="0.2">
      <c r="A16" s="242"/>
      <c r="B16" s="242"/>
      <c r="C16" s="242"/>
      <c r="D16" s="242"/>
      <c r="E16" s="246">
        <v>2025</v>
      </c>
      <c r="F16" s="247">
        <f>+F5*'App E 2030 RateBase&amp;CostCapital'!E$25</f>
        <v>458236.64662498754</v>
      </c>
      <c r="G16" s="247">
        <f t="shared" si="8"/>
        <v>664111.08206519939</v>
      </c>
      <c r="H16" s="247">
        <f>-F5*'App E 2030 RateBase&amp;CostCapital'!E$24</f>
        <v>-338622.47907450382</v>
      </c>
      <c r="I16" s="248">
        <f t="shared" si="9"/>
        <v>325488.60299069557</v>
      </c>
      <c r="J16" s="253"/>
      <c r="K16" s="253"/>
      <c r="L16" s="242"/>
      <c r="M16" s="242"/>
      <c r="N16" s="242"/>
      <c r="O16" s="242"/>
      <c r="P16" s="242"/>
      <c r="Q16" s="242"/>
      <c r="R16" s="242"/>
    </row>
    <row r="17" spans="1:18" x14ac:dyDescent="0.2">
      <c r="A17" s="242"/>
      <c r="B17" s="242"/>
      <c r="C17" s="242"/>
      <c r="D17" s="242"/>
      <c r="E17" s="246">
        <v>2026</v>
      </c>
      <c r="F17" s="247">
        <f>+F6*'App E 2030 RateBase&amp;CostCapital'!E$25</f>
        <v>580232.40006996656</v>
      </c>
      <c r="G17" s="247">
        <f t="shared" si="8"/>
        <v>840916.52184053126</v>
      </c>
      <c r="H17" s="247">
        <f>-F6*'App E 2030 RateBase&amp;CostCapital'!E$24</f>
        <v>-428773.50643637363</v>
      </c>
      <c r="I17" s="248">
        <f t="shared" si="9"/>
        <v>412143.01540415763</v>
      </c>
      <c r="J17" s="253"/>
      <c r="K17" s="253"/>
      <c r="L17" s="242"/>
      <c r="M17" s="242"/>
      <c r="N17" s="242"/>
      <c r="O17" s="242"/>
      <c r="P17" s="242"/>
      <c r="Q17" s="242"/>
      <c r="R17" s="242"/>
    </row>
    <row r="18" spans="1:18" x14ac:dyDescent="0.2">
      <c r="A18" s="242"/>
      <c r="B18" s="242"/>
      <c r="C18" s="242"/>
      <c r="D18" s="242"/>
      <c r="E18" s="246">
        <v>2027</v>
      </c>
      <c r="F18" s="247">
        <f>+F7*'App E 2030 RateBase&amp;CostCapital'!E$25</f>
        <v>541217.52437408851</v>
      </c>
      <c r="G18" s="247">
        <f t="shared" si="8"/>
        <v>784373.22373056307</v>
      </c>
      <c r="H18" s="247">
        <f>-F7*'App E 2030 RateBase&amp;CostCapital'!E$24</f>
        <v>-399942.73956902238</v>
      </c>
      <c r="I18" s="248">
        <f t="shared" si="9"/>
        <v>384430.48416154069</v>
      </c>
      <c r="J18" s="253"/>
      <c r="K18" s="253"/>
      <c r="L18" s="242"/>
      <c r="M18" s="242"/>
      <c r="N18" s="242"/>
      <c r="O18" s="242"/>
      <c r="P18" s="242"/>
      <c r="Q18" s="242"/>
      <c r="R18" s="242"/>
    </row>
    <row r="19" spans="1:18" x14ac:dyDescent="0.2">
      <c r="A19" s="242"/>
      <c r="B19" s="242"/>
      <c r="C19" s="242"/>
      <c r="D19" s="242"/>
      <c r="E19" s="246">
        <v>2028</v>
      </c>
      <c r="F19" s="247">
        <f>+F8*'App E 2030 RateBase&amp;CostCapital'!E$25</f>
        <v>589738.56267606874</v>
      </c>
      <c r="G19" s="247">
        <f t="shared" si="8"/>
        <v>854693.56909575185</v>
      </c>
      <c r="H19" s="247">
        <f>-F8*'App E 2030 RateBase&amp;CostCapital'!E$24</f>
        <v>-435798.26181522064</v>
      </c>
      <c r="I19" s="248">
        <f t="shared" si="9"/>
        <v>418895.30728053121</v>
      </c>
      <c r="J19" s="253"/>
      <c r="K19" s="253"/>
      <c r="L19" s="242"/>
      <c r="M19" s="242"/>
      <c r="N19" s="242"/>
      <c r="O19" s="242"/>
      <c r="P19" s="242"/>
      <c r="Q19" s="242"/>
      <c r="R19" s="242"/>
    </row>
    <row r="20" spans="1:18" x14ac:dyDescent="0.2">
      <c r="A20" s="242"/>
      <c r="B20" s="242"/>
      <c r="C20" s="242"/>
      <c r="D20" s="242"/>
      <c r="E20" s="246">
        <v>2029</v>
      </c>
      <c r="F20" s="247">
        <f>+F9*'App E 2030 RateBase&amp;CostCapital'!E$25</f>
        <v>588629.51037202345</v>
      </c>
      <c r="G20" s="247">
        <f t="shared" si="8"/>
        <v>853086.24691597605</v>
      </c>
      <c r="H20" s="247">
        <f>-F9*'App E 2030 RateBase&amp;CostCapital'!E$24</f>
        <v>-434978.70702102181</v>
      </c>
      <c r="I20" s="248">
        <f t="shared" si="9"/>
        <v>418107.53989495424</v>
      </c>
      <c r="J20" s="253"/>
      <c r="K20" s="253"/>
      <c r="L20" s="242"/>
      <c r="M20" s="242"/>
      <c r="N20" s="242"/>
      <c r="O20" s="242"/>
      <c r="P20" s="242"/>
      <c r="Q20" s="242"/>
      <c r="R20" s="242"/>
    </row>
    <row r="21" spans="1:18" x14ac:dyDescent="0.2">
      <c r="A21" s="242"/>
      <c r="B21" s="242"/>
      <c r="C21" s="242"/>
      <c r="D21" s="242"/>
      <c r="E21" s="249">
        <v>2030</v>
      </c>
      <c r="F21" s="250">
        <f>+F10*'App E 2030 RateBase&amp;CostCapital'!E$25</f>
        <v>570132.10230098281</v>
      </c>
      <c r="G21" s="250">
        <f t="shared" si="8"/>
        <v>826278.4091318592</v>
      </c>
      <c r="H21" s="250">
        <f>-F10*'App E 2030 RateBase&amp;CostCapital'!E$24</f>
        <v>-421309.70384634868</v>
      </c>
      <c r="I21" s="251">
        <f t="shared" si="9"/>
        <v>404968.70528551051</v>
      </c>
      <c r="J21" s="253"/>
      <c r="K21" s="253"/>
      <c r="L21" s="242"/>
      <c r="M21" s="242"/>
      <c r="N21" s="242"/>
      <c r="O21" s="242"/>
      <c r="P21" s="242"/>
      <c r="Q21" s="242"/>
      <c r="R21" s="242"/>
    </row>
    <row r="23" spans="1:18" x14ac:dyDescent="0.2">
      <c r="A23" s="255" t="s">
        <v>241</v>
      </c>
    </row>
    <row r="24" spans="1:18" x14ac:dyDescent="0.2">
      <c r="A24" s="21" t="s">
        <v>225</v>
      </c>
    </row>
    <row r="25" spans="1:18" x14ac:dyDescent="0.2">
      <c r="A25" s="1" t="s">
        <v>247</v>
      </c>
    </row>
    <row r="26" spans="1:18" x14ac:dyDescent="0.2">
      <c r="A26" s="1" t="s">
        <v>248</v>
      </c>
    </row>
  </sheetData>
  <mergeCells count="1">
    <mergeCell ref="E12:I12"/>
  </mergeCells>
  <pageMargins left="0.7" right="0.7" top="0.75" bottom="0.75" header="0.3" footer="0.3"/>
  <pageSetup scale="63" orientation="landscape" r:id="rId1"/>
  <headerFooter>
    <oddHeader xml:space="preserve">&amp;CAppendix 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A3" sqref="A3:G17"/>
    </sheetView>
  </sheetViews>
  <sheetFormatPr defaultRowHeight="12" x14ac:dyDescent="0.2"/>
  <cols>
    <col min="1" max="1" width="28.5703125" style="197" customWidth="1"/>
    <col min="2" max="2" width="9" style="197" customWidth="1"/>
    <col min="3" max="3" width="9.85546875" style="197" bestFit="1" customWidth="1"/>
    <col min="4" max="4" width="14.28515625" style="197" customWidth="1"/>
    <col min="5" max="5" width="22.28515625" style="197" customWidth="1"/>
    <col min="6" max="6" width="22.5703125" style="197" customWidth="1"/>
    <col min="7" max="7" width="8.140625" style="197" customWidth="1"/>
    <col min="8" max="16384" width="9.140625" style="197"/>
  </cols>
  <sheetData>
    <row r="1" spans="1:7" x14ac:dyDescent="0.2">
      <c r="A1" s="197" t="s">
        <v>174</v>
      </c>
    </row>
    <row r="2" spans="1:7" ht="12.75" thickBot="1" x14ac:dyDescent="0.25"/>
    <row r="3" spans="1:7" s="198" customFormat="1" ht="15.75" customHeight="1" thickBot="1" x14ac:dyDescent="0.25">
      <c r="A3" s="330" t="s">
        <v>208</v>
      </c>
      <c r="B3" s="331"/>
      <c r="C3" s="331"/>
      <c r="D3" s="331"/>
      <c r="E3" s="331"/>
      <c r="F3" s="331"/>
      <c r="G3" s="332"/>
    </row>
    <row r="4" spans="1:7" s="198" customFormat="1" ht="48.75" thickBot="1" x14ac:dyDescent="0.25">
      <c r="A4" s="199" t="s">
        <v>175</v>
      </c>
      <c r="B4" s="200" t="s">
        <v>176</v>
      </c>
      <c r="C4" s="201" t="s">
        <v>112</v>
      </c>
      <c r="D4" s="200" t="s">
        <v>199</v>
      </c>
      <c r="E4" s="200" t="s">
        <v>222</v>
      </c>
      <c r="F4" s="200" t="s">
        <v>221</v>
      </c>
      <c r="G4" s="200" t="s">
        <v>223</v>
      </c>
    </row>
    <row r="5" spans="1:7" s="198" customFormat="1" ht="24.75" thickBot="1" x14ac:dyDescent="0.25">
      <c r="A5" s="202" t="s">
        <v>177</v>
      </c>
      <c r="B5" s="203">
        <v>1</v>
      </c>
      <c r="C5" s="203" t="s">
        <v>178</v>
      </c>
      <c r="D5" s="203">
        <v>96.56</v>
      </c>
      <c r="E5" s="203">
        <v>96.45</v>
      </c>
      <c r="F5" s="203">
        <v>96.07</v>
      </c>
      <c r="G5" s="204">
        <f>(F5-D5)/D5</f>
        <v>-5.0745650372826124E-3</v>
      </c>
    </row>
    <row r="6" spans="1:7" s="198" customFormat="1" ht="24.75" thickBot="1" x14ac:dyDescent="0.25">
      <c r="A6" s="205" t="s">
        <v>200</v>
      </c>
      <c r="B6" s="206">
        <v>2</v>
      </c>
      <c r="C6" s="206" t="s">
        <v>179</v>
      </c>
      <c r="D6" s="206">
        <v>70.650000000000006</v>
      </c>
      <c r="E6" s="206">
        <v>70.3</v>
      </c>
      <c r="F6" s="206">
        <v>69.23</v>
      </c>
      <c r="G6" s="204">
        <f>(F6-D6)/D6</f>
        <v>-2.0099079971691459E-2</v>
      </c>
    </row>
    <row r="7" spans="1:7" s="198" customFormat="1" ht="12.75" thickBot="1" x14ac:dyDescent="0.25">
      <c r="A7" s="207" t="s">
        <v>201</v>
      </c>
      <c r="B7" s="203" t="s">
        <v>180</v>
      </c>
      <c r="C7" s="203" t="s">
        <v>181</v>
      </c>
      <c r="D7" s="208">
        <v>8210.57</v>
      </c>
      <c r="E7" s="208">
        <f>+D7</f>
        <v>8210.57</v>
      </c>
      <c r="F7" s="208">
        <v>8210.57</v>
      </c>
      <c r="G7" s="208" t="s">
        <v>187</v>
      </c>
    </row>
    <row r="8" spans="1:7" s="198" customFormat="1" ht="12.75" thickBot="1" x14ac:dyDescent="0.25">
      <c r="A8" s="202" t="s">
        <v>202</v>
      </c>
      <c r="B8" s="203" t="s">
        <v>182</v>
      </c>
      <c r="C8" s="203" t="s">
        <v>181</v>
      </c>
      <c r="D8" s="208">
        <v>8175.68</v>
      </c>
      <c r="E8" s="208">
        <f>+D8</f>
        <v>8175.68</v>
      </c>
      <c r="F8" s="208">
        <v>8175.68</v>
      </c>
      <c r="G8" s="208" t="s">
        <v>187</v>
      </c>
    </row>
    <row r="9" spans="1:7" s="198" customFormat="1" ht="24.75" thickBot="1" x14ac:dyDescent="0.25">
      <c r="A9" s="205" t="s">
        <v>203</v>
      </c>
      <c r="B9" s="206" t="s">
        <v>183</v>
      </c>
      <c r="C9" s="206" t="s">
        <v>181</v>
      </c>
      <c r="D9" s="206" t="s">
        <v>184</v>
      </c>
      <c r="E9" s="206" t="str">
        <f>+D9</f>
        <v>$0.44/MWh</v>
      </c>
      <c r="F9" s="206" t="s">
        <v>184</v>
      </c>
      <c r="G9" s="206" t="s">
        <v>187</v>
      </c>
    </row>
    <row r="10" spans="1:7" s="198" customFormat="1" ht="12.75" thickBot="1" x14ac:dyDescent="0.25">
      <c r="A10" s="202" t="s">
        <v>185</v>
      </c>
      <c r="B10" s="203">
        <v>4</v>
      </c>
      <c r="C10" s="203" t="s">
        <v>186</v>
      </c>
      <c r="D10" s="203" t="s">
        <v>187</v>
      </c>
      <c r="E10" s="203" t="s">
        <v>187</v>
      </c>
      <c r="F10" s="203" t="s">
        <v>187</v>
      </c>
      <c r="G10" s="203" t="s">
        <v>187</v>
      </c>
    </row>
    <row r="11" spans="1:7" s="198" customFormat="1" ht="12.75" thickBot="1" x14ac:dyDescent="0.25">
      <c r="A11" s="202" t="s">
        <v>206</v>
      </c>
      <c r="B11" s="203">
        <v>5</v>
      </c>
      <c r="C11" s="203" t="s">
        <v>181</v>
      </c>
      <c r="D11" s="208">
        <v>8164.06</v>
      </c>
      <c r="E11" s="208">
        <f>+D11</f>
        <v>8164.06</v>
      </c>
      <c r="F11" s="208">
        <v>8164.06</v>
      </c>
      <c r="G11" s="208" t="s">
        <v>187</v>
      </c>
    </row>
    <row r="12" spans="1:7" s="198" customFormat="1" ht="24.75" thickBot="1" x14ac:dyDescent="0.25">
      <c r="A12" s="205" t="s">
        <v>204</v>
      </c>
      <c r="B12" s="206" t="s">
        <v>188</v>
      </c>
      <c r="C12" s="206" t="s">
        <v>181</v>
      </c>
      <c r="D12" s="209">
        <v>3908.48</v>
      </c>
      <c r="E12" s="209">
        <f>+D12</f>
        <v>3908.48</v>
      </c>
      <c r="F12" s="209">
        <v>3908.48</v>
      </c>
      <c r="G12" s="209" t="s">
        <v>187</v>
      </c>
    </row>
    <row r="13" spans="1:7" s="198" customFormat="1" ht="24.75" thickBot="1" x14ac:dyDescent="0.25">
      <c r="A13" s="205" t="s">
        <v>205</v>
      </c>
      <c r="B13" s="206" t="s">
        <v>189</v>
      </c>
      <c r="C13" s="206" t="s">
        <v>181</v>
      </c>
      <c r="D13" s="209">
        <v>3908.48</v>
      </c>
      <c r="E13" s="209">
        <f>+D13</f>
        <v>3908.48</v>
      </c>
      <c r="F13" s="209">
        <v>3908.48</v>
      </c>
      <c r="G13" s="209" t="s">
        <v>187</v>
      </c>
    </row>
    <row r="14" spans="1:7" s="198" customFormat="1" ht="24.75" thickBot="1" x14ac:dyDescent="0.25">
      <c r="A14" s="202" t="s">
        <v>190</v>
      </c>
      <c r="B14" s="203" t="s">
        <v>191</v>
      </c>
      <c r="C14" s="203" t="s">
        <v>192</v>
      </c>
      <c r="D14" s="208">
        <v>3831.93</v>
      </c>
      <c r="E14" s="210">
        <v>3917.32</v>
      </c>
      <c r="F14" s="210">
        <v>4182.1400000000003</v>
      </c>
      <c r="G14" s="204">
        <f>(F14-D14)/D14</f>
        <v>9.1392588069197644E-2</v>
      </c>
    </row>
    <row r="15" spans="1:7" s="198" customFormat="1" ht="12.75" thickBot="1" x14ac:dyDescent="0.25">
      <c r="A15" s="202" t="s">
        <v>193</v>
      </c>
      <c r="B15" s="203">
        <v>9</v>
      </c>
      <c r="C15" s="203" t="s">
        <v>194</v>
      </c>
      <c r="D15" s="211">
        <v>1.77E-2</v>
      </c>
      <c r="E15" s="212">
        <v>1.7399999999999999E-2</v>
      </c>
      <c r="F15" s="212">
        <v>1.6500000000000001E-2</v>
      </c>
      <c r="G15" s="204">
        <f>(F15-D15)/D15</f>
        <v>-6.7796610169491511E-2</v>
      </c>
    </row>
    <row r="16" spans="1:7" s="198" customFormat="1" ht="12.75" thickBot="1" x14ac:dyDescent="0.25">
      <c r="A16" s="202" t="s">
        <v>195</v>
      </c>
      <c r="B16" s="203">
        <v>10</v>
      </c>
      <c r="C16" s="203" t="s">
        <v>186</v>
      </c>
      <c r="D16" s="203" t="s">
        <v>187</v>
      </c>
      <c r="E16" s="213" t="s">
        <v>187</v>
      </c>
      <c r="F16" s="213" t="s">
        <v>187</v>
      </c>
      <c r="G16" s="203" t="s">
        <v>187</v>
      </c>
    </row>
    <row r="17" spans="1:7" s="198" customFormat="1" ht="12.75" thickBot="1" x14ac:dyDescent="0.25">
      <c r="A17" s="202" t="s">
        <v>196</v>
      </c>
      <c r="B17" s="203" t="s">
        <v>197</v>
      </c>
      <c r="C17" s="203" t="s">
        <v>198</v>
      </c>
      <c r="D17" s="208">
        <v>3831.93</v>
      </c>
      <c r="E17" s="214">
        <f>+E14</f>
        <v>3917.32</v>
      </c>
      <c r="F17" s="214">
        <f>+F14</f>
        <v>4182.1400000000003</v>
      </c>
      <c r="G17" s="204">
        <f>(F17-D17)/D17</f>
        <v>9.1392588069197644E-2</v>
      </c>
    </row>
    <row r="18" spans="1:7" s="198" customFormat="1" ht="9" customHeight="1" x14ac:dyDescent="0.2">
      <c r="A18" s="215"/>
      <c r="B18" s="215"/>
      <c r="C18" s="215"/>
      <c r="D18" s="215"/>
      <c r="E18" s="215"/>
      <c r="F18" s="215"/>
      <c r="G18" s="215"/>
    </row>
    <row r="19" spans="1:7" ht="14.25" customHeight="1" x14ac:dyDescent="0.2">
      <c r="A19" s="333" t="s">
        <v>207</v>
      </c>
      <c r="B19" s="333"/>
      <c r="C19" s="333"/>
      <c r="D19" s="333"/>
      <c r="E19" s="333"/>
      <c r="F19" s="333"/>
      <c r="G19" s="333"/>
    </row>
  </sheetData>
  <mergeCells count="2">
    <mergeCell ref="A3:G3"/>
    <mergeCell ref="A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88"/>
  <sheetViews>
    <sheetView topLeftCell="A12" zoomScaleNormal="100" workbookViewId="0">
      <selection activeCell="L80" sqref="L80"/>
    </sheetView>
  </sheetViews>
  <sheetFormatPr defaultColWidth="7.85546875" defaultRowHeight="11.25" x14ac:dyDescent="0.2"/>
  <cols>
    <col min="1" max="1" width="19.42578125" style="121" customWidth="1"/>
    <col min="2" max="2" width="7.7109375" style="122" customWidth="1"/>
    <col min="3" max="3" width="9.85546875" style="122" bestFit="1" customWidth="1"/>
    <col min="4" max="4" width="11.140625" style="122" bestFit="1" customWidth="1"/>
    <col min="5" max="5" width="10.7109375" style="122" customWidth="1"/>
    <col min="6" max="6" width="10.7109375" style="122" bestFit="1" customWidth="1"/>
    <col min="7" max="7" width="12" style="122" bestFit="1" customWidth="1"/>
    <col min="8" max="8" width="10.7109375" style="122" bestFit="1" customWidth="1"/>
    <col min="9" max="9" width="10.7109375" style="122" customWidth="1"/>
    <col min="10" max="11" width="10.7109375" style="122" bestFit="1" customWidth="1"/>
    <col min="12" max="12" width="9.85546875" style="122" bestFit="1" customWidth="1"/>
    <col min="13" max="13" width="5.7109375" style="122" customWidth="1"/>
    <col min="14" max="14" width="10" style="122" customWidth="1"/>
    <col min="15" max="15" width="9" style="122" bestFit="1" customWidth="1"/>
    <col min="16" max="16" width="9.85546875" style="122" bestFit="1" customWidth="1"/>
    <col min="17" max="17" width="5.7109375" style="122" customWidth="1"/>
    <col min="18" max="18" width="10" style="122" customWidth="1"/>
    <col min="19" max="19" width="7.42578125" style="122" bestFit="1" customWidth="1"/>
    <col min="20" max="20" width="9.85546875" style="122" bestFit="1" customWidth="1"/>
    <col min="21" max="21" width="5.7109375" style="122" customWidth="1"/>
    <col min="22" max="22" width="10" style="122" customWidth="1"/>
    <col min="23" max="23" width="9" style="122" bestFit="1" customWidth="1"/>
    <col min="24" max="24" width="9.85546875" style="122" bestFit="1" customWidth="1"/>
    <col min="25" max="25" width="5.7109375" style="122" customWidth="1"/>
    <col min="26" max="26" width="10" style="122" customWidth="1"/>
    <col min="27" max="27" width="9" style="122" bestFit="1" customWidth="1"/>
    <col min="28" max="28" width="9.85546875" style="122" bestFit="1" customWidth="1"/>
    <col min="29" max="29" width="5.7109375" style="122" customWidth="1"/>
    <col min="30" max="30" width="10" style="122" customWidth="1"/>
    <col min="31" max="31" width="9" style="122" bestFit="1" customWidth="1"/>
    <col min="32" max="32" width="9.85546875" style="122" bestFit="1" customWidth="1"/>
    <col min="33" max="33" width="5.7109375" style="122" customWidth="1"/>
    <col min="34" max="34" width="9.85546875" style="122" bestFit="1" customWidth="1"/>
    <col min="35" max="16384" width="7.85546875" style="122"/>
  </cols>
  <sheetData>
    <row r="1" spans="1:39" s="115" customFormat="1" ht="12.75" x14ac:dyDescent="0.2">
      <c r="A1" s="114" t="s">
        <v>138</v>
      </c>
      <c r="E1" s="116"/>
      <c r="F1" s="117"/>
      <c r="G1" s="118"/>
      <c r="O1" s="118"/>
      <c r="W1" s="118"/>
      <c r="AI1" s="119"/>
      <c r="AJ1" s="119"/>
      <c r="AK1" s="119"/>
      <c r="AL1" s="119"/>
      <c r="AM1" s="119"/>
    </row>
    <row r="2" spans="1:39" s="115" customFormat="1" ht="12" x14ac:dyDescent="0.2">
      <c r="A2" s="114" t="s">
        <v>275</v>
      </c>
      <c r="C2" s="116"/>
      <c r="D2" s="116"/>
      <c r="E2" s="116"/>
      <c r="AI2" s="119"/>
      <c r="AJ2" s="119"/>
      <c r="AK2" s="119"/>
      <c r="AL2" s="119"/>
      <c r="AM2" s="119"/>
    </row>
    <row r="3" spans="1:39" x14ac:dyDescent="0.2">
      <c r="C3" s="123"/>
      <c r="D3" s="124"/>
    </row>
    <row r="4" spans="1:39" x14ac:dyDescent="0.2">
      <c r="A4" s="314"/>
      <c r="B4" s="283" t="s">
        <v>139</v>
      </c>
      <c r="C4" s="338">
        <v>2023</v>
      </c>
      <c r="D4" s="339"/>
      <c r="E4" s="339"/>
      <c r="F4" s="340"/>
      <c r="G4" s="338">
        <f>C4+1</f>
        <v>2024</v>
      </c>
      <c r="H4" s="339"/>
      <c r="I4" s="339"/>
      <c r="J4" s="340"/>
      <c r="K4" s="338">
        <f>G4+1</f>
        <v>2025</v>
      </c>
      <c r="L4" s="339"/>
      <c r="M4" s="339"/>
      <c r="N4" s="340"/>
      <c r="O4" s="338">
        <f>K4+1</f>
        <v>2026</v>
      </c>
      <c r="P4" s="339"/>
      <c r="Q4" s="339"/>
      <c r="R4" s="340"/>
    </row>
    <row r="5" spans="1:39" ht="12" x14ac:dyDescent="0.2">
      <c r="A5" s="315" t="s">
        <v>140</v>
      </c>
      <c r="B5" s="284">
        <v>2022</v>
      </c>
      <c r="C5" s="278" t="s">
        <v>141</v>
      </c>
      <c r="D5" s="279" t="s">
        <v>143</v>
      </c>
      <c r="E5" s="279" t="s">
        <v>142</v>
      </c>
      <c r="F5" s="277" t="s">
        <v>139</v>
      </c>
      <c r="G5" s="278" t="s">
        <v>141</v>
      </c>
      <c r="H5" s="280" t="s">
        <v>143</v>
      </c>
      <c r="I5" s="280" t="str">
        <f>+E5</f>
        <v>WIP</v>
      </c>
      <c r="J5" s="277" t="s">
        <v>139</v>
      </c>
      <c r="K5" s="278" t="s">
        <v>141</v>
      </c>
      <c r="L5" s="281" t="s">
        <v>143</v>
      </c>
      <c r="M5" s="282" t="str">
        <f>+I5</f>
        <v>WIP</v>
      </c>
      <c r="N5" s="291" t="s">
        <v>139</v>
      </c>
      <c r="O5" s="278" t="s">
        <v>141</v>
      </c>
      <c r="P5" s="280" t="s">
        <v>143</v>
      </c>
      <c r="Q5" s="280" t="str">
        <f>+M5</f>
        <v>WIP</v>
      </c>
      <c r="R5" s="277" t="s">
        <v>139</v>
      </c>
    </row>
    <row r="6" spans="1:39" x14ac:dyDescent="0.2">
      <c r="B6" s="285"/>
      <c r="C6" s="127"/>
      <c r="D6" s="128"/>
      <c r="E6" s="128"/>
      <c r="F6" s="126"/>
      <c r="G6" s="127"/>
      <c r="H6" s="128"/>
      <c r="I6" s="128"/>
      <c r="J6" s="126"/>
      <c r="K6" s="127"/>
      <c r="L6" s="128"/>
      <c r="M6" s="128"/>
      <c r="N6" s="126"/>
      <c r="O6" s="127"/>
      <c r="P6" s="128"/>
      <c r="Q6" s="128"/>
      <c r="R6" s="126"/>
    </row>
    <row r="7" spans="1:39" ht="12" hidden="1" x14ac:dyDescent="0.2">
      <c r="A7" s="129" t="s">
        <v>144</v>
      </c>
      <c r="B7" s="286"/>
      <c r="C7" s="131">
        <f>+SUM([2]Budget!AP27)</f>
        <v>0</v>
      </c>
      <c r="D7" s="132"/>
      <c r="F7" s="130">
        <f t="shared" ref="F7:F16" si="0">SUM(B7+C7-D7)</f>
        <v>0</v>
      </c>
      <c r="G7" s="131">
        <f>SUM([2]Budget!BC27)</f>
        <v>0</v>
      </c>
      <c r="H7" s="133">
        <f>SUM(([2]Budget!$BC$40)*G7/G$17)</f>
        <v>0</v>
      </c>
      <c r="I7" s="133"/>
      <c r="J7" s="130">
        <f>SUM(F7+G7-H7)</f>
        <v>0</v>
      </c>
      <c r="K7" s="131"/>
      <c r="L7" s="133"/>
      <c r="N7" s="130">
        <f>SUM(J7+K7-L7)</f>
        <v>0</v>
      </c>
      <c r="O7" s="131">
        <f>SUM([2]Budget!BK27)</f>
        <v>0</v>
      </c>
      <c r="P7" s="133">
        <f>SUM(([2]Budget!$BC$40)*O7/O$17)</f>
        <v>0</v>
      </c>
      <c r="Q7" s="133"/>
      <c r="R7" s="130">
        <f>SUM(N7+O7-P7)</f>
        <v>0</v>
      </c>
    </row>
    <row r="8" spans="1:39" ht="12" hidden="1" x14ac:dyDescent="0.2">
      <c r="A8" s="129" t="s">
        <v>145</v>
      </c>
      <c r="B8" s="286"/>
      <c r="C8" s="133"/>
      <c r="D8" s="133"/>
      <c r="E8" s="133"/>
      <c r="F8" s="130">
        <f t="shared" si="0"/>
        <v>0</v>
      </c>
      <c r="G8" s="134"/>
      <c r="H8" s="133"/>
      <c r="I8" s="133"/>
      <c r="J8" s="130">
        <f t="shared" ref="J8:J16" si="1">SUM(F8+G8-H8)</f>
        <v>0</v>
      </c>
      <c r="K8" s="131"/>
      <c r="L8" s="133"/>
      <c r="M8" s="133"/>
      <c r="N8" s="130">
        <f t="shared" ref="N8:N16" si="2">SUM(J8+K8-L8)</f>
        <v>0</v>
      </c>
      <c r="O8" s="134"/>
      <c r="P8" s="133"/>
      <c r="Q8" s="133"/>
      <c r="R8" s="130">
        <f t="shared" ref="R8:R16" si="3">SUM(N8+O8-P8)</f>
        <v>0</v>
      </c>
    </row>
    <row r="9" spans="1:39" ht="12" hidden="1" x14ac:dyDescent="0.2">
      <c r="A9" s="129" t="s">
        <v>146</v>
      </c>
      <c r="B9" s="286"/>
      <c r="C9" s="133"/>
      <c r="D9" s="133"/>
      <c r="E9" s="132"/>
      <c r="F9" s="130">
        <f t="shared" si="0"/>
        <v>0</v>
      </c>
      <c r="G9" s="134"/>
      <c r="H9" s="133"/>
      <c r="I9" s="132"/>
      <c r="J9" s="130">
        <f t="shared" si="1"/>
        <v>0</v>
      </c>
      <c r="K9" s="131"/>
      <c r="L9" s="133"/>
      <c r="M9" s="133"/>
      <c r="N9" s="130">
        <f>SUM(J9+K9-L9)</f>
        <v>0</v>
      </c>
      <c r="O9" s="134"/>
      <c r="P9" s="133"/>
      <c r="Q9" s="132"/>
      <c r="R9" s="130">
        <f t="shared" si="3"/>
        <v>0</v>
      </c>
    </row>
    <row r="10" spans="1:39" ht="12" hidden="1" x14ac:dyDescent="0.2">
      <c r="A10" s="129" t="s">
        <v>147</v>
      </c>
      <c r="B10" s="286"/>
      <c r="C10" s="133"/>
      <c r="D10" s="133"/>
      <c r="E10" s="132"/>
      <c r="F10" s="130">
        <f t="shared" si="0"/>
        <v>0</v>
      </c>
      <c r="G10" s="134"/>
      <c r="H10" s="133"/>
      <c r="I10" s="132"/>
      <c r="J10" s="130">
        <f t="shared" si="1"/>
        <v>0</v>
      </c>
      <c r="K10" s="131"/>
      <c r="L10" s="133"/>
      <c r="M10" s="133"/>
      <c r="N10" s="130">
        <f t="shared" si="2"/>
        <v>0</v>
      </c>
      <c r="O10" s="134"/>
      <c r="P10" s="133"/>
      <c r="Q10" s="132"/>
      <c r="R10" s="130">
        <f t="shared" si="3"/>
        <v>0</v>
      </c>
    </row>
    <row r="11" spans="1:39" s="135" customFormat="1" ht="12" hidden="1" x14ac:dyDescent="0.2">
      <c r="A11" s="129" t="s">
        <v>148</v>
      </c>
      <c r="B11" s="286">
        <v>0</v>
      </c>
      <c r="C11" s="133"/>
      <c r="D11" s="133"/>
      <c r="E11" s="132"/>
      <c r="F11" s="130">
        <f t="shared" si="0"/>
        <v>0</v>
      </c>
      <c r="G11" s="134"/>
      <c r="H11" s="133"/>
      <c r="I11" s="132"/>
      <c r="J11" s="130">
        <f t="shared" si="1"/>
        <v>0</v>
      </c>
      <c r="K11" s="131"/>
      <c r="L11" s="133"/>
      <c r="M11" s="133"/>
      <c r="N11" s="130">
        <f t="shared" si="2"/>
        <v>0</v>
      </c>
      <c r="O11" s="134"/>
      <c r="P11" s="133"/>
      <c r="Q11" s="132"/>
      <c r="R11" s="130">
        <f t="shared" si="3"/>
        <v>0</v>
      </c>
    </row>
    <row r="12" spans="1:39" s="135" customFormat="1" ht="12" x14ac:dyDescent="0.2">
      <c r="A12" s="310" t="s">
        <v>249</v>
      </c>
      <c r="B12" s="286"/>
      <c r="C12" s="133"/>
      <c r="D12" s="133"/>
      <c r="E12" s="132"/>
      <c r="F12" s="130">
        <f t="shared" si="0"/>
        <v>0</v>
      </c>
      <c r="G12" s="134">
        <f>12582200+146000</f>
        <v>12728200</v>
      </c>
      <c r="H12" s="132">
        <v>2100000</v>
      </c>
      <c r="I12" s="132"/>
      <c r="J12" s="141">
        <f t="shared" si="1"/>
        <v>10628200</v>
      </c>
      <c r="K12" s="131">
        <f>11823600+328000</f>
        <v>12151600</v>
      </c>
      <c r="L12" s="132">
        <v>4900000</v>
      </c>
      <c r="M12" s="132"/>
      <c r="N12" s="130">
        <f t="shared" si="2"/>
        <v>17879800</v>
      </c>
      <c r="O12" s="134">
        <f>1641900+240000</f>
        <v>1881900</v>
      </c>
      <c r="P12" s="136"/>
      <c r="Q12" s="132"/>
      <c r="R12" s="130">
        <f t="shared" si="3"/>
        <v>19761700</v>
      </c>
    </row>
    <row r="13" spans="1:39" ht="12" hidden="1" x14ac:dyDescent="0.2">
      <c r="A13" s="310" t="s">
        <v>149</v>
      </c>
      <c r="B13" s="286"/>
      <c r="C13" s="133"/>
      <c r="D13" s="132"/>
      <c r="E13" s="132"/>
      <c r="F13" s="130">
        <f t="shared" si="0"/>
        <v>0</v>
      </c>
      <c r="G13" s="134"/>
      <c r="H13" s="132"/>
      <c r="I13" s="132"/>
      <c r="J13" s="141">
        <f t="shared" si="1"/>
        <v>0</v>
      </c>
      <c r="K13" s="131"/>
      <c r="L13" s="132"/>
      <c r="M13" s="132">
        <f t="shared" ref="M13" si="4">+I13</f>
        <v>0</v>
      </c>
      <c r="N13" s="130">
        <f t="shared" si="2"/>
        <v>0</v>
      </c>
      <c r="O13" s="134"/>
      <c r="P13" s="133"/>
      <c r="Q13" s="132"/>
      <c r="R13" s="130">
        <f t="shared" si="3"/>
        <v>0</v>
      </c>
    </row>
    <row r="14" spans="1:39" ht="12" hidden="1" x14ac:dyDescent="0.2">
      <c r="A14" s="310" t="s">
        <v>150</v>
      </c>
      <c r="B14" s="286"/>
      <c r="C14" s="133"/>
      <c r="D14" s="132"/>
      <c r="E14" s="132"/>
      <c r="F14" s="130">
        <f t="shared" si="0"/>
        <v>0</v>
      </c>
      <c r="G14" s="134"/>
      <c r="H14" s="132"/>
      <c r="I14" s="132"/>
      <c r="J14" s="141">
        <f t="shared" si="1"/>
        <v>0</v>
      </c>
      <c r="K14" s="131"/>
      <c r="L14" s="132"/>
      <c r="M14" s="132"/>
      <c r="N14" s="130">
        <f t="shared" si="2"/>
        <v>0</v>
      </c>
      <c r="O14" s="134"/>
      <c r="P14" s="133"/>
      <c r="Q14" s="132"/>
      <c r="R14" s="130">
        <f t="shared" si="3"/>
        <v>0</v>
      </c>
    </row>
    <row r="15" spans="1:39" ht="12" x14ac:dyDescent="0.2">
      <c r="A15" s="125" t="s">
        <v>227</v>
      </c>
      <c r="B15" s="286">
        <v>0</v>
      </c>
      <c r="C15" s="298">
        <f>3187900+55000</f>
        <v>3242900</v>
      </c>
      <c r="D15" s="299"/>
      <c r="E15" s="299">
        <f>+C15</f>
        <v>3242900</v>
      </c>
      <c r="F15" s="146">
        <f>SUM(B15+C15-D15)</f>
        <v>3242900</v>
      </c>
      <c r="G15" s="300">
        <f>6449500+222000</f>
        <v>6671500</v>
      </c>
      <c r="H15" s="299"/>
      <c r="I15" s="299">
        <f>+E15+G15</f>
        <v>9914400</v>
      </c>
      <c r="J15" s="301">
        <f t="shared" si="1"/>
        <v>9914400</v>
      </c>
      <c r="K15" s="302">
        <f>6357200+454000</f>
        <v>6811200</v>
      </c>
      <c r="L15" s="299">
        <v>0</v>
      </c>
      <c r="M15" s="299"/>
      <c r="N15" s="146">
        <f>SUM(J15+K15-L15)</f>
        <v>16725600</v>
      </c>
      <c r="O15" s="300">
        <f>479000+5537700</f>
        <v>6016700</v>
      </c>
      <c r="P15" s="303">
        <v>1634086.4099999983</v>
      </c>
      <c r="Q15" s="299"/>
      <c r="R15" s="146">
        <f>SUM(N15+O15-P15)</f>
        <v>21108213.590000004</v>
      </c>
    </row>
    <row r="16" spans="1:39" ht="14.25" hidden="1" x14ac:dyDescent="0.35">
      <c r="A16" s="125" t="s">
        <v>151</v>
      </c>
      <c r="B16" s="287"/>
      <c r="C16" s="139">
        <f>SUM([2]Budget!AP37)</f>
        <v>0</v>
      </c>
      <c r="D16" s="140">
        <f>SUM([2]Budget!$AP$40*C16/C$17)</f>
        <v>0</v>
      </c>
      <c r="E16" s="140">
        <v>0</v>
      </c>
      <c r="F16" s="138">
        <f t="shared" si="0"/>
        <v>0</v>
      </c>
      <c r="G16" s="139">
        <f>SUM([2]Budget!BC37)</f>
        <v>0</v>
      </c>
      <c r="H16" s="272">
        <f>SUM([2]Budget!$BC$40*G16/G17)</f>
        <v>0</v>
      </c>
      <c r="I16" s="272">
        <v>0</v>
      </c>
      <c r="J16" s="273">
        <f t="shared" si="1"/>
        <v>0</v>
      </c>
      <c r="K16" s="272">
        <f>SUM([2]Budget!BP37)</f>
        <v>0</v>
      </c>
      <c r="L16" s="132">
        <v>0</v>
      </c>
      <c r="M16" s="272">
        <v>0</v>
      </c>
      <c r="N16" s="138">
        <f t="shared" si="2"/>
        <v>0</v>
      </c>
      <c r="O16" s="139">
        <f>SUM([2]Budget!BK37)</f>
        <v>0</v>
      </c>
      <c r="P16" s="140">
        <f>SUM([2]Budget!$BC$40*O16/O17)</f>
        <v>0</v>
      </c>
      <c r="Q16" s="140">
        <v>0</v>
      </c>
      <c r="R16" s="138">
        <f t="shared" si="3"/>
        <v>0</v>
      </c>
    </row>
    <row r="17" spans="1:34" s="124" customFormat="1" x14ac:dyDescent="0.2">
      <c r="A17" s="311" t="s">
        <v>277</v>
      </c>
      <c r="B17" s="288">
        <v>0</v>
      </c>
      <c r="C17" s="305">
        <f>SUM(C7:C16)</f>
        <v>3242900</v>
      </c>
      <c r="D17" s="306">
        <f>SUM(D7:D16)</f>
        <v>0</v>
      </c>
      <c r="E17" s="306">
        <f>SUM(E8:E16)</f>
        <v>3242900</v>
      </c>
      <c r="F17" s="307">
        <f t="shared" ref="F17:N17" si="5">SUM(F7:F16)</f>
        <v>3242900</v>
      </c>
      <c r="G17" s="308">
        <f>SUM(G7:G16)</f>
        <v>19399700</v>
      </c>
      <c r="H17" s="306">
        <f t="shared" si="5"/>
        <v>2100000</v>
      </c>
      <c r="I17" s="306">
        <f t="shared" si="5"/>
        <v>9914400</v>
      </c>
      <c r="J17" s="307">
        <f t="shared" si="5"/>
        <v>20542600</v>
      </c>
      <c r="K17" s="308">
        <f t="shared" si="5"/>
        <v>18962800</v>
      </c>
      <c r="L17" s="306">
        <f t="shared" si="5"/>
        <v>4900000</v>
      </c>
      <c r="M17" s="306">
        <f>SUM(M8:M16)</f>
        <v>0</v>
      </c>
      <c r="N17" s="307">
        <f t="shared" si="5"/>
        <v>34605400</v>
      </c>
      <c r="O17" s="308">
        <f t="shared" ref="O17:R17" si="6">SUM(O7:O16)</f>
        <v>7898600</v>
      </c>
      <c r="P17" s="306">
        <f t="shared" si="6"/>
        <v>1634086.4099999983</v>
      </c>
      <c r="Q17" s="306">
        <f t="shared" si="6"/>
        <v>0</v>
      </c>
      <c r="R17" s="307">
        <f t="shared" si="6"/>
        <v>40869913.590000004</v>
      </c>
    </row>
    <row r="18" spans="1:34" x14ac:dyDescent="0.2">
      <c r="A18" s="186"/>
      <c r="B18" s="286"/>
      <c r="C18" s="143"/>
      <c r="D18" s="144"/>
      <c r="E18" s="144"/>
      <c r="F18" s="130"/>
      <c r="G18" s="143"/>
      <c r="H18" s="145"/>
      <c r="I18" s="145"/>
      <c r="J18" s="141"/>
      <c r="K18" s="142"/>
      <c r="L18" s="145"/>
      <c r="M18" s="145"/>
      <c r="N18" s="130"/>
      <c r="O18" s="143"/>
      <c r="P18" s="144"/>
      <c r="Q18" s="144"/>
      <c r="R18" s="130"/>
    </row>
    <row r="19" spans="1:34" s="124" customFormat="1" x14ac:dyDescent="0.2">
      <c r="A19" s="311" t="s">
        <v>152</v>
      </c>
      <c r="B19" s="289">
        <v>0</v>
      </c>
      <c r="C19" s="305">
        <f>+C17*0.5</f>
        <v>1621450</v>
      </c>
      <c r="D19" s="153"/>
      <c r="E19" s="153">
        <f>+C19</f>
        <v>1621450</v>
      </c>
      <c r="F19" s="309">
        <f>SUM(B19+C19-D19)</f>
        <v>1621450</v>
      </c>
      <c r="G19" s="305">
        <f>+G17*0.5</f>
        <v>9699850</v>
      </c>
      <c r="H19" s="153"/>
      <c r="I19" s="153">
        <f>+I15*0.5</f>
        <v>4957200</v>
      </c>
      <c r="J19" s="309">
        <f t="shared" ref="J19" si="7">SUM(F19+G19-H19)</f>
        <v>11321300</v>
      </c>
      <c r="K19" s="305">
        <f>19000000-J19</f>
        <v>7678700</v>
      </c>
      <c r="L19" s="153"/>
      <c r="M19" s="153"/>
      <c r="N19" s="309">
        <f t="shared" ref="N19" si="8">SUM(J19+K19-L19)</f>
        <v>19000000</v>
      </c>
      <c r="O19" s="305"/>
      <c r="P19" s="153"/>
      <c r="Q19" s="153"/>
      <c r="R19" s="309">
        <f t="shared" ref="R19" si="9">SUM(N19+O19-P19)</f>
        <v>19000000</v>
      </c>
    </row>
    <row r="20" spans="1:34" x14ac:dyDescent="0.2">
      <c r="B20" s="290"/>
      <c r="C20" s="147"/>
      <c r="D20" s="148"/>
      <c r="E20" s="148"/>
      <c r="F20" s="146"/>
      <c r="G20" s="147"/>
      <c r="H20" s="148"/>
      <c r="I20" s="148"/>
      <c r="J20" s="146"/>
      <c r="K20" s="147"/>
      <c r="L20" s="148"/>
      <c r="M20" s="148"/>
      <c r="N20" s="146"/>
      <c r="O20" s="147"/>
      <c r="P20" s="148"/>
      <c r="Q20" s="148"/>
      <c r="R20" s="146"/>
    </row>
    <row r="21" spans="1:34" hidden="1" x14ac:dyDescent="0.2">
      <c r="A21" s="149" t="s">
        <v>153</v>
      </c>
      <c r="B21" s="150"/>
      <c r="C21" s="150">
        <f>C17-C19</f>
        <v>1621450</v>
      </c>
      <c r="D21" s="150"/>
      <c r="E21" s="150"/>
      <c r="F21" s="150"/>
      <c r="G21" s="150">
        <f>G17-G19</f>
        <v>9699850</v>
      </c>
      <c r="H21" s="150"/>
      <c r="I21" s="150"/>
      <c r="J21" s="150"/>
      <c r="K21" s="150">
        <f>+K17-K19</f>
        <v>11284100</v>
      </c>
      <c r="L21" s="150"/>
      <c r="M21" s="150"/>
      <c r="N21" s="150"/>
      <c r="O21" s="150">
        <f>O17-O19</f>
        <v>7898600</v>
      </c>
      <c r="P21" s="150"/>
      <c r="Q21" s="150"/>
      <c r="R21" s="178">
        <f>+F61/R17</f>
        <v>7.9038060674243266E-2</v>
      </c>
    </row>
    <row r="22" spans="1:34" hidden="1" x14ac:dyDescent="0.2">
      <c r="B22" s="151"/>
      <c r="C22" s="196">
        <f>+C14*0.5</f>
        <v>0</v>
      </c>
      <c r="D22" s="151"/>
      <c r="E22" s="151"/>
      <c r="F22" s="151">
        <f t="shared" ref="F22:F24" si="10">SUM(B22+C22-D22)</f>
        <v>0</v>
      </c>
      <c r="G22" s="151">
        <f>+G12*0.5</f>
        <v>6364100</v>
      </c>
      <c r="H22" s="151"/>
      <c r="I22" s="150"/>
      <c r="J22" s="130">
        <f t="shared" ref="J22:J24" si="11">SUM(F22+G22-H22)</f>
        <v>6364100</v>
      </c>
      <c r="K22" s="150">
        <f>+K12/K17*K19</f>
        <v>4920607.2373278206</v>
      </c>
      <c r="L22" s="151"/>
      <c r="M22" s="150"/>
      <c r="N22" s="196">
        <f t="shared" ref="N22:N24" si="12">SUM(J22+K22-L22)</f>
        <v>11284707.237327822</v>
      </c>
      <c r="O22" s="151"/>
      <c r="P22" s="151"/>
      <c r="Q22" s="150"/>
      <c r="R22" s="196">
        <f t="shared" ref="R22:R24" si="13">SUM(N22+O22-P22)</f>
        <v>11284707.237327822</v>
      </c>
    </row>
    <row r="23" spans="1:34" hidden="1" x14ac:dyDescent="0.2">
      <c r="B23" s="151"/>
      <c r="C23" s="196"/>
      <c r="D23" s="151"/>
      <c r="E23" s="151"/>
      <c r="F23" s="151"/>
      <c r="G23" s="151"/>
      <c r="H23" s="151"/>
      <c r="I23" s="150"/>
      <c r="J23" s="130"/>
      <c r="K23" s="150"/>
      <c r="L23" s="151"/>
      <c r="M23" s="150"/>
      <c r="N23" s="196"/>
      <c r="O23" s="151"/>
      <c r="P23" s="151"/>
      <c r="Q23" s="150"/>
      <c r="R23" s="196"/>
    </row>
    <row r="24" spans="1:34" hidden="1" x14ac:dyDescent="0.2">
      <c r="B24" s="121"/>
      <c r="C24" s="196">
        <f>+C15*0.5</f>
        <v>1621450</v>
      </c>
      <c r="E24" s="152">
        <f>+E19</f>
        <v>1621450</v>
      </c>
      <c r="F24" s="150">
        <f t="shared" si="10"/>
        <v>1621450</v>
      </c>
      <c r="G24" s="150">
        <f>+G15*0.5</f>
        <v>3335750</v>
      </c>
      <c r="H24" s="153"/>
      <c r="I24" s="153">
        <f>+I19</f>
        <v>4957200</v>
      </c>
      <c r="J24" s="130">
        <f t="shared" si="11"/>
        <v>4957200</v>
      </c>
      <c r="K24" s="145">
        <f>+K15/K17*K19</f>
        <v>2758092.7626721794</v>
      </c>
      <c r="L24" s="155"/>
      <c r="M24" s="155"/>
      <c r="N24" s="196">
        <f t="shared" si="12"/>
        <v>7715292.7626721794</v>
      </c>
      <c r="O24" s="150"/>
      <c r="P24" s="153"/>
      <c r="Q24" s="153"/>
      <c r="R24" s="196">
        <f t="shared" si="13"/>
        <v>7715292.7626721794</v>
      </c>
    </row>
    <row r="25" spans="1:34" hidden="1" x14ac:dyDescent="0.2">
      <c r="B25" s="121"/>
      <c r="C25" s="196"/>
      <c r="E25" s="152"/>
      <c r="F25" s="150"/>
      <c r="G25" s="150"/>
      <c r="H25" s="153"/>
      <c r="I25" s="153"/>
      <c r="J25" s="130"/>
      <c r="K25" s="145"/>
      <c r="L25" s="155"/>
      <c r="M25" s="155"/>
      <c r="N25" s="196"/>
      <c r="O25" s="150"/>
      <c r="P25" s="153"/>
      <c r="Q25" s="153"/>
      <c r="R25" s="196"/>
    </row>
    <row r="26" spans="1:34" x14ac:dyDescent="0.2">
      <c r="B26" s="121"/>
      <c r="C26" s="196"/>
      <c r="E26" s="152"/>
      <c r="F26" s="150"/>
      <c r="G26" s="150"/>
      <c r="H26" s="153"/>
      <c r="I26" s="153"/>
      <c r="J26" s="130"/>
      <c r="K26" s="145"/>
      <c r="L26" s="155"/>
      <c r="M26" s="155"/>
      <c r="N26" s="196"/>
      <c r="O26" s="150"/>
      <c r="P26" s="153"/>
      <c r="Q26" s="153"/>
      <c r="R26" s="196"/>
      <c r="S26" s="153"/>
      <c r="T26" s="155"/>
      <c r="U26" s="155"/>
      <c r="V26" s="196"/>
      <c r="W26" s="150"/>
      <c r="X26" s="153"/>
      <c r="Y26" s="153"/>
      <c r="Z26" s="196"/>
      <c r="AA26" s="153"/>
      <c r="AB26" s="155"/>
      <c r="AC26" s="155"/>
      <c r="AD26" s="196"/>
      <c r="AE26" s="153"/>
      <c r="AF26" s="155"/>
      <c r="AG26" s="155"/>
      <c r="AH26" s="196"/>
    </row>
    <row r="27" spans="1:34" x14ac:dyDescent="0.2">
      <c r="A27" s="314"/>
      <c r="B27" s="314"/>
      <c r="C27" s="338">
        <f>O4+1</f>
        <v>2027</v>
      </c>
      <c r="D27" s="339"/>
      <c r="E27" s="339"/>
      <c r="F27" s="340"/>
      <c r="G27" s="338">
        <f>C27+1</f>
        <v>2028</v>
      </c>
      <c r="H27" s="339"/>
      <c r="I27" s="339"/>
      <c r="J27" s="340"/>
      <c r="K27" s="338">
        <f>G27+1</f>
        <v>2029</v>
      </c>
      <c r="L27" s="339"/>
      <c r="M27" s="339"/>
      <c r="N27" s="340"/>
      <c r="O27" s="338">
        <f>K27+1</f>
        <v>2030</v>
      </c>
      <c r="P27" s="339"/>
      <c r="Q27" s="339"/>
      <c r="R27" s="340"/>
      <c r="S27" s="153"/>
      <c r="T27" s="155"/>
      <c r="U27" s="155"/>
      <c r="V27" s="196"/>
      <c r="W27" s="150"/>
      <c r="X27" s="153"/>
      <c r="Y27" s="153"/>
      <c r="Z27" s="196"/>
      <c r="AA27" s="153"/>
      <c r="AB27" s="155"/>
      <c r="AC27" s="155"/>
      <c r="AD27" s="196"/>
      <c r="AE27" s="153"/>
      <c r="AF27" s="155"/>
      <c r="AG27" s="155"/>
      <c r="AH27" s="196"/>
    </row>
    <row r="28" spans="1:34" ht="12" x14ac:dyDescent="0.2">
      <c r="A28" s="315" t="s">
        <v>140</v>
      </c>
      <c r="B28" s="314"/>
      <c r="C28" s="278" t="s">
        <v>141</v>
      </c>
      <c r="D28" s="281" t="s">
        <v>143</v>
      </c>
      <c r="E28" s="282" t="str">
        <f>+Q5</f>
        <v>WIP</v>
      </c>
      <c r="F28" s="291" t="s">
        <v>139</v>
      </c>
      <c r="G28" s="278" t="s">
        <v>141</v>
      </c>
      <c r="H28" s="280" t="s">
        <v>143</v>
      </c>
      <c r="I28" s="280" t="str">
        <f>+E28</f>
        <v>WIP</v>
      </c>
      <c r="J28" s="277" t="s">
        <v>139</v>
      </c>
      <c r="K28" s="278" t="s">
        <v>141</v>
      </c>
      <c r="L28" s="281" t="s">
        <v>143</v>
      </c>
      <c r="M28" s="282" t="str">
        <f>+I28</f>
        <v>WIP</v>
      </c>
      <c r="N28" s="291" t="s">
        <v>139</v>
      </c>
      <c r="O28" s="278" t="s">
        <v>141</v>
      </c>
      <c r="P28" s="281" t="s">
        <v>143</v>
      </c>
      <c r="Q28" s="282" t="str">
        <f>+M28</f>
        <v>WIP</v>
      </c>
      <c r="R28" s="291" t="s">
        <v>139</v>
      </c>
      <c r="S28" s="153"/>
      <c r="T28" s="155"/>
      <c r="U28" s="155"/>
      <c r="V28" s="196"/>
      <c r="W28" s="150"/>
      <c r="X28" s="153"/>
      <c r="Y28" s="153"/>
      <c r="Z28" s="196"/>
      <c r="AA28" s="153"/>
      <c r="AB28" s="155"/>
      <c r="AC28" s="155"/>
      <c r="AD28" s="196"/>
      <c r="AE28" s="153"/>
      <c r="AF28" s="155"/>
      <c r="AG28" s="155"/>
      <c r="AH28" s="196"/>
    </row>
    <row r="29" spans="1:34" x14ac:dyDescent="0.2">
      <c r="B29" s="121"/>
      <c r="C29" s="127"/>
      <c r="D29" s="128"/>
      <c r="E29" s="128"/>
      <c r="F29" s="126"/>
      <c r="G29" s="127"/>
      <c r="H29" s="128"/>
      <c r="I29" s="128"/>
      <c r="J29" s="126"/>
      <c r="K29" s="127"/>
      <c r="L29" s="128"/>
      <c r="M29" s="128"/>
      <c r="N29" s="126"/>
      <c r="O29" s="127"/>
      <c r="P29" s="128"/>
      <c r="Q29" s="128"/>
      <c r="R29" s="126"/>
      <c r="S29" s="153"/>
      <c r="T29" s="155"/>
      <c r="U29" s="155"/>
      <c r="V29" s="196"/>
      <c r="W29" s="150"/>
      <c r="X29" s="153"/>
      <c r="Y29" s="153"/>
      <c r="Z29" s="196"/>
      <c r="AA29" s="153"/>
      <c r="AB29" s="155"/>
      <c r="AC29" s="155"/>
      <c r="AD29" s="196"/>
      <c r="AE29" s="153"/>
      <c r="AF29" s="155"/>
      <c r="AG29" s="155"/>
      <c r="AH29" s="196"/>
    </row>
    <row r="30" spans="1:34" ht="12" hidden="1" x14ac:dyDescent="0.2">
      <c r="A30" s="129" t="s">
        <v>144</v>
      </c>
      <c r="B30" s="121"/>
      <c r="C30" s="131"/>
      <c r="D30" s="133">
        <f>SUM(([2]Budget!$BP$40)*C30/C$40)</f>
        <v>0</v>
      </c>
      <c r="F30" s="130">
        <f t="shared" ref="F30:F39" si="14">SUM(R7+C30-D30)</f>
        <v>0</v>
      </c>
      <c r="G30" s="131">
        <f>SUM([2]Budget!BS27)</f>
        <v>0</v>
      </c>
      <c r="H30" s="133">
        <f>SUM(([2]Budget!$BC$40)*G30/G$40)</f>
        <v>0</v>
      </c>
      <c r="I30" s="133"/>
      <c r="J30" s="130">
        <f>SUM(F30+G30-H30)</f>
        <v>0</v>
      </c>
      <c r="K30" s="131"/>
      <c r="L30" s="133">
        <f>SUM(([2]Budget!$BP$40)*K30/K$40)</f>
        <v>0</v>
      </c>
      <c r="N30" s="130">
        <f>SUM(J30+K30-L30)</f>
        <v>0</v>
      </c>
      <c r="O30" s="131"/>
      <c r="P30" s="133"/>
      <c r="R30" s="130">
        <f>SUM(N30+O30-P30)</f>
        <v>0</v>
      </c>
      <c r="S30" s="153"/>
      <c r="T30" s="155"/>
      <c r="U30" s="155"/>
      <c r="V30" s="196"/>
      <c r="W30" s="150"/>
      <c r="X30" s="153"/>
      <c r="Y30" s="153"/>
      <c r="Z30" s="196"/>
      <c r="AA30" s="153"/>
      <c r="AB30" s="155"/>
      <c r="AC30" s="155"/>
      <c r="AD30" s="196"/>
      <c r="AE30" s="153"/>
      <c r="AF30" s="155"/>
      <c r="AG30" s="155"/>
      <c r="AH30" s="196"/>
    </row>
    <row r="31" spans="1:34" ht="12" hidden="1" x14ac:dyDescent="0.2">
      <c r="A31" s="129" t="s">
        <v>145</v>
      </c>
      <c r="B31" s="121"/>
      <c r="C31" s="131"/>
      <c r="D31" s="133">
        <f>SUM(([2]Budget!$BP$40-4900000)*C31/C$40)</f>
        <v>0</v>
      </c>
      <c r="E31" s="133"/>
      <c r="F31" s="130">
        <f t="shared" si="14"/>
        <v>0</v>
      </c>
      <c r="G31" s="134"/>
      <c r="H31" s="133"/>
      <c r="I31" s="133"/>
      <c r="J31" s="130">
        <f t="shared" ref="J31:J39" si="15">SUM(F31+G31-H31)</f>
        <v>0</v>
      </c>
      <c r="K31" s="131"/>
      <c r="L31" s="133">
        <f>SUM(([2]Budget!$BP$40-4900000)*K31/K$40)</f>
        <v>0</v>
      </c>
      <c r="M31" s="133"/>
      <c r="N31" s="130">
        <f t="shared" ref="N31" si="16">SUM(J31+K31-L31)</f>
        <v>0</v>
      </c>
      <c r="O31" s="131"/>
      <c r="P31" s="133"/>
      <c r="Q31" s="133"/>
      <c r="R31" s="130">
        <f t="shared" ref="R31" si="17">SUM(N31+O31-P31)</f>
        <v>0</v>
      </c>
      <c r="S31" s="153"/>
      <c r="T31" s="155"/>
      <c r="U31" s="155"/>
      <c r="V31" s="196"/>
      <c r="W31" s="150"/>
      <c r="X31" s="153"/>
      <c r="Y31" s="153"/>
      <c r="Z31" s="196"/>
      <c r="AA31" s="153"/>
      <c r="AB31" s="155"/>
      <c r="AC31" s="155"/>
      <c r="AD31" s="196"/>
      <c r="AE31" s="153"/>
      <c r="AF31" s="155"/>
      <c r="AG31" s="155"/>
      <c r="AH31" s="196"/>
    </row>
    <row r="32" spans="1:34" ht="12" hidden="1" x14ac:dyDescent="0.2">
      <c r="A32" s="129" t="s">
        <v>146</v>
      </c>
      <c r="B32" s="121"/>
      <c r="C32" s="131"/>
      <c r="D32" s="133">
        <f>SUM(([2]Budget!$BP$40-4900000)*C32/C$40)</f>
        <v>0</v>
      </c>
      <c r="E32" s="133"/>
      <c r="F32" s="130">
        <f t="shared" si="14"/>
        <v>0</v>
      </c>
      <c r="G32" s="134"/>
      <c r="H32" s="133"/>
      <c r="I32" s="132"/>
      <c r="J32" s="130">
        <f t="shared" si="15"/>
        <v>0</v>
      </c>
      <c r="K32" s="131"/>
      <c r="L32" s="133">
        <f>SUM(([2]Budget!$BP$40-4900000)*K32/K$40)</f>
        <v>0</v>
      </c>
      <c r="M32" s="133"/>
      <c r="N32" s="130">
        <f>SUM(J32+K32-L32)</f>
        <v>0</v>
      </c>
      <c r="O32" s="131"/>
      <c r="P32" s="133"/>
      <c r="Q32" s="133"/>
      <c r="R32" s="130">
        <f>SUM(N32+O32-P32)</f>
        <v>0</v>
      </c>
      <c r="S32" s="153"/>
      <c r="T32" s="155"/>
      <c r="U32" s="155"/>
      <c r="V32" s="196"/>
      <c r="W32" s="150"/>
      <c r="X32" s="153"/>
      <c r="Y32" s="153"/>
      <c r="Z32" s="196"/>
      <c r="AA32" s="153"/>
      <c r="AB32" s="155"/>
      <c r="AC32" s="155"/>
      <c r="AD32" s="196"/>
      <c r="AE32" s="153"/>
      <c r="AF32" s="155"/>
      <c r="AG32" s="155"/>
      <c r="AH32" s="196"/>
    </row>
    <row r="33" spans="1:34" ht="12" hidden="1" x14ac:dyDescent="0.2">
      <c r="A33" s="129" t="s">
        <v>147</v>
      </c>
      <c r="B33" s="121"/>
      <c r="C33" s="131"/>
      <c r="D33" s="133">
        <f>SUM(([2]Budget!$BP$40-4900000)*C33/C$40)</f>
        <v>0</v>
      </c>
      <c r="E33" s="133"/>
      <c r="F33" s="130">
        <f t="shared" si="14"/>
        <v>0</v>
      </c>
      <c r="G33" s="134"/>
      <c r="H33" s="133"/>
      <c r="I33" s="132"/>
      <c r="J33" s="130">
        <f t="shared" si="15"/>
        <v>0</v>
      </c>
      <c r="K33" s="131"/>
      <c r="L33" s="133">
        <f>SUM(([2]Budget!$BP$40-4900000)*K33/K$40)</f>
        <v>0</v>
      </c>
      <c r="M33" s="133"/>
      <c r="N33" s="130">
        <f t="shared" ref="N33:N39" si="18">SUM(J33+K33-L33)</f>
        <v>0</v>
      </c>
      <c r="O33" s="131"/>
      <c r="P33" s="133"/>
      <c r="Q33" s="133"/>
      <c r="R33" s="130">
        <f t="shared" ref="R33:R39" si="19">SUM(N33+O33-P33)</f>
        <v>0</v>
      </c>
      <c r="S33" s="153"/>
      <c r="T33" s="155"/>
      <c r="U33" s="155"/>
      <c r="V33" s="196"/>
      <c r="W33" s="150"/>
      <c r="X33" s="153"/>
      <c r="Y33" s="153"/>
      <c r="Z33" s="196"/>
      <c r="AA33" s="153"/>
      <c r="AB33" s="155"/>
      <c r="AC33" s="155"/>
      <c r="AD33" s="196"/>
      <c r="AE33" s="153"/>
      <c r="AF33" s="155"/>
      <c r="AG33" s="155"/>
      <c r="AH33" s="196"/>
    </row>
    <row r="34" spans="1:34" ht="12" hidden="1" x14ac:dyDescent="0.2">
      <c r="A34" s="129" t="s">
        <v>148</v>
      </c>
      <c r="B34" s="121"/>
      <c r="C34" s="131"/>
      <c r="D34" s="133"/>
      <c r="E34" s="133"/>
      <c r="F34" s="130">
        <f t="shared" si="14"/>
        <v>0</v>
      </c>
      <c r="G34" s="134"/>
      <c r="H34" s="133"/>
      <c r="I34" s="132"/>
      <c r="J34" s="130">
        <f t="shared" si="15"/>
        <v>0</v>
      </c>
      <c r="K34" s="131"/>
      <c r="L34" s="133"/>
      <c r="M34" s="133"/>
      <c r="N34" s="130">
        <f t="shared" si="18"/>
        <v>0</v>
      </c>
      <c r="O34" s="131"/>
      <c r="P34" s="133"/>
      <c r="Q34" s="133"/>
      <c r="R34" s="130">
        <f t="shared" si="19"/>
        <v>0</v>
      </c>
      <c r="S34" s="153"/>
      <c r="T34" s="155"/>
      <c r="U34" s="155"/>
      <c r="V34" s="196"/>
      <c r="W34" s="150"/>
      <c r="X34" s="153"/>
      <c r="Y34" s="153"/>
      <c r="Z34" s="196"/>
      <c r="AA34" s="153"/>
      <c r="AB34" s="155"/>
      <c r="AC34" s="155"/>
      <c r="AD34" s="196"/>
      <c r="AE34" s="153"/>
      <c r="AF34" s="155"/>
      <c r="AG34" s="155"/>
      <c r="AH34" s="196"/>
    </row>
    <row r="35" spans="1:34" ht="12" x14ac:dyDescent="0.2">
      <c r="A35" s="310" t="s">
        <v>249</v>
      </c>
      <c r="B35" s="121"/>
      <c r="C35" s="131">
        <v>16600</v>
      </c>
      <c r="D35" s="136"/>
      <c r="E35" s="133"/>
      <c r="F35" s="130">
        <f t="shared" si="14"/>
        <v>19778300</v>
      </c>
      <c r="G35" s="134">
        <v>2821000</v>
      </c>
      <c r="H35" s="136"/>
      <c r="I35" s="132"/>
      <c r="J35" s="130">
        <f t="shared" si="15"/>
        <v>22599300</v>
      </c>
      <c r="K35" s="131">
        <v>1712800</v>
      </c>
      <c r="L35" s="136"/>
      <c r="M35" s="133"/>
      <c r="N35" s="130">
        <f t="shared" si="18"/>
        <v>24312100</v>
      </c>
      <c r="O35" s="131">
        <v>1364300</v>
      </c>
      <c r="P35" s="136"/>
      <c r="Q35" s="133"/>
      <c r="R35" s="130">
        <f>SUM(N35+O35-P35)</f>
        <v>25676400</v>
      </c>
      <c r="S35" s="153"/>
      <c r="T35" s="155"/>
      <c r="U35" s="155"/>
      <c r="V35" s="196"/>
      <c r="W35" s="150"/>
      <c r="X35" s="153"/>
      <c r="Y35" s="153"/>
      <c r="Z35" s="196"/>
      <c r="AA35" s="153"/>
      <c r="AB35" s="155"/>
      <c r="AC35" s="155"/>
      <c r="AD35" s="196"/>
      <c r="AE35" s="153"/>
      <c r="AF35" s="155"/>
      <c r="AG35" s="155"/>
      <c r="AH35" s="196"/>
    </row>
    <row r="36" spans="1:34" ht="12" hidden="1" x14ac:dyDescent="0.2">
      <c r="A36" s="310" t="s">
        <v>149</v>
      </c>
      <c r="B36" s="121"/>
      <c r="C36" s="137"/>
      <c r="D36" s="132">
        <f>SUM(([2]Budget!$BP$40-4900000)*C36/C$40)</f>
        <v>0</v>
      </c>
      <c r="E36" s="133">
        <f>+Q13</f>
        <v>0</v>
      </c>
      <c r="F36" s="130">
        <f t="shared" si="14"/>
        <v>0</v>
      </c>
      <c r="G36" s="134"/>
      <c r="H36" s="133"/>
      <c r="I36" s="132"/>
      <c r="J36" s="130">
        <f t="shared" si="15"/>
        <v>0</v>
      </c>
      <c r="K36" s="137"/>
      <c r="L36" s="132">
        <f>SUM(([2]Budget!$BP$40-4900000)*K36/K$40)</f>
        <v>0</v>
      </c>
      <c r="M36" s="133">
        <f t="shared" ref="M36" si="20">+I36</f>
        <v>0</v>
      </c>
      <c r="N36" s="130">
        <f t="shared" si="18"/>
        <v>0</v>
      </c>
      <c r="O36" s="137"/>
      <c r="P36" s="132"/>
      <c r="Q36" s="133">
        <f t="shared" ref="Q36" si="21">+M36</f>
        <v>0</v>
      </c>
      <c r="R36" s="130">
        <f t="shared" si="19"/>
        <v>0</v>
      </c>
      <c r="S36" s="153"/>
      <c r="T36" s="155"/>
      <c r="U36" s="155"/>
      <c r="V36" s="196"/>
      <c r="W36" s="150"/>
      <c r="X36" s="153"/>
      <c r="Y36" s="153"/>
      <c r="Z36" s="196"/>
      <c r="AA36" s="153"/>
      <c r="AB36" s="155"/>
      <c r="AC36" s="155"/>
      <c r="AD36" s="196"/>
      <c r="AE36" s="153"/>
      <c r="AF36" s="155"/>
      <c r="AG36" s="155"/>
      <c r="AH36" s="196"/>
    </row>
    <row r="37" spans="1:34" ht="12" hidden="1" x14ac:dyDescent="0.2">
      <c r="A37" s="310" t="s">
        <v>150</v>
      </c>
      <c r="B37" s="121"/>
      <c r="C37" s="137"/>
      <c r="D37" s="132">
        <f>SUM(([2]Budget!$BP$40-4900000)*C37/C$40)</f>
        <v>0</v>
      </c>
      <c r="E37" s="132"/>
      <c r="F37" s="130">
        <f t="shared" si="14"/>
        <v>0</v>
      </c>
      <c r="G37" s="134"/>
      <c r="H37" s="133"/>
      <c r="I37" s="132"/>
      <c r="J37" s="130">
        <f t="shared" si="15"/>
        <v>0</v>
      </c>
      <c r="K37" s="137"/>
      <c r="L37" s="132">
        <f>SUM(([2]Budget!$BP$40-4900000)*K37/K$40)</f>
        <v>0</v>
      </c>
      <c r="M37" s="132"/>
      <c r="N37" s="130">
        <f t="shared" si="18"/>
        <v>0</v>
      </c>
      <c r="O37" s="137"/>
      <c r="P37" s="132"/>
      <c r="Q37" s="132"/>
      <c r="R37" s="130">
        <f t="shared" si="19"/>
        <v>0</v>
      </c>
      <c r="S37" s="153"/>
      <c r="T37" s="155"/>
      <c r="U37" s="155"/>
      <c r="V37" s="196"/>
      <c r="W37" s="150"/>
      <c r="X37" s="153"/>
      <c r="Y37" s="153"/>
      <c r="Z37" s="196"/>
      <c r="AA37" s="153"/>
      <c r="AB37" s="155"/>
      <c r="AC37" s="155"/>
      <c r="AD37" s="196"/>
      <c r="AE37" s="153"/>
      <c r="AF37" s="155"/>
      <c r="AG37" s="155"/>
      <c r="AH37" s="196"/>
    </row>
    <row r="38" spans="1:34" ht="12" x14ac:dyDescent="0.2">
      <c r="A38" s="125" t="s">
        <v>227</v>
      </c>
      <c r="B38" s="121"/>
      <c r="C38" s="304"/>
      <c r="D38" s="299">
        <f>SUM(([2]Budget!$BP$40-4900000)*C38/C$40)</f>
        <v>0</v>
      </c>
      <c r="E38" s="299"/>
      <c r="F38" s="146">
        <f t="shared" si="14"/>
        <v>21108213.590000004</v>
      </c>
      <c r="G38" s="300"/>
      <c r="H38" s="303"/>
      <c r="I38" s="299"/>
      <c r="J38" s="146">
        <f t="shared" si="15"/>
        <v>21108213.590000004</v>
      </c>
      <c r="K38" s="304"/>
      <c r="L38" s="299">
        <f>SUM(([2]Budget!$BP$40-4900000)*K38/K$40)</f>
        <v>0</v>
      </c>
      <c r="M38" s="299"/>
      <c r="N38" s="146">
        <f t="shared" si="18"/>
        <v>21108213.590000004</v>
      </c>
      <c r="O38" s="304"/>
      <c r="P38" s="299"/>
      <c r="Q38" s="299"/>
      <c r="R38" s="146">
        <f>SUM(N38+O38-P38)</f>
        <v>21108213.590000004</v>
      </c>
      <c r="S38" s="153"/>
      <c r="T38" s="155"/>
      <c r="U38" s="155"/>
      <c r="V38" s="196"/>
      <c r="W38" s="150"/>
      <c r="X38" s="153"/>
      <c r="Y38" s="153"/>
      <c r="Z38" s="196"/>
      <c r="AA38" s="153"/>
      <c r="AB38" s="155"/>
      <c r="AC38" s="155"/>
      <c r="AD38" s="196"/>
      <c r="AE38" s="153"/>
      <c r="AF38" s="155"/>
      <c r="AG38" s="155"/>
      <c r="AH38" s="196"/>
    </row>
    <row r="39" spans="1:34" ht="14.25" hidden="1" x14ac:dyDescent="0.35">
      <c r="A39" s="125" t="s">
        <v>151</v>
      </c>
      <c r="B39" s="121"/>
      <c r="C39" s="140">
        <f>SUM([2]Budget!BX37)</f>
        <v>0</v>
      </c>
      <c r="D39" s="140">
        <f>SUM([2]Budget!$BP$40*C39/C40)</f>
        <v>0</v>
      </c>
      <c r="E39" s="140">
        <v>0</v>
      </c>
      <c r="F39" s="138">
        <f t="shared" si="14"/>
        <v>0</v>
      </c>
      <c r="G39" s="139">
        <f>SUM([2]Budget!BS37)</f>
        <v>0</v>
      </c>
      <c r="H39" s="140">
        <f>SUM([2]Budget!$BC$40*G39/G40)</f>
        <v>0</v>
      </c>
      <c r="I39" s="140">
        <v>0</v>
      </c>
      <c r="J39" s="138">
        <f t="shared" si="15"/>
        <v>0</v>
      </c>
      <c r="K39" s="140">
        <f>SUM([2]Budget!CF37)</f>
        <v>0</v>
      </c>
      <c r="L39" s="140">
        <f>SUM([2]Budget!$BP$40*K39/K40)</f>
        <v>0</v>
      </c>
      <c r="M39" s="140">
        <v>0</v>
      </c>
      <c r="N39" s="138">
        <f t="shared" si="18"/>
        <v>0</v>
      </c>
      <c r="O39" s="140">
        <f>SUM([2]Budget!CJ37)</f>
        <v>0</v>
      </c>
      <c r="P39" s="140"/>
      <c r="Q39" s="140">
        <v>0</v>
      </c>
      <c r="R39" s="138">
        <f t="shared" si="19"/>
        <v>0</v>
      </c>
      <c r="S39" s="153"/>
      <c r="T39" s="155"/>
      <c r="U39" s="155"/>
      <c r="V39" s="196"/>
      <c r="W39" s="150"/>
      <c r="X39" s="153"/>
      <c r="Y39" s="153"/>
      <c r="Z39" s="196"/>
      <c r="AA39" s="153"/>
      <c r="AB39" s="155"/>
      <c r="AC39" s="155"/>
      <c r="AD39" s="196"/>
      <c r="AE39" s="153"/>
      <c r="AF39" s="155"/>
      <c r="AG39" s="155"/>
      <c r="AH39" s="196"/>
    </row>
    <row r="40" spans="1:34" x14ac:dyDescent="0.2">
      <c r="A40" s="311" t="s">
        <v>277</v>
      </c>
      <c r="B40" s="121"/>
      <c r="C40" s="308">
        <f>SUM(C30:C39)</f>
        <v>16600</v>
      </c>
      <c r="D40" s="306">
        <f>SUM(D30:D39)</f>
        <v>0</v>
      </c>
      <c r="E40" s="306">
        <f>SUM(E31:E39)</f>
        <v>0</v>
      </c>
      <c r="F40" s="307">
        <f t="shared" ref="F40:L40" si="22">SUM(F30:F39)</f>
        <v>40886513.590000004</v>
      </c>
      <c r="G40" s="308">
        <f t="shared" si="22"/>
        <v>2821000</v>
      </c>
      <c r="H40" s="306">
        <f t="shared" si="22"/>
        <v>0</v>
      </c>
      <c r="I40" s="306">
        <f t="shared" si="22"/>
        <v>0</v>
      </c>
      <c r="J40" s="307">
        <f t="shared" si="22"/>
        <v>43707513.590000004</v>
      </c>
      <c r="K40" s="308">
        <f t="shared" si="22"/>
        <v>1712800</v>
      </c>
      <c r="L40" s="306">
        <f t="shared" si="22"/>
        <v>0</v>
      </c>
      <c r="M40" s="306">
        <f>SUM(M31:M39)</f>
        <v>0</v>
      </c>
      <c r="N40" s="307">
        <f t="shared" ref="N40:P40" si="23">SUM(N30:N39)</f>
        <v>45420313.590000004</v>
      </c>
      <c r="O40" s="308">
        <f t="shared" si="23"/>
        <v>1364300</v>
      </c>
      <c r="P40" s="306">
        <f t="shared" si="23"/>
        <v>0</v>
      </c>
      <c r="Q40" s="306">
        <f>SUM(Q31:Q39)</f>
        <v>0</v>
      </c>
      <c r="R40" s="307">
        <f>SUM(R30:R39)</f>
        <v>46784613.590000004</v>
      </c>
      <c r="S40" s="153"/>
      <c r="T40" s="155"/>
      <c r="U40" s="155"/>
      <c r="V40" s="196"/>
      <c r="W40" s="150"/>
      <c r="X40" s="153"/>
      <c r="Y40" s="153"/>
      <c r="Z40" s="196"/>
      <c r="AA40" s="153"/>
      <c r="AB40" s="155"/>
      <c r="AC40" s="155"/>
      <c r="AD40" s="196"/>
      <c r="AE40" s="153"/>
      <c r="AF40" s="155"/>
      <c r="AG40" s="155"/>
      <c r="AH40" s="196"/>
    </row>
    <row r="41" spans="1:34" x14ac:dyDescent="0.2">
      <c r="A41" s="186"/>
      <c r="B41" s="121"/>
      <c r="C41" s="143"/>
      <c r="D41" s="144"/>
      <c r="E41" s="144"/>
      <c r="F41" s="130"/>
      <c r="G41" s="143"/>
      <c r="H41" s="144"/>
      <c r="I41" s="144"/>
      <c r="J41" s="130"/>
      <c r="K41" s="143"/>
      <c r="L41" s="144"/>
      <c r="M41" s="144"/>
      <c r="N41" s="130"/>
      <c r="O41" s="143"/>
      <c r="P41" s="144"/>
      <c r="Q41" s="144"/>
      <c r="R41" s="130"/>
      <c r="S41" s="153"/>
      <c r="T41" s="155"/>
      <c r="U41" s="155"/>
      <c r="V41" s="196"/>
      <c r="W41" s="150"/>
      <c r="X41" s="153"/>
      <c r="Y41" s="153"/>
      <c r="Z41" s="196"/>
      <c r="AA41" s="153"/>
      <c r="AB41" s="155"/>
      <c r="AC41" s="155"/>
      <c r="AD41" s="196"/>
      <c r="AE41" s="153"/>
      <c r="AF41" s="155"/>
      <c r="AG41" s="155"/>
      <c r="AH41" s="196"/>
    </row>
    <row r="42" spans="1:34" x14ac:dyDescent="0.2">
      <c r="A42" s="311" t="s">
        <v>152</v>
      </c>
      <c r="B42" s="121"/>
      <c r="C42" s="305"/>
      <c r="D42" s="153"/>
      <c r="E42" s="153"/>
      <c r="F42" s="309">
        <f>SUM(R19+C42-D42)</f>
        <v>19000000</v>
      </c>
      <c r="G42" s="305"/>
      <c r="H42" s="153"/>
      <c r="I42" s="153"/>
      <c r="J42" s="309">
        <f t="shared" ref="J42" si="24">SUM(F42+G42-H42)</f>
        <v>19000000</v>
      </c>
      <c r="K42" s="305"/>
      <c r="L42" s="153"/>
      <c r="M42" s="153"/>
      <c r="N42" s="309">
        <f t="shared" ref="N42" si="25">SUM(J42+K42-L42)</f>
        <v>19000000</v>
      </c>
      <c r="O42" s="305"/>
      <c r="P42" s="153"/>
      <c r="Q42" s="153"/>
      <c r="R42" s="309">
        <f t="shared" ref="R42" si="26">SUM(N42+O42-P42)</f>
        <v>19000000</v>
      </c>
      <c r="S42" s="153"/>
      <c r="T42" s="155"/>
      <c r="U42" s="155"/>
      <c r="V42" s="196"/>
      <c r="W42" s="150"/>
      <c r="X42" s="153"/>
      <c r="Y42" s="153"/>
      <c r="Z42" s="196"/>
      <c r="AA42" s="153"/>
      <c r="AB42" s="155"/>
      <c r="AC42" s="155"/>
      <c r="AD42" s="196"/>
      <c r="AE42" s="153"/>
      <c r="AF42" s="155"/>
      <c r="AG42" s="155"/>
      <c r="AH42" s="196"/>
    </row>
    <row r="43" spans="1:34" x14ac:dyDescent="0.2">
      <c r="B43" s="121"/>
      <c r="C43" s="147"/>
      <c r="D43" s="148"/>
      <c r="E43" s="148"/>
      <c r="F43" s="146"/>
      <c r="G43" s="147"/>
      <c r="H43" s="148"/>
      <c r="I43" s="148"/>
      <c r="J43" s="146"/>
      <c r="K43" s="147"/>
      <c r="L43" s="148"/>
      <c r="M43" s="148"/>
      <c r="N43" s="146"/>
      <c r="O43" s="147"/>
      <c r="P43" s="148"/>
      <c r="Q43" s="148"/>
      <c r="R43" s="146"/>
      <c r="S43" s="153"/>
      <c r="T43" s="155"/>
      <c r="U43" s="155"/>
      <c r="V43" s="196"/>
      <c r="W43" s="150"/>
      <c r="X43" s="153"/>
      <c r="Y43" s="153"/>
      <c r="Z43" s="196"/>
      <c r="AA43" s="153"/>
      <c r="AB43" s="155"/>
      <c r="AC43" s="155"/>
      <c r="AD43" s="196"/>
      <c r="AE43" s="153"/>
      <c r="AF43" s="155"/>
      <c r="AG43" s="155"/>
      <c r="AH43" s="196"/>
    </row>
    <row r="44" spans="1:34" hidden="1" x14ac:dyDescent="0.2">
      <c r="B44" s="121"/>
      <c r="C44" s="150">
        <f>+C40-C42</f>
        <v>16600</v>
      </c>
      <c r="D44" s="150"/>
      <c r="E44" s="150"/>
      <c r="F44" s="178">
        <f>+G61/F40</f>
        <v>8.6152865844167467E-2</v>
      </c>
      <c r="G44" s="150">
        <f>G40-G42</f>
        <v>2821000</v>
      </c>
      <c r="H44" s="150"/>
      <c r="I44" s="150"/>
      <c r="J44" s="178">
        <f>+H61/J40</f>
        <v>8.275424756677402E-2</v>
      </c>
      <c r="K44" s="150">
        <f>+K40-K42</f>
        <v>1712800</v>
      </c>
      <c r="L44" s="150"/>
      <c r="M44" s="150"/>
      <c r="N44" s="178">
        <f>+I61/N40</f>
        <v>8.2957550099006266E-2</v>
      </c>
      <c r="O44" s="150">
        <f>+O40-O42</f>
        <v>1364300</v>
      </c>
      <c r="P44" s="150"/>
      <c r="Q44" s="150"/>
      <c r="R44" s="178">
        <f>+J61/R40</f>
        <v>8.2728595432543781E-2</v>
      </c>
      <c r="S44" s="153"/>
      <c r="T44" s="155"/>
      <c r="U44" s="155"/>
      <c r="V44" s="196"/>
      <c r="W44" s="150"/>
      <c r="X44" s="153"/>
      <c r="Y44" s="153"/>
      <c r="Z44" s="196"/>
      <c r="AA44" s="153"/>
      <c r="AB44" s="155"/>
      <c r="AC44" s="155"/>
      <c r="AD44" s="196"/>
      <c r="AE44" s="153"/>
      <c r="AF44" s="155"/>
      <c r="AG44" s="155"/>
      <c r="AH44" s="196"/>
    </row>
    <row r="45" spans="1:34" hidden="1" x14ac:dyDescent="0.2">
      <c r="B45" s="121"/>
      <c r="C45" s="150"/>
      <c r="D45" s="151"/>
      <c r="E45" s="150"/>
      <c r="F45" s="196">
        <f>SUM(R22+C45-D45)</f>
        <v>11284707.237327822</v>
      </c>
      <c r="G45" s="151"/>
      <c r="H45" s="151"/>
      <c r="I45" s="150"/>
      <c r="J45" s="196">
        <f t="shared" ref="J45:J47" si="27">SUM(F45+G45-H45)</f>
        <v>11284707.237327822</v>
      </c>
      <c r="K45" s="150"/>
      <c r="L45" s="151"/>
      <c r="M45" s="150"/>
      <c r="N45" s="196">
        <f t="shared" ref="N45:N47" si="28">SUM(J45+K45-L45)</f>
        <v>11284707.237327822</v>
      </c>
      <c r="O45" s="150"/>
      <c r="P45" s="151"/>
      <c r="Q45" s="150"/>
      <c r="R45" s="196">
        <f t="shared" ref="R45:R47" si="29">SUM(N45+O45-P45)</f>
        <v>11284707.237327822</v>
      </c>
      <c r="S45" s="153"/>
      <c r="T45" s="155"/>
      <c r="U45" s="155"/>
      <c r="V45" s="196"/>
      <c r="W45" s="150"/>
      <c r="X45" s="153"/>
      <c r="Y45" s="153"/>
      <c r="Z45" s="196"/>
      <c r="AA45" s="153"/>
      <c r="AB45" s="155"/>
      <c r="AC45" s="155"/>
      <c r="AD45" s="196"/>
      <c r="AE45" s="153"/>
      <c r="AF45" s="155"/>
      <c r="AG45" s="155"/>
      <c r="AH45" s="196"/>
    </row>
    <row r="46" spans="1:34" hidden="1" x14ac:dyDescent="0.2">
      <c r="B46" s="121"/>
      <c r="C46" s="150"/>
      <c r="D46" s="151"/>
      <c r="E46" s="150"/>
      <c r="F46" s="196"/>
      <c r="G46" s="151"/>
      <c r="H46" s="151"/>
      <c r="I46" s="150"/>
      <c r="J46" s="196"/>
      <c r="K46" s="150"/>
      <c r="L46" s="151"/>
      <c r="M46" s="150"/>
      <c r="N46" s="196"/>
      <c r="O46" s="150"/>
      <c r="P46" s="151"/>
      <c r="Q46" s="150"/>
      <c r="R46" s="196"/>
      <c r="S46" s="153"/>
      <c r="T46" s="155"/>
      <c r="U46" s="155"/>
      <c r="V46" s="196"/>
      <c r="W46" s="150"/>
      <c r="X46" s="153"/>
      <c r="Y46" s="153"/>
      <c r="Z46" s="196"/>
      <c r="AA46" s="153"/>
      <c r="AB46" s="155"/>
      <c r="AC46" s="155"/>
      <c r="AD46" s="196"/>
      <c r="AE46" s="153"/>
      <c r="AF46" s="155"/>
      <c r="AG46" s="155"/>
      <c r="AH46" s="196"/>
    </row>
    <row r="47" spans="1:34" hidden="1" x14ac:dyDescent="0.2">
      <c r="B47" s="121"/>
      <c r="C47" s="153"/>
      <c r="D47" s="155"/>
      <c r="E47" s="155"/>
      <c r="F47" s="196">
        <f>SUM(R24+C47-D47)</f>
        <v>7715292.7626721794</v>
      </c>
      <c r="G47" s="150"/>
      <c r="H47" s="153"/>
      <c r="I47" s="153"/>
      <c r="J47" s="196">
        <f t="shared" si="27"/>
        <v>7715292.7626721794</v>
      </c>
      <c r="K47" s="153"/>
      <c r="L47" s="155"/>
      <c r="M47" s="155"/>
      <c r="N47" s="196">
        <f t="shared" si="28"/>
        <v>7715292.7626721794</v>
      </c>
      <c r="O47" s="153"/>
      <c r="P47" s="155"/>
      <c r="Q47" s="155"/>
      <c r="R47" s="196">
        <f t="shared" si="29"/>
        <v>7715292.7626721794</v>
      </c>
      <c r="S47" s="153"/>
      <c r="T47" s="155"/>
      <c r="U47" s="155"/>
      <c r="V47" s="196"/>
      <c r="W47" s="150"/>
      <c r="X47" s="153"/>
      <c r="Y47" s="153"/>
      <c r="Z47" s="196"/>
      <c r="AA47" s="153"/>
      <c r="AB47" s="155"/>
      <c r="AC47" s="155"/>
      <c r="AD47" s="196"/>
      <c r="AE47" s="153"/>
      <c r="AF47" s="155"/>
      <c r="AG47" s="155"/>
      <c r="AH47" s="196"/>
    </row>
    <row r="48" spans="1:34" x14ac:dyDescent="0.2">
      <c r="B48" s="121"/>
      <c r="C48" s="196"/>
      <c r="E48" s="152"/>
      <c r="F48" s="150"/>
      <c r="G48" s="150"/>
      <c r="H48" s="153"/>
      <c r="I48" s="153"/>
      <c r="J48" s="130"/>
      <c r="K48" s="145"/>
      <c r="L48" s="155"/>
      <c r="M48" s="155"/>
      <c r="N48" s="196"/>
      <c r="O48" s="150"/>
      <c r="P48" s="153"/>
      <c r="Q48" s="153"/>
      <c r="R48" s="196"/>
      <c r="S48" s="153"/>
      <c r="T48" s="155"/>
      <c r="U48" s="155"/>
      <c r="V48" s="196"/>
      <c r="W48" s="150"/>
      <c r="X48" s="153"/>
      <c r="Y48" s="153"/>
      <c r="Z48" s="196"/>
      <c r="AA48" s="153"/>
      <c r="AB48" s="155"/>
      <c r="AC48" s="155"/>
      <c r="AD48" s="196"/>
      <c r="AE48" s="153"/>
      <c r="AF48" s="155"/>
      <c r="AG48" s="155"/>
      <c r="AH48" s="196"/>
    </row>
    <row r="49" spans="1:34" x14ac:dyDescent="0.2">
      <c r="A49" s="335" t="s">
        <v>154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7"/>
      <c r="L49" s="155"/>
      <c r="M49" s="155"/>
      <c r="N49" s="196"/>
      <c r="O49" s="150"/>
      <c r="P49" s="153"/>
      <c r="Q49" s="153"/>
      <c r="R49" s="196"/>
      <c r="S49" s="153"/>
      <c r="T49" s="155"/>
      <c r="U49" s="155"/>
      <c r="V49" s="196"/>
      <c r="W49" s="150"/>
      <c r="X49" s="153"/>
      <c r="Y49" s="153"/>
      <c r="Z49" s="196"/>
      <c r="AA49" s="153"/>
      <c r="AB49" s="155"/>
      <c r="AC49" s="155"/>
      <c r="AD49" s="196"/>
      <c r="AE49" s="153"/>
      <c r="AF49" s="155"/>
      <c r="AG49" s="155"/>
      <c r="AH49" s="196"/>
    </row>
    <row r="50" spans="1:34" ht="12" x14ac:dyDescent="0.2">
      <c r="A50" s="293" t="s">
        <v>279</v>
      </c>
      <c r="B50" s="316" t="s">
        <v>155</v>
      </c>
      <c r="C50" s="317">
        <f>+C4</f>
        <v>2023</v>
      </c>
      <c r="D50" s="317">
        <f>+C50+1</f>
        <v>2024</v>
      </c>
      <c r="E50" s="317">
        <f>+D50+1</f>
        <v>2025</v>
      </c>
      <c r="F50" s="317">
        <f t="shared" ref="F50:I50" si="30">+E50+1</f>
        <v>2026</v>
      </c>
      <c r="G50" s="317">
        <f t="shared" si="30"/>
        <v>2027</v>
      </c>
      <c r="H50" s="317">
        <f t="shared" si="30"/>
        <v>2028</v>
      </c>
      <c r="I50" s="317">
        <f t="shared" si="30"/>
        <v>2029</v>
      </c>
      <c r="J50" s="317">
        <f t="shared" ref="J50" si="31">+I50+1</f>
        <v>2030</v>
      </c>
      <c r="K50" s="317" t="s">
        <v>253</v>
      </c>
      <c r="O50" s="150"/>
      <c r="P50" s="157"/>
      <c r="Q50" s="157"/>
      <c r="R50" s="158"/>
      <c r="S50" s="157"/>
      <c r="W50" s="150"/>
      <c r="X50" s="157"/>
      <c r="Y50" s="157"/>
      <c r="Z50" s="158"/>
      <c r="AA50" s="157"/>
      <c r="AE50" s="157"/>
    </row>
    <row r="51" spans="1:34" x14ac:dyDescent="0.2">
      <c r="B51" s="159"/>
      <c r="C51" s="160"/>
      <c r="D51" s="160"/>
      <c r="E51" s="160"/>
      <c r="F51" s="160"/>
      <c r="G51" s="160"/>
      <c r="H51" s="160"/>
      <c r="I51" s="160"/>
      <c r="J51" s="160"/>
      <c r="K51" s="257"/>
      <c r="O51" s="150"/>
      <c r="P51" s="161"/>
      <c r="Q51" s="161"/>
      <c r="R51" s="162"/>
      <c r="S51" s="161"/>
      <c r="W51" s="150"/>
      <c r="X51" s="161"/>
      <c r="Y51" s="161"/>
      <c r="Z51" s="162"/>
      <c r="AA51" s="161"/>
      <c r="AE51" s="161"/>
    </row>
    <row r="52" spans="1:34" ht="12" hidden="1" x14ac:dyDescent="0.2">
      <c r="A52" s="120" t="str">
        <f>A8</f>
        <v>Production - BGS GENERATORS</v>
      </c>
      <c r="B52" s="163">
        <v>6.1499999999999999E-2</v>
      </c>
      <c r="C52" s="131">
        <f>SUM(B8*$B52)+SUM((C8-D8-E8)*$B52*0.5)</f>
        <v>0</v>
      </c>
      <c r="D52" s="131">
        <f>SUM(F8*$B52)+SUM((G8-H8-I8)*$B52*0.5)</f>
        <v>0</v>
      </c>
      <c r="E52" s="164">
        <f t="shared" ref="E52:J54" si="32">SUM(J8*$B52)+SUM((K8-L8-M8)*$B52*0.5)</f>
        <v>0</v>
      </c>
      <c r="F52" s="164">
        <f t="shared" si="32"/>
        <v>0</v>
      </c>
      <c r="G52" s="164">
        <f t="shared" si="32"/>
        <v>0</v>
      </c>
      <c r="H52" s="164">
        <f t="shared" si="32"/>
        <v>0</v>
      </c>
      <c r="I52" s="164">
        <f t="shared" si="32"/>
        <v>0</v>
      </c>
      <c r="J52" s="164">
        <f t="shared" si="32"/>
        <v>0</v>
      </c>
      <c r="K52" s="258"/>
      <c r="O52" s="150"/>
      <c r="P52" s="161"/>
      <c r="Q52" s="161"/>
      <c r="R52" s="154"/>
      <c r="S52" s="165"/>
      <c r="W52" s="150"/>
      <c r="X52" s="161"/>
      <c r="Y52" s="161"/>
      <c r="Z52" s="154"/>
      <c r="AA52" s="165"/>
      <c r="AE52" s="165"/>
    </row>
    <row r="53" spans="1:34" ht="12" hidden="1" x14ac:dyDescent="0.2">
      <c r="A53" s="120" t="str">
        <f>A9</f>
        <v>Production - CT3 GENERATOR</v>
      </c>
      <c r="B53" s="163">
        <v>2.64E-2</v>
      </c>
      <c r="C53" s="131">
        <f>SUM(B9*$B53)+SUM((C9-D9-E9)*$B53*0.5)</f>
        <v>0</v>
      </c>
      <c r="D53" s="131">
        <f>SUM(F9*$B53)+SUM((G9-H9-I9)*$B53*0.5)</f>
        <v>0</v>
      </c>
      <c r="E53" s="164">
        <f t="shared" si="32"/>
        <v>0</v>
      </c>
      <c r="F53" s="164">
        <f t="shared" si="32"/>
        <v>0</v>
      </c>
      <c r="G53" s="164">
        <f t="shared" si="32"/>
        <v>0</v>
      </c>
      <c r="H53" s="164">
        <f t="shared" si="32"/>
        <v>0</v>
      </c>
      <c r="I53" s="164">
        <f t="shared" si="32"/>
        <v>0</v>
      </c>
      <c r="J53" s="164">
        <f t="shared" si="32"/>
        <v>0</v>
      </c>
      <c r="K53" s="258"/>
      <c r="O53" s="150"/>
      <c r="P53" s="161"/>
      <c r="Q53" s="161"/>
      <c r="R53" s="154"/>
      <c r="S53" s="165"/>
      <c r="W53" s="150"/>
      <c r="X53" s="161"/>
      <c r="Y53" s="161"/>
      <c r="Z53" s="154"/>
      <c r="AA53" s="165"/>
      <c r="AE53" s="165"/>
    </row>
    <row r="54" spans="1:34" ht="12" hidden="1" x14ac:dyDescent="0.2">
      <c r="A54" s="120" t="str">
        <f>A10</f>
        <v>ECC</v>
      </c>
      <c r="B54" s="163">
        <v>3.2199999999999999E-2</v>
      </c>
      <c r="C54" s="131">
        <f>SUM(B10*$B54)+SUM((C10-D10-E10)*$B54*0.5)</f>
        <v>0</v>
      </c>
      <c r="D54" s="131">
        <f>SUM(F10*$B54)+SUM((G10-H10-I10)*$B54*0.5)</f>
        <v>0</v>
      </c>
      <c r="E54" s="164">
        <f t="shared" si="32"/>
        <v>0</v>
      </c>
      <c r="F54" s="164">
        <f t="shared" si="32"/>
        <v>0</v>
      </c>
      <c r="G54" s="164">
        <f t="shared" si="32"/>
        <v>0</v>
      </c>
      <c r="H54" s="164">
        <f t="shared" si="32"/>
        <v>0</v>
      </c>
      <c r="I54" s="164">
        <f t="shared" si="32"/>
        <v>0</v>
      </c>
      <c r="J54" s="164">
        <f t="shared" si="32"/>
        <v>0</v>
      </c>
      <c r="K54" s="258"/>
      <c r="O54" s="150"/>
      <c r="P54" s="161"/>
      <c r="Q54" s="161"/>
      <c r="R54" s="154"/>
      <c r="S54" s="165"/>
      <c r="W54" s="150"/>
      <c r="X54" s="161"/>
      <c r="Y54" s="161"/>
      <c r="Z54" s="154"/>
      <c r="AA54" s="165"/>
      <c r="AE54" s="165"/>
    </row>
    <row r="55" spans="1:34" ht="12" hidden="1" x14ac:dyDescent="0.2">
      <c r="A55" s="120" t="str">
        <f>A11</f>
        <v>Transmission Plant</v>
      </c>
      <c r="B55" s="163">
        <v>2.64E-2</v>
      </c>
      <c r="C55" s="131">
        <f>SUM(B$11*$B55)+SUM((C$11-D$11-E$11)*$B55*0.5)</f>
        <v>0</v>
      </c>
      <c r="D55" s="131">
        <f>SUM(F$11*$B55)+SUM((G$11-H$11-I$11)*$B55*0.5)</f>
        <v>0</v>
      </c>
      <c r="E55" s="164">
        <f>SUM(J$11*$B55)+SUM((K$11-L$11-M$11)*$B55*0.5)</f>
        <v>0</v>
      </c>
      <c r="F55" s="164">
        <f>SUM(N$11*$B55)+SUM((O$11-P$11-Q$11)*$B55*0.5)</f>
        <v>0</v>
      </c>
      <c r="G55" s="164">
        <f>SUM(R$11*$B55)+SUM((C$34-D$34-E$34)*$B55*0.5)</f>
        <v>0</v>
      </c>
      <c r="H55" s="164">
        <f>SUM(F$34*$B55)+SUM((G$34-H$34-I$34)*$B55*0.5)</f>
        <v>0</v>
      </c>
      <c r="I55" s="164">
        <f>SUM(J$34*$B55)+SUM((K$34-L$34-M$34)*$B55*0.5)</f>
        <v>0</v>
      </c>
      <c r="J55" s="164">
        <f>SUM(N$34*$B55)+SUM((O$34-P$34-Q$34)*$B55*0.5)</f>
        <v>0</v>
      </c>
      <c r="K55" s="258"/>
      <c r="N55" s="152"/>
      <c r="O55" s="150"/>
      <c r="P55" s="161"/>
      <c r="Q55" s="161"/>
      <c r="R55" s="154"/>
      <c r="S55" s="165"/>
      <c r="V55" s="152"/>
      <c r="W55" s="150"/>
      <c r="X55" s="161"/>
      <c r="Y55" s="161"/>
      <c r="Z55" s="154"/>
      <c r="AA55" s="165"/>
      <c r="AD55" s="152"/>
      <c r="AE55" s="165"/>
      <c r="AH55" s="152"/>
    </row>
    <row r="56" spans="1:34" ht="12" x14ac:dyDescent="0.2">
      <c r="A56" s="125" t="str">
        <f>A12</f>
        <v xml:space="preserve">Meters </v>
      </c>
      <c r="B56" s="163">
        <v>6.6600000000000006E-2</v>
      </c>
      <c r="C56" s="131">
        <f>SUM(B12*$B56)+SUM((C12-D12-E12)*$B56*0.5)</f>
        <v>0</v>
      </c>
      <c r="D56" s="131">
        <f>SUM(F12*$B56)+SUM((G12-H12-I12)*$B56*0.5)</f>
        <v>353919.06000000006</v>
      </c>
      <c r="E56" s="164">
        <f>SUM(J12*$B56)+SUM((K12-L12-M12)*$B56*0.5)</f>
        <v>949316.40000000014</v>
      </c>
      <c r="F56" s="164">
        <f>SUM(N12*$B56)+SUM((O12-P12-Q12)*$B56*0.5)</f>
        <v>1253461.9500000002</v>
      </c>
      <c r="G56" s="164">
        <f>SUM(R12*$B56)+SUM((C35-D35-E35)*$B56*0.5)</f>
        <v>1316682.0000000002</v>
      </c>
      <c r="H56" s="164">
        <f>SUM(F35*$B56)+SUM((G35-H35-I35)*$B56*0.5)</f>
        <v>1411174.08</v>
      </c>
      <c r="I56" s="164">
        <f>SUM(J35*$B56)+SUM((K35-L35-M35)*$B56*0.5)</f>
        <v>1562149.62</v>
      </c>
      <c r="J56" s="164">
        <f>SUM(N35*$B56)+SUM((O35-P35-Q35)*$B56*0.5)</f>
        <v>1664617.05</v>
      </c>
      <c r="K56" s="258"/>
      <c r="N56" s="152"/>
      <c r="O56" s="150"/>
      <c r="P56" s="161"/>
      <c r="Q56" s="161"/>
      <c r="R56" s="154"/>
      <c r="S56" s="165"/>
      <c r="V56" s="152"/>
      <c r="W56" s="150"/>
      <c r="X56" s="161"/>
      <c r="Y56" s="161"/>
      <c r="Z56" s="154"/>
      <c r="AA56" s="165"/>
      <c r="AD56" s="152"/>
      <c r="AE56" s="165"/>
      <c r="AH56" s="152"/>
    </row>
    <row r="57" spans="1:34" ht="12" hidden="1" x14ac:dyDescent="0.2">
      <c r="A57" s="125" t="s">
        <v>149</v>
      </c>
      <c r="B57" s="163">
        <v>6.8900000000000003E-2</v>
      </c>
      <c r="C57" s="131">
        <f>(SUM(B13*$B57)+SUM((C13-D13-E13)*$B57*0.5))</f>
        <v>0</v>
      </c>
      <c r="D57" s="131">
        <f>(SUM(F13*$B57)+SUM((G13-H13-I13)*$B57*0.5))</f>
        <v>0</v>
      </c>
      <c r="E57" s="164">
        <f>SUM(J13*$B57)+SUM((K13-L13-M13)*$B57*0.5)</f>
        <v>0</v>
      </c>
      <c r="F57" s="164">
        <f t="shared" ref="F57:J58" si="33">SUM(K13*$B57)+SUM((L13-M13-N13)*$B57*0.5)</f>
        <v>0</v>
      </c>
      <c r="G57" s="164">
        <f t="shared" si="33"/>
        <v>0</v>
      </c>
      <c r="H57" s="164">
        <f t="shared" si="33"/>
        <v>0</v>
      </c>
      <c r="I57" s="164">
        <f t="shared" si="33"/>
        <v>0</v>
      </c>
      <c r="J57" s="164">
        <f t="shared" si="33"/>
        <v>0</v>
      </c>
      <c r="K57" s="258"/>
      <c r="O57" s="150"/>
      <c r="P57" s="161"/>
      <c r="Q57" s="161"/>
      <c r="R57" s="154"/>
      <c r="S57" s="165"/>
      <c r="W57" s="150"/>
      <c r="X57" s="161"/>
      <c r="Y57" s="161"/>
      <c r="Z57" s="154"/>
      <c r="AA57" s="165"/>
      <c r="AE57" s="165"/>
    </row>
    <row r="58" spans="1:34" ht="12" hidden="1" x14ac:dyDescent="0.2">
      <c r="A58" s="125" t="s">
        <v>150</v>
      </c>
      <c r="B58" s="163">
        <v>3.183902176774079E-2</v>
      </c>
      <c r="C58" s="131">
        <f>SUM(B14*$B58)+SUM((C14-D14-E14)*$B58*0.5)</f>
        <v>0</v>
      </c>
      <c r="D58" s="131">
        <f>SUM(F14*$B58)+SUM((G14-H14-I14)*$B58*0.5)</f>
        <v>0</v>
      </c>
      <c r="E58" s="164">
        <f>SUM(J14*$B58)+SUM((K14-L14-M14)*$B58*0.5)</f>
        <v>0</v>
      </c>
      <c r="F58" s="164">
        <f t="shared" si="33"/>
        <v>0</v>
      </c>
      <c r="G58" s="164">
        <f t="shared" si="33"/>
        <v>0</v>
      </c>
      <c r="H58" s="164">
        <f t="shared" si="33"/>
        <v>0</v>
      </c>
      <c r="I58" s="164">
        <f t="shared" si="33"/>
        <v>0</v>
      </c>
      <c r="J58" s="164">
        <f t="shared" si="33"/>
        <v>0</v>
      </c>
      <c r="K58" s="258"/>
      <c r="N58" s="152"/>
      <c r="O58" s="150"/>
      <c r="P58" s="161"/>
      <c r="Q58" s="161"/>
      <c r="R58" s="165"/>
      <c r="S58" s="165"/>
      <c r="V58" s="152"/>
      <c r="W58" s="150"/>
      <c r="X58" s="161"/>
      <c r="Y58" s="161"/>
      <c r="Z58" s="165"/>
      <c r="AA58" s="165"/>
      <c r="AD58" s="152"/>
      <c r="AE58" s="165"/>
      <c r="AH58" s="152"/>
    </row>
    <row r="59" spans="1:34" ht="12" x14ac:dyDescent="0.2">
      <c r="A59" s="125" t="str">
        <f>+A15</f>
        <v>CIS</v>
      </c>
      <c r="B59" s="163">
        <v>0.1045</v>
      </c>
      <c r="C59" s="131">
        <f>SUM(B15*$B59)+SUM((C15-D15-E15)*$B59*0.5)</f>
        <v>0</v>
      </c>
      <c r="D59" s="131">
        <f>SUM(F15-E15)*$B59+SUM((G15+E15-H15-I15)*$B59*0.5)</f>
        <v>0</v>
      </c>
      <c r="E59" s="164">
        <f>SUM(J15*$B59)+SUM((K15-L15-M15)*$B59*0.5)</f>
        <v>1391940</v>
      </c>
      <c r="F59" s="164">
        <f>SUM(N15*$B59)+SUM((O15-P15-Q15)*$B59*0.5)</f>
        <v>1976816.7600775</v>
      </c>
      <c r="G59" s="164">
        <f>SUM(R15*$B59)+SUM((C38-D38-E38)*$B59*0.5)</f>
        <v>2205808.3201550003</v>
      </c>
      <c r="H59" s="164">
        <f>SUM(F38*$B59)+SUM((G38-H38-I38)*$B59*0.5)</f>
        <v>2205808.3201550003</v>
      </c>
      <c r="I59" s="164">
        <f>SUM(J38*$B59)+SUM((K38-L38-M38)*$B59*0.5)</f>
        <v>2205808.3201550003</v>
      </c>
      <c r="J59" s="164">
        <f>SUM(N38*$B59)+SUM((O38-P38-Q38)*$B59*0.5)</f>
        <v>2205808.3201550003</v>
      </c>
      <c r="K59" s="170"/>
      <c r="O59" s="150"/>
      <c r="P59" s="161"/>
      <c r="Q59" s="161"/>
      <c r="R59" s="166"/>
      <c r="S59" s="166"/>
      <c r="W59" s="150"/>
      <c r="X59" s="161"/>
      <c r="Y59" s="161"/>
      <c r="Z59" s="166"/>
      <c r="AA59" s="166"/>
      <c r="AE59" s="166"/>
    </row>
    <row r="60" spans="1:34" ht="14.25" hidden="1" x14ac:dyDescent="0.35">
      <c r="A60" s="125" t="s">
        <v>151</v>
      </c>
      <c r="B60" s="163">
        <v>0</v>
      </c>
      <c r="C60" s="167">
        <f>SUM(B16*$B60)+SUM((C16-D16)*$B60*0.05)</f>
        <v>0</v>
      </c>
      <c r="D60" s="167">
        <f>SUM(F16*$B60)+SUM((G16-H16)*$B60*0.5)</f>
        <v>0</v>
      </c>
      <c r="E60" s="168">
        <f t="shared" ref="E60:J60" si="34">SUM(J16*$B60)+SUM((K16-L16)*$B60*0.05)</f>
        <v>0</v>
      </c>
      <c r="F60" s="168">
        <f t="shared" si="34"/>
        <v>0</v>
      </c>
      <c r="G60" s="168">
        <f t="shared" si="34"/>
        <v>0</v>
      </c>
      <c r="H60" s="168">
        <f t="shared" si="34"/>
        <v>0</v>
      </c>
      <c r="I60" s="168">
        <f t="shared" si="34"/>
        <v>0</v>
      </c>
      <c r="J60" s="168">
        <f t="shared" si="34"/>
        <v>0</v>
      </c>
      <c r="K60" s="259"/>
      <c r="O60" s="150"/>
      <c r="P60" s="161"/>
      <c r="Q60" s="161"/>
      <c r="R60" s="169"/>
      <c r="S60" s="169"/>
      <c r="W60" s="150"/>
      <c r="X60" s="161"/>
      <c r="Y60" s="161"/>
      <c r="Z60" s="169"/>
      <c r="AA60" s="169"/>
      <c r="AE60" s="169"/>
    </row>
    <row r="61" spans="1:34" x14ac:dyDescent="0.2">
      <c r="A61" s="186" t="s">
        <v>154</v>
      </c>
      <c r="B61" s="266"/>
      <c r="C61" s="267">
        <f>SUM(C52:C60)</f>
        <v>0</v>
      </c>
      <c r="D61" s="268">
        <f>SUM(D52:D60)</f>
        <v>353919.06000000006</v>
      </c>
      <c r="E61" s="268">
        <f>SUM(E52:E60)</f>
        <v>2341256.4000000004</v>
      </c>
      <c r="F61" s="268">
        <f t="shared" ref="F61:J61" si="35">SUM(F52:F60)</f>
        <v>3230278.7100775</v>
      </c>
      <c r="G61" s="268">
        <f t="shared" si="35"/>
        <v>3522490.3201550003</v>
      </c>
      <c r="H61" s="268">
        <f t="shared" si="35"/>
        <v>3616982.4001550004</v>
      </c>
      <c r="I61" s="268">
        <f t="shared" si="35"/>
        <v>3767957.9401550004</v>
      </c>
      <c r="J61" s="268">
        <f t="shared" si="35"/>
        <v>3870425.3701550001</v>
      </c>
      <c r="K61" s="269">
        <f>SUM(C61:J61)</f>
        <v>20703310.2006975</v>
      </c>
      <c r="O61" s="150"/>
      <c r="P61" s="161"/>
      <c r="Q61" s="161"/>
      <c r="R61" s="171"/>
      <c r="S61" s="171"/>
      <c r="W61" s="150"/>
      <c r="X61" s="161"/>
      <c r="Y61" s="161"/>
      <c r="Z61" s="171"/>
      <c r="AA61" s="171"/>
      <c r="AE61" s="171"/>
    </row>
    <row r="62" spans="1:34" x14ac:dyDescent="0.2">
      <c r="A62" s="186"/>
      <c r="B62" s="159"/>
      <c r="C62" s="172"/>
      <c r="D62" s="172"/>
      <c r="E62" s="172"/>
      <c r="F62" s="172"/>
      <c r="G62" s="172"/>
      <c r="H62" s="172"/>
      <c r="I62" s="172"/>
      <c r="J62" s="172"/>
      <c r="K62" s="261"/>
      <c r="L62" s="174"/>
      <c r="M62" s="174"/>
      <c r="N62" s="174"/>
      <c r="O62" s="150"/>
      <c r="P62" s="161"/>
      <c r="Q62" s="161"/>
      <c r="R62" s="124"/>
      <c r="S62" s="173"/>
      <c r="T62" s="174"/>
      <c r="U62" s="174"/>
      <c r="V62" s="174"/>
      <c r="W62" s="150"/>
      <c r="X62" s="161"/>
      <c r="Y62" s="161"/>
      <c r="Z62" s="124"/>
      <c r="AA62" s="173"/>
      <c r="AB62" s="174"/>
      <c r="AC62" s="174"/>
      <c r="AD62" s="174"/>
      <c r="AE62" s="173"/>
      <c r="AF62" s="174"/>
      <c r="AG62" s="174"/>
      <c r="AH62" s="174"/>
    </row>
    <row r="63" spans="1:34" ht="14.25" x14ac:dyDescent="0.35">
      <c r="A63" s="156" t="s">
        <v>152</v>
      </c>
      <c r="B63" s="159">
        <f>+R44</f>
        <v>8.2728595432543781E-2</v>
      </c>
      <c r="C63" s="175">
        <f>-SUM(B19*$B63)-((C19-D19-E19)*$B63*0.5)</f>
        <v>0</v>
      </c>
      <c r="D63" s="175">
        <f>-SUM(F19-E19)*$B63-SUM((G19+E19-H19-I19)*$B63*0.5)</f>
        <v>-263246.52709612594</v>
      </c>
      <c r="E63" s="175">
        <f>-SUM(J19*$B63)-SUM((K19-L19-M19)*$B63*0.5)</f>
        <v>-1254219.280344395</v>
      </c>
      <c r="F63" s="175">
        <f>-SUM(N19*$B63)-SUM((O19-P19-Q19)*$B63*0.5)</f>
        <v>-1571843.3132183319</v>
      </c>
      <c r="G63" s="175">
        <f>-SUM(R19*$B63)-SUM((C42-D42-E42)*$B63*0.5)</f>
        <v>-1571843.3132183319</v>
      </c>
      <c r="H63" s="175">
        <f>-SUM(F42*$B63)-SUM((G42-H42-I42)*$B63*0.5)</f>
        <v>-1571843.3132183319</v>
      </c>
      <c r="I63" s="175">
        <f>-SUM(J42*$B63)-SUM((K42-L42-M42)*$B63*0.5)</f>
        <v>-1571843.3132183319</v>
      </c>
      <c r="J63" s="175">
        <f>-SUM(N42*$B63)-SUM((O42-P42-Q42)*$B63*0.5)</f>
        <v>-1571843.3132183319</v>
      </c>
      <c r="K63" s="260">
        <f>SUM(C63:J63)</f>
        <v>-9376682.3735321797</v>
      </c>
      <c r="L63" s="174"/>
      <c r="M63" s="174"/>
      <c r="N63" s="174"/>
      <c r="O63" s="150"/>
      <c r="P63" s="161"/>
      <c r="Q63" s="161"/>
      <c r="R63" s="124"/>
      <c r="S63" s="174"/>
      <c r="T63" s="174"/>
      <c r="U63" s="174"/>
      <c r="V63" s="174"/>
      <c r="W63" s="150"/>
      <c r="X63" s="161"/>
      <c r="Y63" s="161"/>
      <c r="Z63" s="124"/>
      <c r="AA63" s="174"/>
      <c r="AB63" s="174"/>
      <c r="AC63" s="174"/>
      <c r="AD63" s="174"/>
      <c r="AE63" s="174"/>
      <c r="AF63" s="174"/>
      <c r="AG63" s="174"/>
      <c r="AH63" s="174"/>
    </row>
    <row r="64" spans="1:34" ht="12" x14ac:dyDescent="0.2">
      <c r="A64" s="156"/>
      <c r="B64" s="159"/>
      <c r="C64" s="172"/>
      <c r="D64" s="172"/>
      <c r="E64" s="172"/>
      <c r="F64" s="172"/>
      <c r="G64" s="172"/>
      <c r="H64" s="172"/>
      <c r="I64" s="172"/>
      <c r="J64" s="172"/>
      <c r="K64" s="262"/>
      <c r="L64" s="176"/>
      <c r="M64" s="176"/>
      <c r="N64" s="176"/>
      <c r="O64" s="150"/>
      <c r="P64" s="161"/>
      <c r="Q64" s="161"/>
      <c r="R64" s="176"/>
      <c r="S64" s="176"/>
      <c r="T64" s="176"/>
      <c r="U64" s="176"/>
      <c r="V64" s="176"/>
      <c r="W64" s="150"/>
      <c r="X64" s="161"/>
      <c r="Y64" s="161"/>
      <c r="Z64" s="176"/>
      <c r="AA64" s="176"/>
      <c r="AB64" s="176"/>
      <c r="AC64" s="176"/>
      <c r="AD64" s="176"/>
      <c r="AE64" s="176"/>
      <c r="AF64" s="176"/>
      <c r="AG64" s="176"/>
      <c r="AH64" s="176"/>
    </row>
    <row r="65" spans="1:34" ht="14.25" x14ac:dyDescent="0.35">
      <c r="A65" s="156" t="s">
        <v>156</v>
      </c>
      <c r="B65" s="321"/>
      <c r="C65" s="322">
        <f t="shared" ref="C65:D65" si="36">SUM(C61+C63)</f>
        <v>0</v>
      </c>
      <c r="D65" s="322">
        <f t="shared" si="36"/>
        <v>90672.532903874118</v>
      </c>
      <c r="E65" s="322">
        <f>SUM(E61+E63)</f>
        <v>1087037.1196556054</v>
      </c>
      <c r="F65" s="322">
        <f t="shared" ref="F65:I65" si="37">SUM(F61+F63)</f>
        <v>1658435.3968591681</v>
      </c>
      <c r="G65" s="322">
        <f t="shared" si="37"/>
        <v>1950647.0069366684</v>
      </c>
      <c r="H65" s="322">
        <f t="shared" si="37"/>
        <v>2045139.0869366685</v>
      </c>
      <c r="I65" s="322">
        <f t="shared" si="37"/>
        <v>2196114.6269366685</v>
      </c>
      <c r="J65" s="322">
        <f t="shared" ref="J65" si="38">SUM(J61+J63)</f>
        <v>2298582.0569366682</v>
      </c>
      <c r="K65" s="323">
        <f>SUM(C65:J65)</f>
        <v>11326627.827165322</v>
      </c>
      <c r="AD65" s="178"/>
      <c r="AH65" s="178"/>
    </row>
    <row r="66" spans="1:34" ht="12" x14ac:dyDescent="0.2">
      <c r="A66" s="156"/>
      <c r="B66" s="177"/>
      <c r="C66" s="172"/>
      <c r="D66" s="172"/>
      <c r="E66" s="172"/>
      <c r="F66" s="172"/>
      <c r="G66" s="172"/>
      <c r="H66" s="172"/>
      <c r="I66" s="172"/>
      <c r="J66" s="172"/>
      <c r="K66" s="264"/>
      <c r="AB66" s="152"/>
      <c r="AC66" s="152"/>
      <c r="AG66" s="152"/>
    </row>
    <row r="67" spans="1:34" ht="12" x14ac:dyDescent="0.2">
      <c r="A67" s="156" t="s">
        <v>157</v>
      </c>
      <c r="B67" s="179"/>
      <c r="C67" s="180">
        <f>SUM(C61/SUM(F7:F15))</f>
        <v>0</v>
      </c>
      <c r="D67" s="180">
        <f>SUM(D61/SUM(J7:J15))</f>
        <v>1.7228542638224958E-2</v>
      </c>
      <c r="E67" s="180">
        <f>SUM(E61/SUM(N7:N15))</f>
        <v>6.7655810942800848E-2</v>
      </c>
      <c r="F67" s="180">
        <f>SUM(F61/SUM(R7:R15))</f>
        <v>7.9038060674243266E-2</v>
      </c>
      <c r="G67" s="180">
        <f>SUM(G61/SUM(F30:F38))</f>
        <v>8.6152865844167467E-2</v>
      </c>
      <c r="H67" s="180">
        <f>SUM(H61/SUM(J30:J38))</f>
        <v>8.275424756677402E-2</v>
      </c>
      <c r="I67" s="180">
        <f>SUM(I61/SUM(N30:N38))</f>
        <v>8.2957550099006266E-2</v>
      </c>
      <c r="J67" s="180">
        <f>SUM(J61/SUM(R30:R38))</f>
        <v>8.2728595432543781E-2</v>
      </c>
      <c r="K67" s="265"/>
      <c r="AB67" s="181"/>
    </row>
    <row r="68" spans="1:34" x14ac:dyDescent="0.2">
      <c r="B68" s="182"/>
      <c r="C68" s="182"/>
      <c r="D68" s="182"/>
      <c r="E68" s="182"/>
      <c r="F68" s="182"/>
      <c r="G68" s="182"/>
      <c r="H68" s="182"/>
      <c r="I68" s="182"/>
      <c r="J68" s="182"/>
      <c r="AB68" s="181"/>
    </row>
    <row r="69" spans="1:34" x14ac:dyDescent="0.2">
      <c r="B69" s="121"/>
      <c r="C69" s="121"/>
    </row>
    <row r="70" spans="1:34" ht="14.25" x14ac:dyDescent="0.35">
      <c r="A70" s="156" t="s">
        <v>272</v>
      </c>
      <c r="B70" s="183"/>
      <c r="C70" s="184">
        <f>C65</f>
        <v>0</v>
      </c>
      <c r="D70" s="184">
        <f t="shared" ref="D70:E70" si="39">D65</f>
        <v>90672.532903874118</v>
      </c>
      <c r="E70" s="184">
        <f t="shared" si="39"/>
        <v>1087037.1196556054</v>
      </c>
      <c r="F70" s="184">
        <f t="shared" ref="F70:I70" si="40">F65</f>
        <v>1658435.3968591681</v>
      </c>
      <c r="G70" s="184">
        <f t="shared" si="40"/>
        <v>1950647.0069366684</v>
      </c>
      <c r="H70" s="184">
        <f t="shared" si="40"/>
        <v>2045139.0869366685</v>
      </c>
      <c r="I70" s="184">
        <f t="shared" si="40"/>
        <v>2196114.6269366685</v>
      </c>
      <c r="J70" s="184">
        <f t="shared" ref="J70" si="41">J65</f>
        <v>2298582.0569366682</v>
      </c>
      <c r="K70" s="181"/>
      <c r="AB70" s="152"/>
      <c r="AC70" s="181"/>
      <c r="AD70" s="178"/>
      <c r="AG70" s="181"/>
      <c r="AH70" s="178"/>
    </row>
    <row r="71" spans="1:34" ht="15.75" customHeight="1" x14ac:dyDescent="0.2">
      <c r="A71" s="186" t="s">
        <v>159</v>
      </c>
      <c r="D71" s="195">
        <f>+C71+D70</f>
        <v>90672.532903874118</v>
      </c>
      <c r="E71" s="195">
        <f>D71+E70</f>
        <v>1177709.6525594795</v>
      </c>
      <c r="F71" s="195">
        <f t="shared" ref="F71:J71" si="42">E71+F70</f>
        <v>2836145.0494186478</v>
      </c>
      <c r="G71" s="195">
        <f t="shared" si="42"/>
        <v>4786792.0563553162</v>
      </c>
      <c r="H71" s="195">
        <f t="shared" si="42"/>
        <v>6831931.1432919847</v>
      </c>
      <c r="I71" s="195">
        <f t="shared" si="42"/>
        <v>9028045.7702286541</v>
      </c>
      <c r="J71" s="195">
        <f t="shared" si="42"/>
        <v>11326627.827165322</v>
      </c>
      <c r="K71" s="297">
        <f>+K61+K63</f>
        <v>11326627.827165321</v>
      </c>
    </row>
    <row r="72" spans="1:34" ht="13.5" x14ac:dyDescent="0.35">
      <c r="A72" s="186" t="s">
        <v>273</v>
      </c>
      <c r="C72" s="185">
        <f>+F17-F19-C70</f>
        <v>1621450</v>
      </c>
      <c r="D72" s="185">
        <f>+J17-J19-C70-D70</f>
        <v>9130627.4670961257</v>
      </c>
      <c r="E72" s="185">
        <f>+N17-N19-C70-D70-E70</f>
        <v>14427690.34744052</v>
      </c>
      <c r="F72" s="185">
        <f>+R17-R19-C70-D70-E70-F70</f>
        <v>19033768.540581357</v>
      </c>
      <c r="G72" s="185">
        <f>+F40-F42-C70-D70-E70-F70-G70</f>
        <v>17099721.533644687</v>
      </c>
      <c r="H72" s="185">
        <f>+J40-J42-SUM(C70:H70)</f>
        <v>17875582.44670802</v>
      </c>
      <c r="I72" s="185">
        <f>+N40-N42-SUM(C70:I70)</f>
        <v>17392267.819771349</v>
      </c>
      <c r="J72" s="184">
        <f>R40-R42-J71</f>
        <v>16457985.762834681</v>
      </c>
      <c r="K72" s="185">
        <f>+R40-R42-J71</f>
        <v>16457985.762834681</v>
      </c>
      <c r="L72" s="196"/>
    </row>
    <row r="74" spans="1:34" x14ac:dyDescent="0.2">
      <c r="A74" s="335" t="s">
        <v>278</v>
      </c>
      <c r="B74" s="336"/>
      <c r="C74" s="336"/>
      <c r="D74" s="336"/>
      <c r="E74" s="336"/>
      <c r="F74" s="336"/>
      <c r="G74" s="336"/>
      <c r="H74" s="336"/>
      <c r="I74" s="336"/>
      <c r="J74" s="336"/>
      <c r="K74" s="337"/>
    </row>
    <row r="75" spans="1:34" x14ac:dyDescent="0.2">
      <c r="A75" s="292" t="s">
        <v>271</v>
      </c>
      <c r="B75" s="276" t="s">
        <v>155</v>
      </c>
      <c r="C75" s="275">
        <v>2023</v>
      </c>
      <c r="D75" s="275">
        <f>+C75+1</f>
        <v>2024</v>
      </c>
      <c r="E75" s="275">
        <f>+D75+1</f>
        <v>2025</v>
      </c>
      <c r="F75" s="275">
        <f t="shared" ref="F75" si="43">+E75+1</f>
        <v>2026</v>
      </c>
      <c r="G75" s="275">
        <f t="shared" ref="G75" si="44">+F75+1</f>
        <v>2027</v>
      </c>
      <c r="H75" s="275">
        <f t="shared" ref="H75" si="45">+G75+1</f>
        <v>2028</v>
      </c>
      <c r="I75" s="275">
        <f t="shared" ref="I75" si="46">+H75+1</f>
        <v>2029</v>
      </c>
      <c r="J75" s="275">
        <f t="shared" ref="J75" si="47">+I75+1</f>
        <v>2030</v>
      </c>
      <c r="K75" s="275" t="s">
        <v>253</v>
      </c>
    </row>
    <row r="76" spans="1:34" x14ac:dyDescent="0.2">
      <c r="A76" s="312" t="s">
        <v>228</v>
      </c>
      <c r="B76" s="187">
        <v>0.08</v>
      </c>
      <c r="C76" s="188">
        <f>SUM(B$12*$B76)+SUM((C$12)*$B76*150%)</f>
        <v>0</v>
      </c>
      <c r="D76" s="188">
        <f>SUM((F$12-C76)*$B76)+SUM((G$12-I$12)*$B76)</f>
        <v>1018256</v>
      </c>
      <c r="E76" s="188">
        <f>SUM((J$12-C76-D76)*$B76)+SUM((K$12-M$12)*$B76)</f>
        <v>1740923.52</v>
      </c>
      <c r="F76" s="188">
        <f>SUM((N$12-C76-D76-E76)*$B76)+SUM((O$12-Q$12)*$B76)</f>
        <v>1360201.6384000001</v>
      </c>
      <c r="G76" s="188">
        <f>((R$12-C76-D76-E76-F76)*$B76)+((C$35-E$35)*$B76)</f>
        <v>1252713.5073280002</v>
      </c>
      <c r="H76" s="188">
        <f>SUM((F$35-C76-D76-E76-F76-G76)*$B76)+SUM((G$35-I$35)*$B76*0.5)</f>
        <v>1265336.42674176</v>
      </c>
      <c r="I76" s="188">
        <f>SUM((J$35-C76-D76-E76-F76-G76-H76)*$B76)+SUM((K$35-M$35)*$B76*0.5)</f>
        <v>1345461.5126024194</v>
      </c>
      <c r="J76" s="188">
        <f>SUM((N$35-C76-D76-E76-F76-G76-H76-I76)*$B76)+SUM((O$35-Q$35)*$B76*0.5)</f>
        <v>1360908.5915942257</v>
      </c>
      <c r="K76" s="263"/>
    </row>
    <row r="77" spans="1:34" x14ac:dyDescent="0.2">
      <c r="A77" s="312" t="s">
        <v>232</v>
      </c>
      <c r="B77" s="187">
        <v>0.08</v>
      </c>
      <c r="C77" s="188">
        <f>SUM(B$12*$B77)+SUM((C$12)*$B77*150%)</f>
        <v>0</v>
      </c>
      <c r="D77" s="188">
        <f>-SUM((F$22+C77)*$B77)-SUM((G$22-I$22)*$B77)</f>
        <v>-509128</v>
      </c>
      <c r="E77" s="188">
        <f>-SUM((J$22+C77+D77)*$B77)-SUM((K$22-M$22)*$B77)</f>
        <v>-862046.33898622566</v>
      </c>
      <c r="F77" s="188">
        <f>-SUM((N$22+C77+D77+E77)*$B77)-SUM((O$22-Q$22)*$B77)</f>
        <v>-793082.63186732773</v>
      </c>
      <c r="G77" s="188">
        <f>-((R$22+C77+D77+E77+F77)*$B77)-((C$45-E$45)*$B77)</f>
        <v>-729636.0213179416</v>
      </c>
      <c r="H77" s="188">
        <f>-SUM((F$45+C77+D77+E77+F77+G77)*$B77)-SUM((G$45-I$45)*$B77*0.5)</f>
        <v>-671265.13961250614</v>
      </c>
      <c r="I77" s="188">
        <f>-SUM((J$45+C77+D77+E77+F77+G77+H77)*$B77)-SUM((K$45-M$45)*$B77*0.5)</f>
        <v>-617563.92844350566</v>
      </c>
      <c r="J77" s="188">
        <f>-SUM((N$45+C77+D77+E77+F77+G77+H77+I77)*$B77)-SUM((O$45-Q$45)*$B77*0.5)</f>
        <v>-568158.81416802527</v>
      </c>
      <c r="K77" s="263"/>
    </row>
    <row r="78" spans="1:34" x14ac:dyDescent="0.2">
      <c r="A78" s="312" t="s">
        <v>229</v>
      </c>
      <c r="B78" s="187">
        <v>1</v>
      </c>
      <c r="C78" s="188">
        <f>SUM(B$12*$B78)+SUM((C$12)*$B78*150%)</f>
        <v>0</v>
      </c>
      <c r="D78" s="188">
        <f>SUM((F$15)*$B78)+SUM((G$15-I$15)*$B78)</f>
        <v>0</v>
      </c>
      <c r="E78" s="188">
        <f>SUM((J$15-C78-D78)*$B78)+SUM((K$15-M$15)*$B78)</f>
        <v>16725600</v>
      </c>
      <c r="F78" s="188">
        <f>SUM((N$15+L15-C78-D78-E78)*$B78)+SUM((O$15-Q$15)*$B78)</f>
        <v>6016700</v>
      </c>
      <c r="G78" s="188">
        <f>((R$15+L15-C78-D78-E78-F78)*$B78)+((C$38-D$38-E$38)*$B78)</f>
        <v>-1634086.4099999964</v>
      </c>
      <c r="H78" s="188">
        <f>SUM((F$38+L15-C78-D78-E78-F78-G78)*$B78)+SUM((G$38-H$38-I$38)*$B78*0.5)</f>
        <v>0</v>
      </c>
      <c r="I78" s="188">
        <f>SUM((J$38+L15-C78-D78-E78-F78-G78-H78)*$B78)+SUM((K$38-L$38-M$38)*$B78*0.5)</f>
        <v>0</v>
      </c>
      <c r="J78" s="188">
        <f>SUM((N$38+L15-C78-D78-E78-F78-G78-H78-I78)*$B78)+SUM((O$38-P$38-Q$38)*$B78*0.5)</f>
        <v>0</v>
      </c>
      <c r="K78" s="263"/>
    </row>
    <row r="79" spans="1:34" x14ac:dyDescent="0.2">
      <c r="A79" s="312" t="s">
        <v>233</v>
      </c>
      <c r="B79" s="187">
        <v>1</v>
      </c>
      <c r="C79" s="188">
        <f>SUM(B$24*$B79)+SUM((C$24-E24)*$B79*150%)</f>
        <v>0</v>
      </c>
      <c r="D79" s="188">
        <f>SUM((F$24)*$B79)+SUM((G$24-I$24)*$B79)</f>
        <v>0</v>
      </c>
      <c r="E79" s="188">
        <f>-SUM((J$24-I24-C79-D79)*$B79)-SUM((K$24+I24-M$24)*$B79)</f>
        <v>-7715292.7626721794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263"/>
    </row>
    <row r="80" spans="1:34" x14ac:dyDescent="0.2">
      <c r="A80" s="312" t="s">
        <v>234</v>
      </c>
      <c r="B80" s="319"/>
      <c r="C80" s="320">
        <f>SUM(C76:C79)</f>
        <v>0</v>
      </c>
      <c r="D80" s="320">
        <f t="shared" ref="D80:I80" si="48">SUM(D76:D79)</f>
        <v>509128</v>
      </c>
      <c r="E80" s="320">
        <f t="shared" si="48"/>
        <v>9889184.4183415957</v>
      </c>
      <c r="F80" s="320">
        <f t="shared" si="48"/>
        <v>6583819.0065326728</v>
      </c>
      <c r="G80" s="320">
        <f t="shared" si="48"/>
        <v>-1111008.9239899379</v>
      </c>
      <c r="H80" s="320">
        <f t="shared" si="48"/>
        <v>594071.28712925385</v>
      </c>
      <c r="I80" s="320">
        <f t="shared" si="48"/>
        <v>727897.5841589137</v>
      </c>
      <c r="J80" s="320">
        <f>SUM(J76:J79)</f>
        <v>792749.77742620045</v>
      </c>
      <c r="K80" s="318">
        <f>+R40+H12+L12+L15-R42-SUM(C80:J80)</f>
        <v>16798772.440401305</v>
      </c>
    </row>
    <row r="81" spans="1:11" ht="13.5" hidden="1" x14ac:dyDescent="0.35">
      <c r="A81" s="186" t="s">
        <v>274</v>
      </c>
      <c r="K81" s="184">
        <f>R40+H12+L12+L15-R42-SUM(C80:J80)</f>
        <v>16798772.440401305</v>
      </c>
    </row>
    <row r="82" spans="1:11" ht="23.25" customHeight="1" x14ac:dyDescent="0.2">
      <c r="A82" s="334" t="s">
        <v>210</v>
      </c>
      <c r="B82" s="334"/>
      <c r="C82" s="195">
        <f t="shared" ref="C82:J82" si="49">+C80-C70</f>
        <v>0</v>
      </c>
      <c r="D82" s="195">
        <f t="shared" si="49"/>
        <v>418455.46709612588</v>
      </c>
      <c r="E82" s="195">
        <f t="shared" si="49"/>
        <v>8802147.2986859903</v>
      </c>
      <c r="F82" s="195">
        <f t="shared" si="49"/>
        <v>4925383.6096735047</v>
      </c>
      <c r="G82" s="195">
        <f t="shared" si="49"/>
        <v>-3061655.9309266061</v>
      </c>
      <c r="H82" s="195">
        <f t="shared" si="49"/>
        <v>-1451067.7998074146</v>
      </c>
      <c r="I82" s="195">
        <f t="shared" si="49"/>
        <v>-1468217.0427777548</v>
      </c>
      <c r="J82" s="195">
        <f t="shared" si="49"/>
        <v>-1505832.2795104678</v>
      </c>
    </row>
    <row r="84" spans="1:11" ht="21.75" customHeight="1" x14ac:dyDescent="0.2">
      <c r="A84" s="334" t="s">
        <v>211</v>
      </c>
      <c r="B84" s="334"/>
      <c r="C84" s="195">
        <f>+C82</f>
        <v>0</v>
      </c>
      <c r="D84" s="195">
        <f>+C84+D82</f>
        <v>418455.46709612588</v>
      </c>
      <c r="E84" s="195">
        <f t="shared" ref="E84:I84" si="50">+D84+E82</f>
        <v>9220602.765782116</v>
      </c>
      <c r="F84" s="195">
        <f t="shared" si="50"/>
        <v>14145986.375455622</v>
      </c>
      <c r="G84" s="195">
        <f t="shared" si="50"/>
        <v>11084330.444529016</v>
      </c>
      <c r="H84" s="195">
        <f t="shared" si="50"/>
        <v>9633262.6447216012</v>
      </c>
      <c r="I84" s="195">
        <f t="shared" si="50"/>
        <v>8165045.6019438468</v>
      </c>
      <c r="J84" s="195">
        <f>+I84+J82</f>
        <v>6659213.3224333785</v>
      </c>
    </row>
    <row r="85" spans="1:11" x14ac:dyDescent="0.2">
      <c r="A85" s="186" t="s">
        <v>212</v>
      </c>
      <c r="B85" s="183"/>
      <c r="C85" s="296">
        <v>0.31</v>
      </c>
      <c r="D85" s="296">
        <v>0.31</v>
      </c>
      <c r="E85" s="296">
        <v>0.31</v>
      </c>
      <c r="F85" s="296">
        <v>0.31</v>
      </c>
      <c r="G85" s="296">
        <v>0.31</v>
      </c>
      <c r="H85" s="296">
        <v>0.31</v>
      </c>
      <c r="I85" s="296">
        <v>0.31</v>
      </c>
      <c r="J85" s="296">
        <v>0.31</v>
      </c>
    </row>
    <row r="86" spans="1:11" x14ac:dyDescent="0.2">
      <c r="A86" s="186" t="s">
        <v>213</v>
      </c>
      <c r="B86" s="183"/>
      <c r="C86" s="313">
        <f t="shared" ref="C86:J86" si="51">+C84*C85</f>
        <v>0</v>
      </c>
      <c r="D86" s="313">
        <f t="shared" si="51"/>
        <v>129721.19479979902</v>
      </c>
      <c r="E86" s="313">
        <f t="shared" si="51"/>
        <v>2858386.8573924559</v>
      </c>
      <c r="F86" s="313">
        <f t="shared" si="51"/>
        <v>4385255.7763912426</v>
      </c>
      <c r="G86" s="313">
        <f t="shared" si="51"/>
        <v>3436142.4378039949</v>
      </c>
      <c r="H86" s="313">
        <f t="shared" si="51"/>
        <v>2986311.4198636962</v>
      </c>
      <c r="I86" s="313">
        <f t="shared" si="51"/>
        <v>2531164.1366025927</v>
      </c>
      <c r="J86" s="313">
        <f t="shared" si="51"/>
        <v>2064356.1299543474</v>
      </c>
    </row>
    <row r="88" spans="1:11" ht="21.75" customHeight="1" x14ac:dyDescent="0.2">
      <c r="A88" s="334" t="s">
        <v>276</v>
      </c>
      <c r="B88" s="334"/>
      <c r="C88" s="294">
        <f t="shared" ref="C88:J88" si="52">+C72-C86</f>
        <v>1621450</v>
      </c>
      <c r="D88" s="295">
        <f t="shared" si="52"/>
        <v>9000906.2722963262</v>
      </c>
      <c r="E88" s="294">
        <f t="shared" si="52"/>
        <v>11569303.490048064</v>
      </c>
      <c r="F88" s="294">
        <f t="shared" si="52"/>
        <v>14648512.764190115</v>
      </c>
      <c r="G88" s="294">
        <f t="shared" si="52"/>
        <v>13663579.095840693</v>
      </c>
      <c r="H88" s="294">
        <f t="shared" si="52"/>
        <v>14889271.026844323</v>
      </c>
      <c r="I88" s="294">
        <f t="shared" si="52"/>
        <v>14861103.683168758</v>
      </c>
      <c r="J88" s="294">
        <f t="shared" si="52"/>
        <v>14393629.632880334</v>
      </c>
    </row>
  </sheetData>
  <mergeCells count="13">
    <mergeCell ref="C4:F4"/>
    <mergeCell ref="G4:J4"/>
    <mergeCell ref="K4:N4"/>
    <mergeCell ref="O4:R4"/>
    <mergeCell ref="C27:F27"/>
    <mergeCell ref="G27:J27"/>
    <mergeCell ref="K27:N27"/>
    <mergeCell ref="O27:R27"/>
    <mergeCell ref="A82:B82"/>
    <mergeCell ref="A84:B84"/>
    <mergeCell ref="A88:B88"/>
    <mergeCell ref="A74:K74"/>
    <mergeCell ref="A49:K49"/>
  </mergeCells>
  <pageMargins left="0.7" right="0.7" top="0.75" bottom="0.75" header="0.3" footer="0.3"/>
  <pageSetup paperSize="5" scale="77" orientation="landscape" r:id="rId1"/>
  <headerFooter>
    <oddHeader xml:space="preserve">&amp;CAppendix B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showRuler="0" topLeftCell="C1" zoomScaleNormal="100" workbookViewId="0">
      <selection activeCell="E33" sqref="E33"/>
    </sheetView>
  </sheetViews>
  <sheetFormatPr defaultRowHeight="15" x14ac:dyDescent="0.25"/>
  <cols>
    <col min="1" max="1" width="3" hidden="1" customWidth="1"/>
    <col min="2" max="2" width="3.5703125" hidden="1" customWidth="1"/>
    <col min="3" max="3" width="83.5703125" style="13" customWidth="1"/>
    <col min="4" max="4" width="20.42578125" style="78" bestFit="1" customWidth="1"/>
    <col min="5" max="5" width="12.85546875" style="13" bestFit="1" customWidth="1"/>
    <col min="6" max="6" width="7.5703125" customWidth="1"/>
    <col min="7" max="7" width="10.5703125" bestFit="1" customWidth="1"/>
  </cols>
  <sheetData>
    <row r="1" spans="1:6" ht="21" customHeight="1" x14ac:dyDescent="0.25">
      <c r="A1" s="1"/>
      <c r="B1" s="1"/>
      <c r="C1" s="341" t="s">
        <v>137</v>
      </c>
      <c r="D1" s="341"/>
      <c r="E1" s="341"/>
    </row>
    <row r="2" spans="1:6" ht="25.15" customHeight="1" x14ac:dyDescent="0.25">
      <c r="A2" s="2"/>
      <c r="B2" s="3" t="s">
        <v>0</v>
      </c>
      <c r="C2" s="59" t="s">
        <v>86</v>
      </c>
      <c r="D2" s="67" t="s">
        <v>112</v>
      </c>
      <c r="E2" s="60" t="s">
        <v>82</v>
      </c>
    </row>
    <row r="3" spans="1:6" x14ac:dyDescent="0.25">
      <c r="A3" s="2" t="s">
        <v>1</v>
      </c>
      <c r="B3" s="4"/>
      <c r="C3" s="25" t="s">
        <v>11</v>
      </c>
      <c r="D3" s="69"/>
      <c r="E3" s="26"/>
    </row>
    <row r="4" spans="1:6" x14ac:dyDescent="0.25">
      <c r="A4" s="2" t="s">
        <v>2</v>
      </c>
      <c r="B4" s="4"/>
      <c r="C4" s="27" t="s">
        <v>250</v>
      </c>
      <c r="D4" s="73" t="s">
        <v>238</v>
      </c>
      <c r="E4" s="102">
        <f>(+'App B Annual Deprec and CCA'!C17+'App B Annual Deprec and CCA'!G17+'App B Annual Deprec and CCA'!K17+'App B Annual Deprec and CCA'!O17+'App B Annual Deprec and CCA'!C40+'App B Annual Deprec and CCA'!G40+'App B Annual Deprec and CCA'!K40+'App B Annual Deprec and CCA'!O40)/1000</f>
        <v>55418.7</v>
      </c>
    </row>
    <row r="5" spans="1:6" ht="16.5" x14ac:dyDescent="0.35">
      <c r="A5" s="2" t="s">
        <v>3</v>
      </c>
      <c r="B5" s="4"/>
      <c r="C5" s="27" t="s">
        <v>251</v>
      </c>
      <c r="D5" s="73" t="s">
        <v>230</v>
      </c>
      <c r="E5" s="29">
        <f>-(+'App B Annual Deprec and CCA'!H12+'App B Annual Deprec and CCA'!L12+'App B Annual Deprec and CCA'!L15)/1000</f>
        <v>-7000</v>
      </c>
      <c r="F5" s="11"/>
    </row>
    <row r="6" spans="1:6" x14ac:dyDescent="0.25">
      <c r="A6" s="2" t="s">
        <v>37</v>
      </c>
      <c r="B6" s="4"/>
      <c r="C6" s="27" t="s">
        <v>81</v>
      </c>
      <c r="D6" s="73" t="s">
        <v>88</v>
      </c>
      <c r="E6" s="30">
        <f>SUM(E4:E5)</f>
        <v>48418.7</v>
      </c>
    </row>
    <row r="7" spans="1:6" x14ac:dyDescent="0.25">
      <c r="A7" s="2" t="s">
        <v>4</v>
      </c>
      <c r="B7" s="4"/>
      <c r="C7" s="27"/>
      <c r="D7" s="73"/>
      <c r="E7" s="28"/>
    </row>
    <row r="8" spans="1:6" x14ac:dyDescent="0.25">
      <c r="A8" s="2" t="s">
        <v>5</v>
      </c>
      <c r="B8" s="4"/>
      <c r="C8" s="27" t="s">
        <v>67</v>
      </c>
      <c r="D8" s="73" t="s">
        <v>89</v>
      </c>
      <c r="E8" s="31">
        <f>+'App B Annual Deprec and CCA'!B63</f>
        <v>8.2728595432543781E-2</v>
      </c>
    </row>
    <row r="9" spans="1:6" x14ac:dyDescent="0.25">
      <c r="A9" s="2" t="s">
        <v>6</v>
      </c>
      <c r="B9" s="4"/>
      <c r="C9" s="27" t="s">
        <v>158</v>
      </c>
      <c r="D9" s="73" t="s">
        <v>90</v>
      </c>
      <c r="E9" s="30">
        <f>E6*E8</f>
        <v>4005.6110436697072</v>
      </c>
    </row>
    <row r="10" spans="1:6" x14ac:dyDescent="0.25">
      <c r="A10" s="2" t="s">
        <v>7</v>
      </c>
      <c r="B10" s="4"/>
      <c r="C10" s="27"/>
      <c r="D10" s="73"/>
      <c r="E10" s="28"/>
    </row>
    <row r="11" spans="1:6" x14ac:dyDescent="0.25">
      <c r="A11" s="2" t="s">
        <v>8</v>
      </c>
      <c r="B11" s="4"/>
      <c r="C11" s="25" t="s">
        <v>68</v>
      </c>
      <c r="D11" s="69"/>
      <c r="E11" s="26"/>
    </row>
    <row r="12" spans="1:6" x14ac:dyDescent="0.25">
      <c r="A12" s="2" t="s">
        <v>9</v>
      </c>
      <c r="B12" s="4"/>
      <c r="C12" s="45" t="s">
        <v>69</v>
      </c>
      <c r="D12" s="81" t="s">
        <v>91</v>
      </c>
      <c r="E12" s="102">
        <f>+E4</f>
        <v>55418.7</v>
      </c>
    </row>
    <row r="13" spans="1:6" ht="16.5" x14ac:dyDescent="0.35">
      <c r="A13" s="2" t="s">
        <v>10</v>
      </c>
      <c r="B13" s="4"/>
      <c r="C13" s="27" t="s">
        <v>252</v>
      </c>
      <c r="D13" s="73" t="s">
        <v>92</v>
      </c>
      <c r="E13" s="29">
        <f>-19000000/1000</f>
        <v>-19000</v>
      </c>
    </row>
    <row r="14" spans="1:6" x14ac:dyDescent="0.25">
      <c r="A14" s="2" t="s">
        <v>12</v>
      </c>
      <c r="B14" s="4"/>
      <c r="C14" s="27" t="s">
        <v>84</v>
      </c>
      <c r="D14" s="73" t="s">
        <v>93</v>
      </c>
      <c r="E14" s="30">
        <f>SUM(E12:E13)</f>
        <v>36418.699999999997</v>
      </c>
    </row>
    <row r="15" spans="1:6" x14ac:dyDescent="0.25">
      <c r="A15" s="2" t="s">
        <v>13</v>
      </c>
      <c r="B15" s="4"/>
      <c r="C15" s="32"/>
      <c r="D15" s="74"/>
      <c r="E15" s="33"/>
    </row>
    <row r="16" spans="1:6" x14ac:dyDescent="0.25">
      <c r="A16" s="2" t="s">
        <v>14</v>
      </c>
      <c r="B16" s="4"/>
      <c r="C16" s="25" t="s">
        <v>17</v>
      </c>
      <c r="D16" s="69"/>
      <c r="E16" s="26"/>
    </row>
    <row r="17" spans="1:11" x14ac:dyDescent="0.25">
      <c r="A17" s="2" t="s">
        <v>15</v>
      </c>
      <c r="B17" s="4"/>
      <c r="C17" s="27" t="s">
        <v>70</v>
      </c>
      <c r="D17" s="81" t="s">
        <v>231</v>
      </c>
      <c r="E17" s="102">
        <f>-SUM('App A 2023 - 2030 Annual Impact'!C3:C10)/1000</f>
        <v>0</v>
      </c>
      <c r="H17" s="10"/>
      <c r="I17" s="10"/>
      <c r="J17" s="10"/>
      <c r="K17" s="10"/>
    </row>
    <row r="18" spans="1:11" ht="16.5" x14ac:dyDescent="0.35">
      <c r="A18" s="2" t="s">
        <v>16</v>
      </c>
      <c r="B18" s="4"/>
      <c r="C18" s="27" t="s">
        <v>161</v>
      </c>
      <c r="D18" s="73" t="s">
        <v>101</v>
      </c>
      <c r="E18" s="29">
        <f>+'App B Annual Deprec and CCA'!K61/1000</f>
        <v>20703.310200697499</v>
      </c>
    </row>
    <row r="19" spans="1:11" x14ac:dyDescent="0.25">
      <c r="A19" s="2" t="s">
        <v>18</v>
      </c>
      <c r="B19" s="4"/>
      <c r="C19" s="27" t="s">
        <v>85</v>
      </c>
      <c r="D19" s="73" t="s">
        <v>297</v>
      </c>
      <c r="E19" s="30">
        <f>SUM(E17:E18)</f>
        <v>20703.310200697499</v>
      </c>
    </row>
    <row r="20" spans="1:11" x14ac:dyDescent="0.25">
      <c r="A20" s="2" t="s">
        <v>19</v>
      </c>
      <c r="B20" s="4"/>
      <c r="C20" s="27"/>
      <c r="D20" s="73"/>
      <c r="E20" s="24"/>
    </row>
    <row r="21" spans="1:11" x14ac:dyDescent="0.25">
      <c r="A21" s="2" t="s">
        <v>20</v>
      </c>
      <c r="B21" s="4"/>
      <c r="C21" s="103" t="s">
        <v>255</v>
      </c>
      <c r="D21" s="104" t="s">
        <v>298</v>
      </c>
      <c r="E21" s="105">
        <f>E6-E19</f>
        <v>27715.389799302498</v>
      </c>
    </row>
    <row r="22" spans="1:11" x14ac:dyDescent="0.25">
      <c r="A22" s="2" t="s">
        <v>21</v>
      </c>
      <c r="B22" s="4"/>
      <c r="C22" s="32"/>
      <c r="D22" s="74"/>
      <c r="E22" s="33"/>
    </row>
    <row r="23" spans="1:11" x14ac:dyDescent="0.25">
      <c r="A23" s="2" t="s">
        <v>22</v>
      </c>
      <c r="B23" s="4"/>
      <c r="C23" s="84" t="s">
        <v>58</v>
      </c>
      <c r="D23" s="69"/>
      <c r="E23" s="34"/>
      <c r="H23" s="10"/>
    </row>
    <row r="24" spans="1:11" x14ac:dyDescent="0.25">
      <c r="A24" s="2" t="s">
        <v>23</v>
      </c>
      <c r="B24" s="4"/>
      <c r="C24" s="27" t="s">
        <v>254</v>
      </c>
      <c r="D24" s="90" t="s">
        <v>92</v>
      </c>
      <c r="E24" s="91">
        <f>+E13</f>
        <v>-19000</v>
      </c>
    </row>
    <row r="25" spans="1:11" x14ac:dyDescent="0.25">
      <c r="A25" s="2" t="s">
        <v>24</v>
      </c>
      <c r="B25" s="4"/>
      <c r="C25" s="32"/>
      <c r="D25" s="74"/>
      <c r="E25" s="33"/>
    </row>
    <row r="26" spans="1:11" x14ac:dyDescent="0.25">
      <c r="A26" s="2" t="s">
        <v>25</v>
      </c>
      <c r="B26" s="4"/>
      <c r="C26" s="25" t="s">
        <v>59</v>
      </c>
      <c r="D26" s="69"/>
      <c r="E26" s="26"/>
    </row>
    <row r="27" spans="1:11" x14ac:dyDescent="0.25">
      <c r="A27" s="2" t="s">
        <v>26</v>
      </c>
      <c r="B27" s="4"/>
      <c r="C27" s="27" t="s">
        <v>83</v>
      </c>
      <c r="D27" s="73" t="s">
        <v>92</v>
      </c>
      <c r="E27" s="30">
        <f>+E24</f>
        <v>-19000</v>
      </c>
    </row>
    <row r="28" spans="1:11" x14ac:dyDescent="0.25">
      <c r="A28" s="2" t="s">
        <v>27</v>
      </c>
      <c r="B28" s="4"/>
      <c r="C28" s="27" t="s">
        <v>224</v>
      </c>
      <c r="D28" s="73" t="s">
        <v>103</v>
      </c>
      <c r="E28" s="31">
        <f>+'App B Annual Deprec and CCA'!B63</f>
        <v>8.2728595432543781E-2</v>
      </c>
    </row>
    <row r="29" spans="1:11" x14ac:dyDescent="0.25">
      <c r="A29" s="2" t="s">
        <v>28</v>
      </c>
      <c r="B29" s="4"/>
      <c r="C29" s="15" t="s">
        <v>60</v>
      </c>
      <c r="D29" s="68" t="s">
        <v>299</v>
      </c>
      <c r="E29" s="16">
        <f>E27*E28</f>
        <v>-1571.8433132183318</v>
      </c>
    </row>
    <row r="30" spans="1:11" x14ac:dyDescent="0.25">
      <c r="A30" s="2"/>
      <c r="B30" s="4"/>
      <c r="C30" s="15"/>
      <c r="D30" s="68"/>
      <c r="E30" s="16"/>
    </row>
    <row r="31" spans="1:11" x14ac:dyDescent="0.25">
      <c r="A31" s="2"/>
      <c r="B31" s="4"/>
      <c r="C31" s="27" t="s">
        <v>161</v>
      </c>
      <c r="D31" s="68" t="s">
        <v>122</v>
      </c>
      <c r="E31" s="16">
        <f>-'App B Annual Deprec and CCA'!K63/1000</f>
        <v>9376.6823735321796</v>
      </c>
    </row>
    <row r="32" spans="1:11" x14ac:dyDescent="0.25">
      <c r="A32" s="2"/>
      <c r="B32" s="4"/>
      <c r="C32" s="15"/>
      <c r="D32" s="68"/>
      <c r="E32" s="16"/>
    </row>
    <row r="33" spans="1:6" x14ac:dyDescent="0.25">
      <c r="A33" s="2"/>
      <c r="B33" s="4"/>
      <c r="C33" s="103" t="s">
        <v>116</v>
      </c>
      <c r="D33" s="104" t="s">
        <v>300</v>
      </c>
      <c r="E33" s="105">
        <f>-(+'App B Annual Deprec and CCA'!R19+'App B Annual Deprec and CCA'!K63)/1000</f>
        <v>-9623.3176264678204</v>
      </c>
    </row>
    <row r="34" spans="1:6" x14ac:dyDescent="0.25">
      <c r="A34" s="2" t="s">
        <v>29</v>
      </c>
      <c r="B34" s="4"/>
      <c r="C34" s="18"/>
      <c r="D34" s="75"/>
      <c r="E34" s="19"/>
    </row>
    <row r="35" spans="1:6" x14ac:dyDescent="0.25">
      <c r="A35" s="2" t="s">
        <v>30</v>
      </c>
      <c r="B35" s="4"/>
      <c r="C35" s="25" t="s">
        <v>166</v>
      </c>
      <c r="D35" s="69" t="s">
        <v>301</v>
      </c>
      <c r="E35" s="35">
        <f>E9+E29</f>
        <v>2433.7677304513754</v>
      </c>
    </row>
    <row r="36" spans="1:6" x14ac:dyDescent="0.25">
      <c r="A36" s="2"/>
      <c r="B36" s="4"/>
      <c r="C36" s="103"/>
      <c r="D36" s="104"/>
      <c r="E36" s="105"/>
    </row>
    <row r="37" spans="1:6" x14ac:dyDescent="0.25">
      <c r="A37" s="2"/>
      <c r="B37" s="1"/>
      <c r="C37" s="15"/>
      <c r="D37" s="68"/>
      <c r="E37" s="17"/>
    </row>
    <row r="38" spans="1:6" x14ac:dyDescent="0.25">
      <c r="A38" s="2"/>
      <c r="B38" s="1"/>
      <c r="C38" s="111" t="s">
        <v>239</v>
      </c>
      <c r="D38" s="94"/>
      <c r="E38" s="95"/>
      <c r="F38" s="64"/>
    </row>
    <row r="39" spans="1:6" x14ac:dyDescent="0.25">
      <c r="A39" s="2"/>
      <c r="B39" s="1"/>
      <c r="C39" s="21" t="s">
        <v>240</v>
      </c>
      <c r="D39" s="76"/>
      <c r="E39" s="17"/>
    </row>
    <row r="40" spans="1:6" x14ac:dyDescent="0.25">
      <c r="A40" s="2"/>
      <c r="B40" s="1"/>
      <c r="C40" s="274" t="s">
        <v>113</v>
      </c>
      <c r="D40" s="76"/>
      <c r="E40" s="19"/>
    </row>
    <row r="41" spans="1:6" x14ac:dyDescent="0.25">
      <c r="A41" s="2"/>
      <c r="B41" s="1"/>
      <c r="C41" s="112"/>
      <c r="D41" s="113"/>
      <c r="E41" s="23"/>
    </row>
    <row r="42" spans="1:6" x14ac:dyDescent="0.25">
      <c r="A42" s="2"/>
      <c r="B42" s="1"/>
    </row>
    <row r="43" spans="1:6" x14ac:dyDescent="0.25">
      <c r="A43" s="2"/>
      <c r="B43" s="1"/>
    </row>
    <row r="44" spans="1:6" x14ac:dyDescent="0.25">
      <c r="A44" s="2"/>
      <c r="B44" s="1"/>
    </row>
    <row r="45" spans="1:6" x14ac:dyDescent="0.25">
      <c r="A45" s="2"/>
      <c r="B45" s="1"/>
    </row>
    <row r="46" spans="1:6" x14ac:dyDescent="0.25">
      <c r="A46" s="2"/>
      <c r="B46" s="1"/>
    </row>
    <row r="47" spans="1:6" x14ac:dyDescent="0.25">
      <c r="A47" s="2"/>
      <c r="B47" s="1"/>
    </row>
    <row r="48" spans="1:6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</row>
  </sheetData>
  <mergeCells count="1">
    <mergeCell ref="C1:E1"/>
  </mergeCells>
  <printOptions horizontalCentered="1"/>
  <pageMargins left="0.7" right="0.2" top="0.75" bottom="0.5" header="0.3" footer="0.3"/>
  <pageSetup scale="82" orientation="portrait" r:id="rId1"/>
  <headerFooter>
    <oddHeader>&amp;CAppendix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3"/>
  <sheetViews>
    <sheetView topLeftCell="C1" zoomScaleNormal="100" workbookViewId="0">
      <selection activeCell="E15" sqref="E15"/>
    </sheetView>
  </sheetViews>
  <sheetFormatPr defaultRowHeight="15" x14ac:dyDescent="0.25"/>
  <cols>
    <col min="1" max="1" width="3.28515625" hidden="1" customWidth="1"/>
    <col min="2" max="2" width="3.28515625" style="1" hidden="1" customWidth="1"/>
    <col min="3" max="3" width="79.140625" bestFit="1" customWidth="1"/>
    <col min="4" max="4" width="22.42578125" style="79" bestFit="1" customWidth="1"/>
    <col min="5" max="5" width="13.42578125" customWidth="1"/>
    <col min="6" max="6" width="15.7109375" bestFit="1" customWidth="1"/>
    <col min="7" max="7" width="11.5703125" bestFit="1" customWidth="1"/>
  </cols>
  <sheetData>
    <row r="1" spans="1:7" ht="18.75" customHeight="1" x14ac:dyDescent="0.25">
      <c r="B1" s="5" t="s">
        <v>42</v>
      </c>
      <c r="C1" s="342" t="s">
        <v>137</v>
      </c>
      <c r="D1" s="342"/>
      <c r="E1" s="342"/>
    </row>
    <row r="2" spans="1:7" ht="25.15" customHeight="1" x14ac:dyDescent="0.25">
      <c r="A2" s="2" t="s">
        <v>1</v>
      </c>
      <c r="B2" s="4"/>
      <c r="C2" s="59" t="s">
        <v>77</v>
      </c>
      <c r="D2" s="67" t="s">
        <v>112</v>
      </c>
      <c r="E2" s="60" t="str">
        <f>'App C 2030 Depreciation'!E2</f>
        <v>Annual</v>
      </c>
    </row>
    <row r="3" spans="1:7" x14ac:dyDescent="0.25">
      <c r="A3" s="2" t="s">
        <v>2</v>
      </c>
      <c r="B3" s="4"/>
      <c r="C3" s="25" t="s">
        <v>54</v>
      </c>
      <c r="D3" s="69"/>
      <c r="E3" s="34"/>
    </row>
    <row r="4" spans="1:7" x14ac:dyDescent="0.25">
      <c r="A4" s="2" t="s">
        <v>37</v>
      </c>
      <c r="B4" s="7"/>
      <c r="C4" s="15" t="str">
        <f>+'App C 2030 Depreciation'!C4</f>
        <v xml:space="preserve">  Capital Additions for 2023-2030</v>
      </c>
      <c r="D4" s="81" t="s">
        <v>238</v>
      </c>
      <c r="E4" s="38">
        <f>+'App C 2030 Depreciation'!E4</f>
        <v>55418.7</v>
      </c>
    </row>
    <row r="5" spans="1:7" x14ac:dyDescent="0.25">
      <c r="A5" s="2" t="s">
        <v>6</v>
      </c>
      <c r="B5" s="4"/>
      <c r="C5" s="15" t="s">
        <v>235</v>
      </c>
      <c r="D5" s="68" t="s">
        <v>95</v>
      </c>
      <c r="E5" s="38">
        <v>19000</v>
      </c>
      <c r="G5" s="9"/>
    </row>
    <row r="6" spans="1:7" ht="16.5" x14ac:dyDescent="0.35">
      <c r="A6" s="2" t="s">
        <v>9</v>
      </c>
      <c r="B6" s="4"/>
      <c r="C6" s="15" t="s">
        <v>160</v>
      </c>
      <c r="D6" s="68" t="s">
        <v>96</v>
      </c>
      <c r="E6" s="37">
        <f>SUM('App B Annual Deprec and CCA'!C80:J80)/1000</f>
        <v>17985.841149598698</v>
      </c>
    </row>
    <row r="7" spans="1:7" x14ac:dyDescent="0.25">
      <c r="A7" s="2" t="s">
        <v>10</v>
      </c>
      <c r="B7" s="4"/>
      <c r="C7" s="15"/>
      <c r="D7" s="68"/>
      <c r="E7" s="14"/>
    </row>
    <row r="8" spans="1:7" x14ac:dyDescent="0.25">
      <c r="A8" s="2" t="s">
        <v>12</v>
      </c>
      <c r="B8" s="4"/>
      <c r="C8" s="15" t="s">
        <v>43</v>
      </c>
      <c r="D8" s="68" t="s">
        <v>236</v>
      </c>
      <c r="E8" s="36">
        <f>+E4-E5-E6</f>
        <v>18432.858850401299</v>
      </c>
    </row>
    <row r="9" spans="1:7" x14ac:dyDescent="0.25">
      <c r="A9" s="2" t="s">
        <v>13</v>
      </c>
      <c r="B9" s="4"/>
      <c r="C9" s="15"/>
      <c r="D9" s="68"/>
      <c r="E9" s="14"/>
    </row>
    <row r="10" spans="1:7" x14ac:dyDescent="0.25">
      <c r="A10" s="2" t="s">
        <v>14</v>
      </c>
      <c r="B10" s="4"/>
      <c r="C10" s="25" t="s">
        <v>36</v>
      </c>
      <c r="D10" s="69"/>
      <c r="E10" s="26"/>
    </row>
    <row r="11" spans="1:7" x14ac:dyDescent="0.25">
      <c r="A11" s="2" t="s">
        <v>15</v>
      </c>
      <c r="B11" s="4"/>
      <c r="C11" s="15" t="str">
        <f>C6</f>
        <v>CCA Deductions 2023-2030</v>
      </c>
      <c r="D11" s="68" t="s">
        <v>96</v>
      </c>
      <c r="E11" s="36">
        <f>E6</f>
        <v>17985.841149598698</v>
      </c>
    </row>
    <row r="12" spans="1:7" ht="25.5" x14ac:dyDescent="0.35">
      <c r="A12" s="2" t="s">
        <v>16</v>
      </c>
      <c r="B12" s="4"/>
      <c r="C12" s="15" t="s">
        <v>209</v>
      </c>
      <c r="D12" s="270" t="s">
        <v>302</v>
      </c>
      <c r="E12" s="39">
        <f>'App C 2030 Depreciation'!E18-'App C 2030 Depreciation'!E31</f>
        <v>11326.627827165319</v>
      </c>
    </row>
    <row r="13" spans="1:7" x14ac:dyDescent="0.25">
      <c r="A13" s="2" t="s">
        <v>18</v>
      </c>
      <c r="B13" s="4"/>
      <c r="C13" s="15" t="s">
        <v>55</v>
      </c>
      <c r="D13" s="68" t="s">
        <v>97</v>
      </c>
      <c r="E13" s="40">
        <f>E11-E12</f>
        <v>6659.2133224333793</v>
      </c>
    </row>
    <row r="14" spans="1:7" x14ac:dyDescent="0.25">
      <c r="A14" s="2" t="s">
        <v>19</v>
      </c>
      <c r="B14" s="4"/>
      <c r="C14" s="15" t="s">
        <v>51</v>
      </c>
      <c r="D14" s="68" t="s">
        <v>98</v>
      </c>
      <c r="E14" s="41">
        <v>0.31</v>
      </c>
    </row>
    <row r="15" spans="1:7" x14ac:dyDescent="0.25">
      <c r="A15" s="2" t="s">
        <v>20</v>
      </c>
      <c r="B15" s="4"/>
      <c r="C15" s="15" t="s">
        <v>168</v>
      </c>
      <c r="D15" s="68" t="s">
        <v>99</v>
      </c>
      <c r="E15" s="40">
        <f>ROUND((IF(E13&gt;0,E13*E14,0)),0)</f>
        <v>2064</v>
      </c>
    </row>
    <row r="16" spans="1:7" x14ac:dyDescent="0.25">
      <c r="A16" s="2" t="s">
        <v>25</v>
      </c>
      <c r="B16" s="4"/>
      <c r="C16" s="15"/>
      <c r="D16" s="68"/>
      <c r="E16" s="14"/>
    </row>
    <row r="17" spans="1:6" x14ac:dyDescent="0.25">
      <c r="A17" s="2" t="s">
        <v>26</v>
      </c>
      <c r="B17" s="4"/>
      <c r="C17" s="25" t="s">
        <v>79</v>
      </c>
      <c r="D17" s="69"/>
      <c r="E17" s="26"/>
    </row>
    <row r="18" spans="1:6" x14ac:dyDescent="0.25">
      <c r="A18" s="2" t="s">
        <v>27</v>
      </c>
      <c r="B18" s="4"/>
      <c r="C18" s="15" t="s">
        <v>57</v>
      </c>
      <c r="D18" s="68" t="s">
        <v>256</v>
      </c>
      <c r="E18" s="36">
        <f>'App E 2030 RateBase&amp;CostCapital'!E12</f>
        <v>1104</v>
      </c>
    </row>
    <row r="19" spans="1:6" x14ac:dyDescent="0.25">
      <c r="A19" s="2" t="s">
        <v>28</v>
      </c>
      <c r="B19" s="4"/>
      <c r="C19" s="15"/>
      <c r="D19" s="68"/>
      <c r="E19" s="38"/>
    </row>
    <row r="20" spans="1:6" ht="29.25" customHeight="1" x14ac:dyDescent="0.25">
      <c r="A20" s="2" t="s">
        <v>29</v>
      </c>
      <c r="B20" s="4"/>
      <c r="C20" s="15" t="s">
        <v>63</v>
      </c>
      <c r="D20" s="270" t="s">
        <v>257</v>
      </c>
      <c r="E20" s="38">
        <f>(+'App E 2030 RateBase&amp;CostCapital'!E11)/(1-'App D 2030 Income Taxes'!E14)</f>
        <v>920.28985507246387</v>
      </c>
    </row>
    <row r="21" spans="1:6" ht="16.5" x14ac:dyDescent="0.35">
      <c r="A21" s="2" t="s">
        <v>30</v>
      </c>
      <c r="B21" s="4"/>
      <c r="C21" s="83" t="s">
        <v>64</v>
      </c>
      <c r="D21" s="68" t="s">
        <v>258</v>
      </c>
      <c r="E21" s="37">
        <f>-'App E 2030 RateBase&amp;CostCapital'!E10</f>
        <v>-469</v>
      </c>
    </row>
    <row r="22" spans="1:6" x14ac:dyDescent="0.25">
      <c r="A22" s="2" t="s">
        <v>31</v>
      </c>
      <c r="B22" s="4"/>
      <c r="C22" s="48"/>
      <c r="D22" s="66" t="s">
        <v>105</v>
      </c>
      <c r="E22" s="89">
        <f>ROUND((SUM(E20:E21)),0)</f>
        <v>451</v>
      </c>
    </row>
    <row r="23" spans="1:6" x14ac:dyDescent="0.25">
      <c r="A23" s="2" t="s">
        <v>32</v>
      </c>
      <c r="B23" s="4"/>
      <c r="C23" s="18"/>
      <c r="D23" s="75"/>
      <c r="E23" s="19"/>
    </row>
    <row r="24" spans="1:6" x14ac:dyDescent="0.25">
      <c r="A24" s="2" t="s">
        <v>33</v>
      </c>
      <c r="B24" s="4"/>
      <c r="C24" s="25" t="s">
        <v>169</v>
      </c>
      <c r="D24" s="69"/>
      <c r="E24" s="26"/>
    </row>
    <row r="25" spans="1:6" x14ac:dyDescent="0.25">
      <c r="A25" s="2" t="s">
        <v>34</v>
      </c>
      <c r="C25" s="15" t="s">
        <v>57</v>
      </c>
      <c r="D25" s="68" t="s">
        <v>103</v>
      </c>
      <c r="E25" s="36">
        <f>E22</f>
        <v>451</v>
      </c>
      <c r="F25" s="189"/>
    </row>
    <row r="26" spans="1:6" x14ac:dyDescent="0.25">
      <c r="A26" s="2" t="s">
        <v>35</v>
      </c>
      <c r="B26" s="8"/>
      <c r="C26" s="15" t="s">
        <v>52</v>
      </c>
      <c r="D26" s="68" t="s">
        <v>303</v>
      </c>
      <c r="E26" s="38">
        <f>'App C 2030 Depreciation'!E35</f>
        <v>2433.7677304513754</v>
      </c>
      <c r="F26" s="189"/>
    </row>
    <row r="27" spans="1:6" ht="25.5" x14ac:dyDescent="0.35">
      <c r="A27" s="2" t="s">
        <v>44</v>
      </c>
      <c r="B27" s="2"/>
      <c r="C27" s="15" t="s">
        <v>73</v>
      </c>
      <c r="D27" s="270" t="s">
        <v>304</v>
      </c>
      <c r="E27" s="37">
        <f>-'App B Annual Deprec and CCA'!J80/1000</f>
        <v>-792.74977742620047</v>
      </c>
      <c r="F27" s="189"/>
    </row>
    <row r="28" spans="1:6" x14ac:dyDescent="0.25">
      <c r="A28" s="2" t="s">
        <v>45</v>
      </c>
      <c r="C28" s="15"/>
      <c r="D28" s="68" t="s">
        <v>260</v>
      </c>
      <c r="E28" s="38">
        <f>SUM(E25:E27)</f>
        <v>2092.0179530251748</v>
      </c>
    </row>
    <row r="29" spans="1:6" x14ac:dyDescent="0.25">
      <c r="A29" s="2" t="s">
        <v>46</v>
      </c>
      <c r="C29" s="15" t="s">
        <v>53</v>
      </c>
      <c r="D29" s="68" t="s">
        <v>98</v>
      </c>
      <c r="E29" s="41">
        <v>0.31</v>
      </c>
    </row>
    <row r="30" spans="1:6" x14ac:dyDescent="0.25">
      <c r="A30" s="2" t="s">
        <v>47</v>
      </c>
      <c r="C30" s="15" t="s">
        <v>170</v>
      </c>
      <c r="D30" s="68" t="s">
        <v>259</v>
      </c>
      <c r="E30" s="38">
        <f>E28*E29</f>
        <v>648.52556543780418</v>
      </c>
    </row>
    <row r="31" spans="1:6" ht="16.5" x14ac:dyDescent="0.35">
      <c r="A31" s="2" t="s">
        <v>48</v>
      </c>
      <c r="C31" s="15" t="s">
        <v>167</v>
      </c>
      <c r="D31" s="68" t="s">
        <v>261</v>
      </c>
      <c r="E31" s="37">
        <f>(-E26-E27)*E29</f>
        <v>-508.71556543780417</v>
      </c>
    </row>
    <row r="32" spans="1:6" x14ac:dyDescent="0.25">
      <c r="A32" s="2" t="s">
        <v>49</v>
      </c>
      <c r="C32" s="25" t="s">
        <v>75</v>
      </c>
      <c r="D32" s="69" t="s">
        <v>262</v>
      </c>
      <c r="E32" s="56">
        <f>SUM(E30:E31)</f>
        <v>139.81</v>
      </c>
    </row>
    <row r="33" spans="3:5" x14ac:dyDescent="0.25">
      <c r="C33" s="22"/>
      <c r="D33" s="77"/>
      <c r="E33" s="23"/>
    </row>
  </sheetData>
  <mergeCells count="1">
    <mergeCell ref="C1:E1"/>
  </mergeCells>
  <printOptions horizontalCentered="1"/>
  <pageMargins left="0.2" right="0.7" top="0.75" bottom="0.5" header="0.3" footer="0.3"/>
  <pageSetup scale="84" orientation="portrait" r:id="rId1"/>
  <headerFooter>
    <oddHeader>&amp;CAppendix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6"/>
  <sheetViews>
    <sheetView topLeftCell="C1" zoomScaleNormal="100" workbookViewId="0">
      <selection activeCell="G30" sqref="G30"/>
    </sheetView>
  </sheetViews>
  <sheetFormatPr defaultRowHeight="15" x14ac:dyDescent="0.25"/>
  <cols>
    <col min="1" max="1" width="3" hidden="1" customWidth="1"/>
    <col min="2" max="2" width="3.5703125" hidden="1" customWidth="1"/>
    <col min="3" max="3" width="62.140625" customWidth="1"/>
    <col min="4" max="4" width="20.7109375" style="79" customWidth="1"/>
    <col min="5" max="5" width="17" customWidth="1"/>
  </cols>
  <sheetData>
    <row r="1" spans="1:5" ht="21" customHeight="1" x14ac:dyDescent="0.25">
      <c r="C1" s="342" t="s">
        <v>137</v>
      </c>
      <c r="D1" s="342"/>
      <c r="E1" s="342"/>
    </row>
    <row r="2" spans="1:5" ht="25.15" customHeight="1" x14ac:dyDescent="0.25">
      <c r="A2" s="2"/>
      <c r="B2" s="5" t="s">
        <v>0</v>
      </c>
      <c r="C2" s="59" t="s">
        <v>80</v>
      </c>
      <c r="D2" s="67" t="s">
        <v>112</v>
      </c>
      <c r="E2" s="60" t="str">
        <f>'App C 2030 Depreciation'!E2</f>
        <v>Annual</v>
      </c>
    </row>
    <row r="3" spans="1:5" x14ac:dyDescent="0.25">
      <c r="A3" s="2" t="s">
        <v>1</v>
      </c>
      <c r="B3" s="4"/>
      <c r="C3" s="15" t="s">
        <v>74</v>
      </c>
      <c r="D3" s="68" t="s">
        <v>305</v>
      </c>
      <c r="E3" s="36">
        <f>ROUND(('App C 2030 Depreciation'!E21),0)</f>
        <v>27715</v>
      </c>
    </row>
    <row r="4" spans="1:5" x14ac:dyDescent="0.25">
      <c r="A4" s="2"/>
      <c r="B4" s="4"/>
      <c r="C4" s="15" t="s">
        <v>117</v>
      </c>
      <c r="D4" s="68" t="s">
        <v>306</v>
      </c>
      <c r="E4" s="49">
        <f>ROUND((+'App C 2030 Depreciation'!E33),0)</f>
        <v>-9623</v>
      </c>
    </row>
    <row r="5" spans="1:5" ht="16.5" x14ac:dyDescent="0.35">
      <c r="A5" s="2" t="s">
        <v>3</v>
      </c>
      <c r="B5" s="4"/>
      <c r="C5" s="15" t="s">
        <v>36</v>
      </c>
      <c r="D5" s="68" t="s">
        <v>263</v>
      </c>
      <c r="E5" s="42">
        <f>ROUND((-'App D 2030 Income Taxes'!E15),0)</f>
        <v>-2064</v>
      </c>
    </row>
    <row r="6" spans="1:5" x14ac:dyDescent="0.25">
      <c r="A6" s="2" t="s">
        <v>37</v>
      </c>
      <c r="B6" s="4"/>
      <c r="C6" s="20" t="s">
        <v>87</v>
      </c>
      <c r="D6" s="80" t="s">
        <v>118</v>
      </c>
      <c r="E6" s="43">
        <f>SUM(E3:E5)</f>
        <v>16028</v>
      </c>
    </row>
    <row r="7" spans="1:5" x14ac:dyDescent="0.25">
      <c r="A7" s="2" t="s">
        <v>4</v>
      </c>
      <c r="B7" s="4"/>
      <c r="C7" s="15"/>
      <c r="D7" s="68"/>
      <c r="E7" s="14"/>
    </row>
    <row r="8" spans="1:5" x14ac:dyDescent="0.25">
      <c r="A8" s="2" t="s">
        <v>5</v>
      </c>
      <c r="B8" s="4"/>
      <c r="C8" s="25" t="s">
        <v>215</v>
      </c>
      <c r="D8" s="69" t="s">
        <v>128</v>
      </c>
      <c r="E8" s="44">
        <f>E6/$E28</f>
        <v>3.4850827239657059E-2</v>
      </c>
    </row>
    <row r="9" spans="1:5" x14ac:dyDescent="0.25">
      <c r="A9" s="2" t="s">
        <v>6</v>
      </c>
      <c r="B9" s="4"/>
      <c r="C9" s="18"/>
      <c r="D9" s="75"/>
      <c r="E9" s="14"/>
    </row>
    <row r="10" spans="1:5" x14ac:dyDescent="0.25">
      <c r="A10" s="2" t="s">
        <v>7</v>
      </c>
      <c r="B10" s="4"/>
      <c r="C10" s="15" t="s">
        <v>61</v>
      </c>
      <c r="D10" s="68" t="s">
        <v>119</v>
      </c>
      <c r="E10" s="36">
        <f>ROUND((E$6*E24),0)</f>
        <v>469</v>
      </c>
    </row>
    <row r="11" spans="1:5" ht="16.5" x14ac:dyDescent="0.35">
      <c r="A11" s="2" t="s">
        <v>8</v>
      </c>
      <c r="B11" s="4"/>
      <c r="C11" s="15" t="s">
        <v>62</v>
      </c>
      <c r="D11" s="68" t="s">
        <v>120</v>
      </c>
      <c r="E11" s="37">
        <f>ROUND((E$6*E25),0)</f>
        <v>635</v>
      </c>
    </row>
    <row r="12" spans="1:5" x14ac:dyDescent="0.25">
      <c r="A12" s="2" t="s">
        <v>9</v>
      </c>
      <c r="B12" s="4"/>
      <c r="C12" s="45" t="s">
        <v>72</v>
      </c>
      <c r="D12" s="81" t="s">
        <v>121</v>
      </c>
      <c r="E12" s="36">
        <f>SUM(E10:E11)</f>
        <v>1104</v>
      </c>
    </row>
    <row r="13" spans="1:5" x14ac:dyDescent="0.25">
      <c r="A13" s="2" t="s">
        <v>10</v>
      </c>
      <c r="B13" s="4"/>
      <c r="C13" s="15"/>
      <c r="D13" s="68"/>
      <c r="E13" s="38"/>
    </row>
    <row r="14" spans="1:5" x14ac:dyDescent="0.25">
      <c r="A14" s="2" t="s">
        <v>12</v>
      </c>
      <c r="B14" s="4"/>
      <c r="C14" s="25" t="s">
        <v>114</v>
      </c>
      <c r="D14" s="69"/>
      <c r="E14" s="26"/>
    </row>
    <row r="15" spans="1:5" x14ac:dyDescent="0.25">
      <c r="A15" s="2" t="s">
        <v>13</v>
      </c>
      <c r="B15" s="4"/>
      <c r="C15" s="15" t="s">
        <v>38</v>
      </c>
      <c r="D15" s="68" t="s">
        <v>101</v>
      </c>
      <c r="E15" s="106">
        <v>0.59960000000000002</v>
      </c>
    </row>
    <row r="16" spans="1:5" x14ac:dyDescent="0.25">
      <c r="A16" s="2" t="s">
        <v>14</v>
      </c>
      <c r="B16" s="4"/>
      <c r="C16" s="15" t="s">
        <v>39</v>
      </c>
      <c r="D16" s="68" t="s">
        <v>102</v>
      </c>
      <c r="E16" s="106">
        <v>0.40039999999999998</v>
      </c>
    </row>
    <row r="17" spans="1:5" x14ac:dyDescent="0.25">
      <c r="A17" s="2" t="s">
        <v>15</v>
      </c>
      <c r="B17" s="4"/>
      <c r="C17" s="15"/>
      <c r="D17" s="68"/>
      <c r="E17" s="24"/>
    </row>
    <row r="18" spans="1:5" x14ac:dyDescent="0.25">
      <c r="A18" s="2" t="s">
        <v>16</v>
      </c>
      <c r="B18" s="4"/>
      <c r="C18" s="15" t="s">
        <v>40</v>
      </c>
      <c r="D18" s="68" t="s">
        <v>94</v>
      </c>
      <c r="E18" s="63">
        <v>4.9099999999999998E-2</v>
      </c>
    </row>
    <row r="19" spans="1:5" x14ac:dyDescent="0.25">
      <c r="A19" s="2" t="s">
        <v>18</v>
      </c>
      <c r="B19" s="4"/>
      <c r="C19" s="15" t="s">
        <v>41</v>
      </c>
      <c r="D19" s="68" t="s">
        <v>103</v>
      </c>
      <c r="E19" s="63">
        <v>9.9500000000000005E-2</v>
      </c>
    </row>
    <row r="20" spans="1:5" x14ac:dyDescent="0.25">
      <c r="A20" s="2" t="s">
        <v>19</v>
      </c>
      <c r="B20" s="4"/>
      <c r="C20" s="15"/>
      <c r="D20" s="68"/>
      <c r="E20" s="14"/>
    </row>
    <row r="21" spans="1:5" x14ac:dyDescent="0.25">
      <c r="A21" s="2" t="s">
        <v>20</v>
      </c>
      <c r="B21" s="4"/>
      <c r="C21" s="15" t="s">
        <v>130</v>
      </c>
      <c r="D21" s="68" t="s">
        <v>104</v>
      </c>
      <c r="E21" s="38">
        <f>+[3]RateBase!$E$167</f>
        <v>468293900</v>
      </c>
    </row>
    <row r="22" spans="1:5" x14ac:dyDescent="0.25">
      <c r="A22" s="2" t="s">
        <v>21</v>
      </c>
      <c r="B22" s="4"/>
      <c r="C22" s="15" t="s">
        <v>135</v>
      </c>
      <c r="D22" s="68" t="s">
        <v>122</v>
      </c>
      <c r="E22" s="38">
        <f>+[3]RateBase!$E$168</f>
        <v>471022500</v>
      </c>
    </row>
    <row r="23" spans="1:5" x14ac:dyDescent="0.25">
      <c r="A23" s="2" t="s">
        <v>22</v>
      </c>
      <c r="B23" s="4"/>
      <c r="C23" s="15"/>
      <c r="D23" s="68"/>
      <c r="E23" s="14"/>
    </row>
    <row r="24" spans="1:5" x14ac:dyDescent="0.25">
      <c r="A24" s="2"/>
      <c r="B24" s="1"/>
      <c r="C24" s="15" t="s">
        <v>65</v>
      </c>
      <c r="D24" s="68" t="s">
        <v>123</v>
      </c>
      <c r="E24" s="46">
        <f>E15*E18*E21/E22</f>
        <v>2.9269814078529157E-2</v>
      </c>
    </row>
    <row r="25" spans="1:5" x14ac:dyDescent="0.25">
      <c r="A25" s="2"/>
      <c r="B25" s="1"/>
      <c r="C25" s="15" t="s">
        <v>66</v>
      </c>
      <c r="D25" s="68" t="s">
        <v>124</v>
      </c>
      <c r="E25" s="47">
        <f>E16*E19*E21/E22</f>
        <v>3.9609010858759404E-2</v>
      </c>
    </row>
    <row r="26" spans="1:5" x14ac:dyDescent="0.25">
      <c r="A26" s="2"/>
      <c r="B26" s="1"/>
      <c r="C26" s="15" t="s">
        <v>129</v>
      </c>
      <c r="D26" s="68" t="s">
        <v>126</v>
      </c>
      <c r="E26" s="46">
        <f>SUM(E24:E25)</f>
        <v>6.8878824937288557E-2</v>
      </c>
    </row>
    <row r="27" spans="1:5" x14ac:dyDescent="0.25">
      <c r="A27" s="2"/>
      <c r="B27" s="1"/>
      <c r="C27" s="83"/>
      <c r="D27" s="75"/>
      <c r="E27" s="19"/>
    </row>
    <row r="28" spans="1:5" x14ac:dyDescent="0.25">
      <c r="A28" s="2"/>
      <c r="B28" s="1"/>
      <c r="C28" s="25" t="s">
        <v>214</v>
      </c>
      <c r="D28" s="69" t="s">
        <v>125</v>
      </c>
      <c r="E28" s="56">
        <v>459903</v>
      </c>
    </row>
    <row r="29" spans="1:5" x14ac:dyDescent="0.25">
      <c r="A29" s="2"/>
      <c r="B29" s="1"/>
      <c r="C29" s="110" t="s">
        <v>136</v>
      </c>
      <c r="D29" s="87"/>
      <c r="E29" s="88"/>
    </row>
    <row r="30" spans="1:5" x14ac:dyDescent="0.25">
      <c r="A30" s="2"/>
      <c r="B30" s="1"/>
    </row>
    <row r="31" spans="1:5" x14ac:dyDescent="0.25">
      <c r="A31" s="2"/>
      <c r="B31" s="1"/>
    </row>
    <row r="32" spans="1:5" x14ac:dyDescent="0.25">
      <c r="A32" s="2"/>
      <c r="B32" s="1"/>
    </row>
    <row r="33" spans="1:2" x14ac:dyDescent="0.25">
      <c r="A33" s="2"/>
      <c r="B33" s="1"/>
    </row>
    <row r="34" spans="1:2" x14ac:dyDescent="0.25">
      <c r="A34" s="2"/>
      <c r="B34" s="1"/>
    </row>
    <row r="35" spans="1:2" x14ac:dyDescent="0.25">
      <c r="A35" s="2"/>
      <c r="B35" s="1"/>
    </row>
    <row r="36" spans="1:2" x14ac:dyDescent="0.25">
      <c r="A36" s="2"/>
    </row>
  </sheetData>
  <mergeCells count="1">
    <mergeCell ref="C1:E1"/>
  </mergeCells>
  <printOptions horizontalCentered="1"/>
  <pageMargins left="0.7" right="0.2" top="0.75" bottom="0.5" header="0.3" footer="0.3"/>
  <pageSetup scale="96" orientation="portrait" r:id="rId1"/>
  <headerFooter>
    <oddHeader>&amp;CAppendix 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7"/>
  <sheetViews>
    <sheetView showWhiteSpace="0" topLeftCell="C1" zoomScaleNormal="100" workbookViewId="0">
      <selection activeCell="I14" sqref="I14"/>
    </sheetView>
  </sheetViews>
  <sheetFormatPr defaultColWidth="9.140625" defaultRowHeight="12.75" x14ac:dyDescent="0.2"/>
  <cols>
    <col min="1" max="1" width="2.42578125" style="1" hidden="1" customWidth="1"/>
    <col min="2" max="2" width="3.5703125" style="1" hidden="1" customWidth="1"/>
    <col min="3" max="3" width="52.85546875" style="1" customWidth="1"/>
    <col min="4" max="4" width="22" style="4" customWidth="1"/>
    <col min="5" max="5" width="12.28515625" style="1" bestFit="1" customWidth="1"/>
    <col min="6" max="6" width="10.5703125" style="1" bestFit="1" customWidth="1"/>
    <col min="7" max="16384" width="9.140625" style="1"/>
  </cols>
  <sheetData>
    <row r="1" spans="1:11" ht="21" customHeight="1" x14ac:dyDescent="0.2">
      <c r="C1" s="342" t="s">
        <v>137</v>
      </c>
      <c r="D1" s="342"/>
      <c r="E1" s="342"/>
    </row>
    <row r="2" spans="1:11" ht="25.15" customHeight="1" x14ac:dyDescent="0.2">
      <c r="A2" s="2"/>
      <c r="B2" s="5" t="s">
        <v>0</v>
      </c>
      <c r="C2" s="61" t="s">
        <v>164</v>
      </c>
      <c r="D2" s="67" t="s">
        <v>112</v>
      </c>
      <c r="E2" s="60" t="str">
        <f>'App C 2030 Depreciation'!E2</f>
        <v>Annual</v>
      </c>
    </row>
    <row r="3" spans="1:11" ht="27" customHeight="1" x14ac:dyDescent="0.2">
      <c r="A3" s="2" t="s">
        <v>1</v>
      </c>
      <c r="B3" s="4"/>
      <c r="C3" s="15" t="s">
        <v>50</v>
      </c>
      <c r="D3" s="71" t="s">
        <v>307</v>
      </c>
      <c r="E3" s="36">
        <f>'App C 2030 Depreciation'!E35</f>
        <v>2433.7677304513754</v>
      </c>
    </row>
    <row r="4" spans="1:11" ht="38.25" x14ac:dyDescent="0.2">
      <c r="A4" s="2"/>
      <c r="B4" s="4"/>
      <c r="C4" s="15" t="s">
        <v>226</v>
      </c>
      <c r="D4" s="71" t="s">
        <v>308</v>
      </c>
      <c r="E4" s="38">
        <f>+'App A 2023 - 2030 Annual Impact'!L10/1000</f>
        <v>1451</v>
      </c>
    </row>
    <row r="5" spans="1:11" ht="24.75" customHeight="1" x14ac:dyDescent="0.2">
      <c r="A5" s="2" t="s">
        <v>2</v>
      </c>
      <c r="B5" s="4"/>
      <c r="C5" s="45" t="s">
        <v>61</v>
      </c>
      <c r="D5" s="271" t="s">
        <v>264</v>
      </c>
      <c r="E5" s="49">
        <f>'App E 2030 RateBase&amp;CostCapital'!E10</f>
        <v>469</v>
      </c>
    </row>
    <row r="6" spans="1:11" ht="25.5" customHeight="1" x14ac:dyDescent="0.2">
      <c r="A6" s="2" t="s">
        <v>3</v>
      </c>
      <c r="B6" s="4"/>
      <c r="C6" s="45" t="s">
        <v>76</v>
      </c>
      <c r="D6" s="271" t="s">
        <v>265</v>
      </c>
      <c r="E6" s="49">
        <f>'App E 2030 RateBase&amp;CostCapital'!E11</f>
        <v>635</v>
      </c>
    </row>
    <row r="7" spans="1:11" ht="28.5" customHeight="1" x14ac:dyDescent="0.35">
      <c r="A7" s="2" t="s">
        <v>37</v>
      </c>
      <c r="B7" s="4"/>
      <c r="C7" s="15" t="s">
        <v>56</v>
      </c>
      <c r="D7" s="270" t="s">
        <v>266</v>
      </c>
      <c r="E7" s="37">
        <f>'App D 2030 Income Taxes'!E32</f>
        <v>139.81</v>
      </c>
    </row>
    <row r="8" spans="1:11" ht="14.45" customHeight="1" x14ac:dyDescent="0.2">
      <c r="A8" s="2" t="s">
        <v>4</v>
      </c>
      <c r="B8" s="4"/>
      <c r="C8" s="25" t="s">
        <v>127</v>
      </c>
      <c r="D8" s="69" t="s">
        <v>267</v>
      </c>
      <c r="E8" s="56">
        <f>SUM(E3:E7)+0.3</f>
        <v>5128.877730451376</v>
      </c>
    </row>
    <row r="9" spans="1:11" ht="14.45" customHeight="1" x14ac:dyDescent="0.2">
      <c r="A9" s="2" t="s">
        <v>5</v>
      </c>
      <c r="B9" s="4"/>
      <c r="C9" s="15"/>
      <c r="D9" s="68"/>
      <c r="E9" s="14"/>
    </row>
    <row r="10" spans="1:11" ht="14.45" customHeight="1" x14ac:dyDescent="0.2">
      <c r="A10" s="2" t="s">
        <v>6</v>
      </c>
      <c r="B10" s="4"/>
      <c r="C10" s="20" t="s">
        <v>165</v>
      </c>
      <c r="D10" s="80" t="s">
        <v>268</v>
      </c>
      <c r="E10" s="65">
        <f>E8/$E12</f>
        <v>2.0576747321835287E-2</v>
      </c>
      <c r="G10" s="6"/>
      <c r="H10" s="6"/>
      <c r="I10" s="6"/>
      <c r="J10" s="6"/>
      <c r="K10" s="6"/>
    </row>
    <row r="11" spans="1:11" ht="14.45" customHeight="1" x14ac:dyDescent="0.2">
      <c r="A11" s="2" t="s">
        <v>7</v>
      </c>
      <c r="B11" s="4"/>
      <c r="C11" s="15"/>
      <c r="D11" s="68"/>
      <c r="E11" s="14"/>
    </row>
    <row r="12" spans="1:11" ht="14.45" customHeight="1" x14ac:dyDescent="0.2">
      <c r="A12" s="2" t="s">
        <v>8</v>
      </c>
      <c r="C12" s="20" t="s">
        <v>132</v>
      </c>
      <c r="D12" s="80" t="s">
        <v>100</v>
      </c>
      <c r="E12" s="43">
        <v>249256</v>
      </c>
    </row>
    <row r="13" spans="1:11" x14ac:dyDescent="0.2">
      <c r="A13" s="2"/>
      <c r="C13" s="85"/>
      <c r="D13" s="86"/>
      <c r="E13" s="92"/>
    </row>
    <row r="14" spans="1:11" x14ac:dyDescent="0.2">
      <c r="C14" s="98"/>
      <c r="D14" s="99"/>
      <c r="E14" s="98"/>
    </row>
    <row r="15" spans="1:11" s="190" customFormat="1" ht="30" x14ac:dyDescent="0.25">
      <c r="C15" s="193" t="s">
        <v>237</v>
      </c>
      <c r="D15" s="191" t="s">
        <v>269</v>
      </c>
      <c r="E15" s="192">
        <f>+E8*100%</f>
        <v>5128.877730451376</v>
      </c>
    </row>
    <row r="17" spans="3:3" x14ac:dyDescent="0.2">
      <c r="C17" s="194" t="s">
        <v>131</v>
      </c>
    </row>
  </sheetData>
  <mergeCells count="1">
    <mergeCell ref="C1:E1"/>
  </mergeCells>
  <printOptions horizontalCentered="1"/>
  <pageMargins left="0.7" right="0.2" top="0.75" bottom="0.5" header="0.3" footer="0.3"/>
  <pageSetup orientation="portrait" r:id="rId1"/>
  <headerFooter>
    <oddHeader>&amp;CAppendix 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6"/>
  <sheetViews>
    <sheetView tabSelected="1" topLeftCell="C1" zoomScaleNormal="100" workbookViewId="0">
      <selection activeCell="M20" sqref="M20"/>
    </sheetView>
  </sheetViews>
  <sheetFormatPr defaultColWidth="9.140625" defaultRowHeight="12.75" x14ac:dyDescent="0.2"/>
  <cols>
    <col min="1" max="2" width="3.5703125" style="12" hidden="1" customWidth="1"/>
    <col min="3" max="3" width="54.7109375" style="12" customWidth="1"/>
    <col min="4" max="4" width="35.85546875" style="72" customWidth="1"/>
    <col min="5" max="5" width="14.140625" style="12" customWidth="1"/>
    <col min="6" max="16384" width="9.140625" style="12"/>
  </cols>
  <sheetData>
    <row r="1" spans="1:11" ht="21" customHeight="1" x14ac:dyDescent="0.2">
      <c r="C1" s="342" t="s">
        <v>137</v>
      </c>
      <c r="D1" s="342"/>
      <c r="E1" s="342"/>
    </row>
    <row r="2" spans="1:11" ht="25.15" customHeight="1" x14ac:dyDescent="0.2">
      <c r="A2" s="51"/>
      <c r="B2" s="52" t="s">
        <v>0</v>
      </c>
      <c r="C2" s="59" t="s">
        <v>78</v>
      </c>
      <c r="D2" s="67" t="s">
        <v>112</v>
      </c>
      <c r="E2" s="60" t="str">
        <f>'App C 2030 Depreciation'!E2</f>
        <v>Annual</v>
      </c>
    </row>
    <row r="3" spans="1:11" x14ac:dyDescent="0.2">
      <c r="C3" s="15"/>
      <c r="D3" s="68"/>
      <c r="E3" s="14"/>
    </row>
    <row r="4" spans="1:11" x14ac:dyDescent="0.2">
      <c r="A4" s="12">
        <v>1</v>
      </c>
      <c r="C4" s="15" t="s">
        <v>71</v>
      </c>
      <c r="D4" s="68" t="s">
        <v>270</v>
      </c>
      <c r="E4" s="36">
        <f>'App F 2030 Rev Requirement'!E15*1000</f>
        <v>5128877.7304513762</v>
      </c>
    </row>
    <row r="5" spans="1:11" x14ac:dyDescent="0.2">
      <c r="A5" s="12">
        <v>2</v>
      </c>
      <c r="C5" s="15" t="s">
        <v>162</v>
      </c>
      <c r="D5" s="68" t="s">
        <v>95</v>
      </c>
      <c r="E5" s="38">
        <f>ROUND('[1]5 Year Plan'!$R$15*1000,-3)</f>
        <v>1552349000</v>
      </c>
    </row>
    <row r="6" spans="1:11" x14ac:dyDescent="0.2">
      <c r="A6" s="12">
        <v>3</v>
      </c>
      <c r="C6" s="15"/>
      <c r="D6" s="68"/>
      <c r="E6" s="14"/>
    </row>
    <row r="7" spans="1:11" x14ac:dyDescent="0.2">
      <c r="A7" s="12">
        <v>4</v>
      </c>
      <c r="C7" s="25" t="s">
        <v>115</v>
      </c>
      <c r="D7" s="69" t="s">
        <v>106</v>
      </c>
      <c r="E7" s="101">
        <f>ROUND(E4/E5,5)</f>
        <v>3.3E-3</v>
      </c>
    </row>
    <row r="8" spans="1:11" x14ac:dyDescent="0.2">
      <c r="A8" s="12">
        <v>5</v>
      </c>
      <c r="C8" s="15"/>
      <c r="D8" s="68"/>
      <c r="E8" s="14"/>
    </row>
    <row r="9" spans="1:11" ht="25.5" x14ac:dyDescent="0.2">
      <c r="A9" s="12">
        <v>6</v>
      </c>
      <c r="C9" s="57" t="s">
        <v>133</v>
      </c>
      <c r="D9" s="70" t="s">
        <v>107</v>
      </c>
      <c r="E9" s="58">
        <f>E7*650*12</f>
        <v>25.740000000000002</v>
      </c>
    </row>
    <row r="10" spans="1:11" x14ac:dyDescent="0.2">
      <c r="A10" s="12">
        <v>7</v>
      </c>
      <c r="C10" s="53"/>
      <c r="D10" s="71"/>
      <c r="E10" s="54"/>
    </row>
    <row r="11" spans="1:11" ht="25.5" x14ac:dyDescent="0.2">
      <c r="A11" s="12">
        <v>8</v>
      </c>
      <c r="C11" s="53" t="s">
        <v>171</v>
      </c>
      <c r="D11" s="71" t="s">
        <v>110</v>
      </c>
      <c r="E11" s="46">
        <f>E9/$E18</f>
        <v>1.6969153586002757E-2</v>
      </c>
      <c r="H11" s="55"/>
      <c r="I11" s="55"/>
      <c r="J11" s="55"/>
      <c r="K11" s="55"/>
    </row>
    <row r="12" spans="1:11" ht="25.5" x14ac:dyDescent="0.2">
      <c r="A12" s="12">
        <v>9</v>
      </c>
      <c r="C12" s="53" t="s">
        <v>172</v>
      </c>
      <c r="D12" s="71" t="s">
        <v>111</v>
      </c>
      <c r="E12" s="46">
        <f>E9/$E20</f>
        <v>1.7290601678007885E-2</v>
      </c>
      <c r="H12" s="55"/>
      <c r="I12" s="55"/>
      <c r="J12" s="55"/>
      <c r="K12" s="55"/>
    </row>
    <row r="13" spans="1:11" x14ac:dyDescent="0.2">
      <c r="A13" s="12">
        <v>10</v>
      </c>
      <c r="C13" s="15"/>
      <c r="D13" s="68"/>
      <c r="E13" s="14"/>
    </row>
    <row r="14" spans="1:11" ht="25.5" x14ac:dyDescent="0.2">
      <c r="A14" s="12">
        <v>11</v>
      </c>
      <c r="C14" s="57" t="s">
        <v>134</v>
      </c>
      <c r="D14" s="70" t="s">
        <v>108</v>
      </c>
      <c r="E14" s="58">
        <f>E7*10000*12</f>
        <v>396</v>
      </c>
      <c r="G14" s="82"/>
    </row>
    <row r="15" spans="1:11" ht="9.75" customHeight="1" x14ac:dyDescent="0.2">
      <c r="C15" s="107"/>
      <c r="D15" s="108"/>
      <c r="E15" s="109"/>
      <c r="G15" s="82"/>
    </row>
    <row r="16" spans="1:11" ht="25.5" x14ac:dyDescent="0.2">
      <c r="A16" s="12">
        <v>12</v>
      </c>
      <c r="C16" s="53" t="s">
        <v>173</v>
      </c>
      <c r="D16" s="71" t="s">
        <v>109</v>
      </c>
      <c r="E16" s="46">
        <f>E14/$E22</f>
        <v>1.6649638627161616E-2</v>
      </c>
      <c r="H16" s="55"/>
      <c r="I16" s="55"/>
      <c r="J16" s="55"/>
      <c r="K16" s="55"/>
    </row>
    <row r="17" spans="1:5" x14ac:dyDescent="0.2">
      <c r="A17" s="12">
        <v>13</v>
      </c>
      <c r="C17" s="15"/>
      <c r="D17" s="68"/>
      <c r="E17" s="14"/>
    </row>
    <row r="18" spans="1:5" ht="38.25" x14ac:dyDescent="0.2">
      <c r="A18" s="12">
        <v>14</v>
      </c>
      <c r="C18" s="53" t="s">
        <v>216</v>
      </c>
      <c r="D18" s="71" t="s">
        <v>101</v>
      </c>
      <c r="E18" s="62">
        <v>1516.87</v>
      </c>
    </row>
    <row r="19" spans="1:5" ht="7.5" customHeight="1" x14ac:dyDescent="0.2">
      <c r="A19" s="12">
        <v>15</v>
      </c>
      <c r="C19" s="15"/>
      <c r="D19" s="68"/>
      <c r="E19" s="14"/>
    </row>
    <row r="20" spans="1:5" ht="38.25" x14ac:dyDescent="0.2">
      <c r="A20" s="12">
        <v>16</v>
      </c>
      <c r="C20" s="53" t="s">
        <v>217</v>
      </c>
      <c r="D20" s="71" t="s">
        <v>102</v>
      </c>
      <c r="E20" s="54">
        <v>1488.67</v>
      </c>
    </row>
    <row r="21" spans="1:5" ht="7.5" customHeight="1" x14ac:dyDescent="0.2">
      <c r="A21" s="12">
        <v>17</v>
      </c>
      <c r="C21" s="15"/>
      <c r="D21" s="68"/>
      <c r="E21" s="14"/>
    </row>
    <row r="22" spans="1:5" ht="38.25" x14ac:dyDescent="0.2">
      <c r="A22" s="12">
        <v>18</v>
      </c>
      <c r="C22" s="53" t="s">
        <v>218</v>
      </c>
      <c r="D22" s="71" t="s">
        <v>94</v>
      </c>
      <c r="E22" s="62">
        <v>23784.3</v>
      </c>
    </row>
    <row r="23" spans="1:5" x14ac:dyDescent="0.2">
      <c r="C23" s="15"/>
      <c r="D23" s="68"/>
      <c r="E23" s="14"/>
    </row>
    <row r="24" spans="1:5" x14ac:dyDescent="0.2">
      <c r="C24" s="93" t="s">
        <v>163</v>
      </c>
      <c r="D24" s="97"/>
      <c r="E24" s="100"/>
    </row>
    <row r="25" spans="1:5" x14ac:dyDescent="0.2">
      <c r="C25" s="48"/>
      <c r="D25" s="66"/>
      <c r="E25" s="50"/>
    </row>
    <row r="26" spans="1:5" x14ac:dyDescent="0.2">
      <c r="C26" s="96"/>
      <c r="D26" s="97"/>
      <c r="E26" s="96"/>
    </row>
  </sheetData>
  <mergeCells count="1">
    <mergeCell ref="C1:E1"/>
  </mergeCells>
  <printOptions horizontalCentered="1"/>
  <pageMargins left="0.7" right="0.2" top="0.75" bottom="0.5" header="0.3" footer="0.3"/>
  <pageSetup scale="92" orientation="portrait" r:id="rId1"/>
  <headerFooter>
    <oddHeader>&amp;CAppendix 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pport Document" ma:contentTypeID="0x01010087DDA8BE470AFE4993BEDB69BC0B40F60204008ED646A0F676D44299F4CFCF69A57B76" ma:contentTypeVersion="1" ma:contentTypeDescription="" ma:contentTypeScope="" ma:versionID="8df41919a11eb5603495b83bcb7e50c8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ac91c86d9785daf55e2a266f924ee99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Support_x0020_Status" minOccurs="0"/>
                <xsd:element ref="ns2:Support_x0020_Document_x0020_Type" minOccurs="0"/>
                <xsd:element ref="ns2:Notes1" minOccurs="0"/>
                <xsd:element ref="ns2:Support_x0020_Published_x0020_Document_x0020_Type" minOccurs="0"/>
                <xsd:element ref="ns2:TopicTaxHTField0" minOccurs="0"/>
                <xsd:element ref="ns2:TaxCatchAll" minOccurs="0"/>
                <xsd:element ref="ns2:TaxCatchAllLabe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Support_x0020_Status" ma:index="3" nillable="true" ma:displayName="Support Status" ma:format="Dropdown" ma:internalName="Support_x0020_Status">
      <xsd:simpleType>
        <xsd:restriction base="dms:Choice">
          <xsd:enumeration value="Draft"/>
          <xsd:enumeration value="Final"/>
        </xsd:restriction>
      </xsd:simpleType>
    </xsd:element>
    <xsd:element name="Support_x0020_Document_x0020_Type" ma:index="4" nillable="true" ma:displayName="Support Document Type" ma:format="Dropdown" ma:internalName="Support_x0020_Document_x0020_Type0">
      <xsd:simpleType>
        <xsd:restriction base="dms:Choice">
          <xsd:enumeration value="QA"/>
          <xsd:enumeration value="Work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Support_x0020_Published_x0020_Document_x0020_Type" ma:index="7" nillable="true" ma:displayName="Support Published Document Type" ma:format="Dropdown" ma:internalName="Support_x0020_Published_x0020_Document_x0020_Type0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TopicTaxHTField0" ma:index="13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Capital Budget</TermName>
          <TermId xmlns="http://schemas.microsoft.com/office/infopath/2007/PartnerControls">15af5c68-45dc-4e11-9226-78ef5575ef40</TermId>
        </TermInfo>
      </Terms>
    </TopicTaxHTField0>
    <Support_x0020_Published_x0020_Document_x0020_Type xmlns="bb9f5cce-8978-4b57-8055-abe6ee7aa763" xsi:nil="true"/>
    <Support_x0020_Status xmlns="bb9f5cce-8978-4b57-8055-abe6ee7aa763" xsi:nil="true"/>
    <TaxCatchAll xmlns="bb9f5cce-8978-4b57-8055-abe6ee7aa763"/>
    <Support_x0020_Document_x0020_Type xmlns="bb9f5cce-8978-4b57-8055-abe6ee7aa763" xsi:nil="true"/>
    <Project xmlns="bb9f5cce-8978-4b57-8055-abe6ee7aa763">2015 NP Capital Budget Application</Projec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83127-A4CD-41DE-B31E-DE7C4D383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A3A58E-1CEC-48D4-801D-E8A90FB9982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bb9f5cce-8978-4b57-8055-abe6ee7aa763"/>
    <ds:schemaRef ds:uri="http://schemas.microsoft.com/sharepoint/v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1AD408-CA0E-4AD2-A5D1-FD4AB058C3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 A 2023 - 2030 Annual Impact</vt:lpstr>
      <vt:lpstr>OATT Rate Impact</vt:lpstr>
      <vt:lpstr>App B Annual Deprec and CCA</vt:lpstr>
      <vt:lpstr>App C 2030 Depreciation</vt:lpstr>
      <vt:lpstr>App D 2030 Income Taxes</vt:lpstr>
      <vt:lpstr>App E 2030 RateBase&amp;CostCapital</vt:lpstr>
      <vt:lpstr>App F 2030 Rev Requirement</vt:lpstr>
      <vt:lpstr>App G 2030 Distrib Rate Impact</vt:lpstr>
      <vt:lpstr>'OATT Rate Impact'!_ftnref1</vt:lpstr>
      <vt:lpstr>'App C 2030 Depreciation'!Print_Area</vt:lpstr>
      <vt:lpstr>'App D 2030 Income Taxes'!Print_Area</vt:lpstr>
      <vt:lpstr>'App E 2030 RateBase&amp;CostCapital'!Print_Area</vt:lpstr>
      <vt:lpstr>'App F 2030 Rev Requirement'!Print_Area</vt:lpstr>
      <vt:lpstr>'App G 2030 Distrib Rate Impact'!Print_Area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bmcdonal</dc:creator>
  <cp:lastModifiedBy>Hughes, Sharon</cp:lastModifiedBy>
  <cp:lastPrinted>2022-10-26T13:01:06Z</cp:lastPrinted>
  <dcterms:created xsi:type="dcterms:W3CDTF">2011-08-08T16:27:12Z</dcterms:created>
  <dcterms:modified xsi:type="dcterms:W3CDTF">2022-11-24T19:42:15Z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0x01010087DDA8BE470AFE4993BEDB69BC0B40F60204008ED646A0F676D44299F4CFCF69A57B76</vt:lpwstr>
  </property>
  <property fmtid="{D5CDD505-2E9C-101B-9397-08002B2CF9AE}" pid="3" name="Topic">
    <vt:lpwstr>53</vt:lpwstr>
  </property>
</Properties>
</file>