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RCURY\users\FIN\Regulation\Applications and Filings\Capital Budgets &amp; Variance Reports\2023\Interrogatories\Bedeque Assets\"/>
    </mc:Choice>
  </mc:AlternateContent>
  <xr:revisionPtr revIDLastSave="0" documentId="13_ncr:1_{5A7149E1-39E6-4714-855E-3109366857BD}" xr6:coauthVersionLast="36" xr6:coauthVersionMax="36" xr10:uidLastSave="{00000000-0000-0000-0000-000000000000}"/>
  <bookViews>
    <workbookView xWindow="0" yWindow="0" windowWidth="25125" windowHeight="11700" xr2:uid="{00000000-000D-0000-FFFF-FFFF00000000}"/>
  </bookViews>
  <sheets>
    <sheet name="2023 - 2030 Annual Impact" sheetId="9" r:id="rId1"/>
    <sheet name="OATT Rate Impact" sheetId="8" r:id="rId2"/>
    <sheet name="Annual Depreciation and CCA" sheetId="7" r:id="rId3"/>
    <sheet name="2030 Depreciation" sheetId="1" r:id="rId4"/>
    <sheet name="2030 Income Taxes" sheetId="3" r:id="rId5"/>
    <sheet name="2030 Rate Base &amp; Cost Capital" sheetId="2" r:id="rId6"/>
    <sheet name="2030 Revenue Requirement" sheetId="5" r:id="rId7"/>
    <sheet name="2030 Distribution Rate Impact" sheetId="6" r:id="rId8"/>
  </sheets>
  <externalReferences>
    <externalReference r:id="rId9"/>
    <externalReference r:id="rId10"/>
    <externalReference r:id="rId11"/>
  </externalReferences>
  <definedNames>
    <definedName name="_ftn1" localSheetId="1">'OATT Rate Impact'!#REF!</definedName>
    <definedName name="_ftnref1" localSheetId="1">'OATT Rate Impact'!$A$7</definedName>
    <definedName name="_xlnm.Print_Area" localSheetId="3">'2030 Depreciation'!$C$1:$E$40</definedName>
    <definedName name="_xlnm.Print_Area" localSheetId="7">'2030 Distribution Rate Impact'!$C$1:$E$25</definedName>
    <definedName name="_xlnm.Print_Area" localSheetId="4">'2030 Income Taxes'!$C$1:$E$33</definedName>
    <definedName name="_xlnm.Print_Area" localSheetId="5">'2030 Rate Base &amp; Cost Capital'!$C$1:$E$29</definedName>
    <definedName name="_xlnm.Print_Area" localSheetId="6">'2030 Revenue Requirement'!$C$1:$E$12</definedName>
  </definedNames>
  <calcPr calcId="191029"/>
</workbook>
</file>

<file path=xl/calcChain.xml><?xml version="1.0" encoding="utf-8"?>
<calcChain xmlns="http://schemas.openxmlformats.org/spreadsheetml/2006/main">
  <c r="C10" i="9" l="1"/>
  <c r="M10" i="9"/>
  <c r="G6" i="8"/>
  <c r="G5" i="8"/>
  <c r="G15" i="8"/>
  <c r="G14" i="8"/>
  <c r="E17" i="8" l="1"/>
  <c r="E13" i="8"/>
  <c r="E12" i="8"/>
  <c r="E11" i="8"/>
  <c r="E9" i="8"/>
  <c r="E8" i="8"/>
  <c r="E7" i="8"/>
  <c r="F17" i="8" l="1"/>
  <c r="G17" i="8" l="1"/>
  <c r="M9" i="9"/>
  <c r="C9" i="9"/>
  <c r="M8" i="9"/>
  <c r="B8" i="9"/>
  <c r="C8" i="9" s="1"/>
  <c r="M7" i="9"/>
  <c r="B7" i="9"/>
  <c r="C7" i="9" s="1"/>
  <c r="M6" i="9"/>
  <c r="C6" i="9"/>
  <c r="M5" i="9"/>
  <c r="M4" i="9"/>
  <c r="C4" i="9"/>
  <c r="M3" i="9"/>
  <c r="C3" i="9"/>
  <c r="AB12" i="7" l="1"/>
  <c r="X12" i="7"/>
  <c r="T12" i="7"/>
  <c r="P12" i="7"/>
  <c r="L12" i="7"/>
  <c r="H12" i="7"/>
  <c r="D12" i="7"/>
  <c r="E17" i="1"/>
  <c r="D52" i="7" l="1"/>
  <c r="C11" i="3" l="1"/>
  <c r="E5" i="6"/>
  <c r="D30" i="7" l="1"/>
  <c r="K38" i="7"/>
  <c r="AF17" i="7"/>
  <c r="AF18" i="7" s="1"/>
  <c r="G38" i="7"/>
  <c r="H38" i="7"/>
  <c r="I38" i="7"/>
  <c r="J38" i="7"/>
  <c r="Z18" i="7"/>
  <c r="AB17" i="7"/>
  <c r="AB18" i="7" s="1"/>
  <c r="X17" i="7"/>
  <c r="AD14" i="7"/>
  <c r="AD18" i="7" s="1"/>
  <c r="X8" i="7"/>
  <c r="R18" i="7"/>
  <c r="T17" i="7"/>
  <c r="P17" i="7"/>
  <c r="V14" i="7"/>
  <c r="V18" i="7" s="1"/>
  <c r="P8" i="7"/>
  <c r="B31" i="7"/>
  <c r="B30" i="7"/>
  <c r="B29" i="7"/>
  <c r="B28" i="7"/>
  <c r="B27" i="7"/>
  <c r="D25" i="7"/>
  <c r="E25" i="7" s="1"/>
  <c r="F25" i="7" s="1"/>
  <c r="G25" i="7" s="1"/>
  <c r="H25" i="7" s="1"/>
  <c r="I25" i="7" s="1"/>
  <c r="J25" i="7" s="1"/>
  <c r="K25" i="7" s="1"/>
  <c r="F18" i="7"/>
  <c r="L17" i="7"/>
  <c r="G35" i="7" s="1"/>
  <c r="H17" i="7"/>
  <c r="D17" i="7"/>
  <c r="N14" i="7"/>
  <c r="G11" i="7"/>
  <c r="H8" i="7"/>
  <c r="D8" i="7"/>
  <c r="G8" i="7" s="1"/>
  <c r="J6" i="7"/>
  <c r="N6" i="7" s="1"/>
  <c r="R6" i="7" s="1"/>
  <c r="V6" i="7" s="1"/>
  <c r="Z6" i="7" s="1"/>
  <c r="AD6" i="7" s="1"/>
  <c r="AH6" i="7" s="1"/>
  <c r="E5" i="7"/>
  <c r="F5" i="7" s="1"/>
  <c r="G6" i="7" s="1"/>
  <c r="H5" i="7" s="1"/>
  <c r="I5" i="7" s="1"/>
  <c r="AH14" i="7" l="1"/>
  <c r="AH18" i="7" s="1"/>
  <c r="AF22" i="7"/>
  <c r="P18" i="7"/>
  <c r="P22" i="7" s="1"/>
  <c r="D18" i="7"/>
  <c r="E17" i="7" s="1"/>
  <c r="D35" i="7" s="1"/>
  <c r="D38" i="7"/>
  <c r="AC10" i="7"/>
  <c r="AB22" i="7"/>
  <c r="AC15" i="7"/>
  <c r="AC14" i="7"/>
  <c r="AC11" i="7"/>
  <c r="AC16" i="7"/>
  <c r="AC8" i="7"/>
  <c r="AC9" i="7"/>
  <c r="AC17" i="7"/>
  <c r="X18" i="7"/>
  <c r="Y8" i="7" s="1"/>
  <c r="T18" i="7"/>
  <c r="U17" i="7" s="1"/>
  <c r="J18" i="7"/>
  <c r="J5" i="7"/>
  <c r="K6" i="7"/>
  <c r="L5" i="7" s="1"/>
  <c r="M5" i="7" s="1"/>
  <c r="D34" i="7"/>
  <c r="D22" i="7"/>
  <c r="G15" i="7"/>
  <c r="G13" i="7"/>
  <c r="G14" i="7"/>
  <c r="G12" i="7"/>
  <c r="D32" i="7"/>
  <c r="D33" i="7"/>
  <c r="G16" i="7"/>
  <c r="H18" i="7"/>
  <c r="L18" i="7"/>
  <c r="G9" i="7"/>
  <c r="D28" i="7"/>
  <c r="D29" i="7"/>
  <c r="N18" i="7"/>
  <c r="Q8" i="7" l="1"/>
  <c r="Q17" i="7"/>
  <c r="K35" i="7" s="1"/>
  <c r="E52" i="7"/>
  <c r="E30" i="7"/>
  <c r="AG18" i="7"/>
  <c r="E38" i="7"/>
  <c r="AC18" i="7"/>
  <c r="Y17" i="7"/>
  <c r="X22" i="7"/>
  <c r="U11" i="7"/>
  <c r="T22" i="7"/>
  <c r="U15" i="7"/>
  <c r="U14" i="7"/>
  <c r="U8" i="7"/>
  <c r="U10" i="7"/>
  <c r="U16" i="7"/>
  <c r="U9" i="7"/>
  <c r="K12" i="7"/>
  <c r="G10" i="7"/>
  <c r="G17" i="7"/>
  <c r="D31" i="7"/>
  <c r="F38" i="7"/>
  <c r="O6" i="7"/>
  <c r="P5" i="7" s="1"/>
  <c r="Q5" i="7" s="1"/>
  <c r="N5" i="7"/>
  <c r="H22" i="7"/>
  <c r="K9" i="7"/>
  <c r="E31" i="7"/>
  <c r="K15" i="7"/>
  <c r="E33" i="7"/>
  <c r="I8" i="7"/>
  <c r="E18" i="7"/>
  <c r="L22" i="7"/>
  <c r="K14" i="7"/>
  <c r="E34" i="7"/>
  <c r="D27" i="7"/>
  <c r="I17" i="7"/>
  <c r="Q18" i="7" l="1"/>
  <c r="F52" i="7"/>
  <c r="F30" i="7"/>
  <c r="R5" i="7"/>
  <c r="S6" i="7"/>
  <c r="T5" i="7" s="1"/>
  <c r="U5" i="7" s="1"/>
  <c r="Y18" i="7"/>
  <c r="U18" i="7"/>
  <c r="M18" i="7"/>
  <c r="E27" i="7"/>
  <c r="G18" i="7"/>
  <c r="D36" i="7"/>
  <c r="F32" i="7"/>
  <c r="O14" i="7"/>
  <c r="O12" i="7"/>
  <c r="F33" i="7"/>
  <c r="O15" i="7"/>
  <c r="F27" i="7"/>
  <c r="O9" i="7"/>
  <c r="E32" i="7"/>
  <c r="K16" i="7"/>
  <c r="I18" i="7"/>
  <c r="K8" i="7"/>
  <c r="E28" i="7"/>
  <c r="K10" i="7"/>
  <c r="K13" i="7"/>
  <c r="E29" i="7"/>
  <c r="K11" i="7"/>
  <c r="E35" i="7"/>
  <c r="K17" i="7"/>
  <c r="S15" i="7" l="1"/>
  <c r="H33" i="7"/>
  <c r="I33" i="7"/>
  <c r="J33" i="7"/>
  <c r="G33" i="7"/>
  <c r="S12" i="7"/>
  <c r="G52" i="7"/>
  <c r="G30" i="7"/>
  <c r="S14" i="7"/>
  <c r="J32" i="7"/>
  <c r="G32" i="7"/>
  <c r="I32" i="7"/>
  <c r="H32" i="7"/>
  <c r="S9" i="7"/>
  <c r="J27" i="7"/>
  <c r="G27" i="7"/>
  <c r="H27" i="7"/>
  <c r="I27" i="7"/>
  <c r="D40" i="7"/>
  <c r="D45" i="7" s="1"/>
  <c r="I3" i="9" s="1"/>
  <c r="D42" i="7"/>
  <c r="V5" i="7"/>
  <c r="W6" i="7"/>
  <c r="X5" i="7" s="1"/>
  <c r="Y5" i="7" s="1"/>
  <c r="E36" i="7"/>
  <c r="E40" i="7" s="1"/>
  <c r="E45" i="7" s="1"/>
  <c r="I4" i="9" s="1"/>
  <c r="O8" i="7"/>
  <c r="S8" i="7" s="1"/>
  <c r="K18" i="7"/>
  <c r="F35" i="7"/>
  <c r="O17" i="7"/>
  <c r="O10" i="7"/>
  <c r="F28" i="7"/>
  <c r="O16" i="7"/>
  <c r="G34" i="7" s="1"/>
  <c r="F34" i="7"/>
  <c r="O13" i="7"/>
  <c r="F31" i="7"/>
  <c r="O11" i="7"/>
  <c r="F29" i="7"/>
  <c r="E56" i="7" l="1"/>
  <c r="D56" i="7"/>
  <c r="D58" i="7" s="1"/>
  <c r="D49" i="7"/>
  <c r="D3" i="9" s="1"/>
  <c r="E49" i="7"/>
  <c r="D4" i="9" s="1"/>
  <c r="F36" i="7"/>
  <c r="F40" i="7" s="1"/>
  <c r="F45" i="7" s="1"/>
  <c r="I5" i="9" s="1"/>
  <c r="W12" i="7"/>
  <c r="H52" i="7"/>
  <c r="H30" i="7"/>
  <c r="W9" i="7"/>
  <c r="AA9" i="7" s="1"/>
  <c r="AE9" i="7" s="1"/>
  <c r="AI9" i="7" s="1"/>
  <c r="K27" i="7"/>
  <c r="S13" i="7"/>
  <c r="H31" i="7"/>
  <c r="G31" i="7"/>
  <c r="I31" i="7"/>
  <c r="J31" i="7"/>
  <c r="S10" i="7"/>
  <c r="H28" i="7"/>
  <c r="I28" i="7"/>
  <c r="J28" i="7"/>
  <c r="G28" i="7"/>
  <c r="S11" i="7"/>
  <c r="G29" i="7"/>
  <c r="H29" i="7"/>
  <c r="I29" i="7"/>
  <c r="J29" i="7"/>
  <c r="S16" i="7"/>
  <c r="W16" i="7" s="1"/>
  <c r="AA16" i="7" s="1"/>
  <c r="AE16" i="7" s="1"/>
  <c r="AI16" i="7" s="1"/>
  <c r="H34" i="7"/>
  <c r="I34" i="7"/>
  <c r="J34" i="7"/>
  <c r="W14" i="7"/>
  <c r="AA14" i="7" s="1"/>
  <c r="AE14" i="7" s="1"/>
  <c r="AI14" i="7" s="1"/>
  <c r="K32" i="7"/>
  <c r="S17" i="7"/>
  <c r="W17" i="7" s="1"/>
  <c r="AA17" i="7" s="1"/>
  <c r="AE17" i="7" s="1"/>
  <c r="AI17" i="7" s="1"/>
  <c r="H35" i="7"/>
  <c r="I35" i="7"/>
  <c r="J35" i="7"/>
  <c r="W15" i="7"/>
  <c r="AA15" i="7" s="1"/>
  <c r="AE15" i="7" s="1"/>
  <c r="AI15" i="7" s="1"/>
  <c r="K33" i="7"/>
  <c r="Z5" i="7"/>
  <c r="AA6" i="7"/>
  <c r="AB5" i="7" s="1"/>
  <c r="AC5" i="7" s="1"/>
  <c r="W8" i="7"/>
  <c r="E42" i="7"/>
  <c r="O18" i="7"/>
  <c r="F56" i="7" l="1"/>
  <c r="F42" i="7"/>
  <c r="F49" i="7"/>
  <c r="D5" i="9" s="1"/>
  <c r="E58" i="7"/>
  <c r="D62" i="7"/>
  <c r="E3" i="9" s="1"/>
  <c r="F3" i="9" s="1"/>
  <c r="I52" i="7"/>
  <c r="G36" i="7"/>
  <c r="G40" i="7" s="1"/>
  <c r="G45" i="7" s="1"/>
  <c r="I6" i="9" s="1"/>
  <c r="S18" i="7"/>
  <c r="H36" i="7"/>
  <c r="H40" i="7" s="1"/>
  <c r="H45" i="7" s="1"/>
  <c r="I7" i="9" s="1"/>
  <c r="W10" i="7"/>
  <c r="AA10" i="7" s="1"/>
  <c r="AE10" i="7" s="1"/>
  <c r="AI10" i="7" s="1"/>
  <c r="K28" i="7"/>
  <c r="W11" i="7"/>
  <c r="AA11" i="7" s="1"/>
  <c r="AE11" i="7" s="1"/>
  <c r="AI11" i="7" s="1"/>
  <c r="K29" i="7"/>
  <c r="W13" i="7"/>
  <c r="AA13" i="7" s="1"/>
  <c r="AE13" i="7" s="1"/>
  <c r="AI13" i="7" s="1"/>
  <c r="K31" i="7"/>
  <c r="AA12" i="7"/>
  <c r="I30" i="7"/>
  <c r="I36" i="7" s="1"/>
  <c r="I40" i="7" s="1"/>
  <c r="I45" i="7" s="1"/>
  <c r="I8" i="9" s="1"/>
  <c r="K34" i="7"/>
  <c r="AA8" i="7"/>
  <c r="AD5" i="7"/>
  <c r="AE6" i="7"/>
  <c r="AF5" i="7" s="1"/>
  <c r="AG5" i="7" s="1"/>
  <c r="G3" i="9" l="1"/>
  <c r="H56" i="7"/>
  <c r="G56" i="7"/>
  <c r="D64" i="7"/>
  <c r="J52" i="7"/>
  <c r="G42" i="7"/>
  <c r="G49" i="7"/>
  <c r="D6" i="9" s="1"/>
  <c r="I56" i="7"/>
  <c r="F58" i="7"/>
  <c r="E62" i="7"/>
  <c r="E4" i="9" s="1"/>
  <c r="F4" i="9" s="1"/>
  <c r="W18" i="7"/>
  <c r="H49" i="7" s="1"/>
  <c r="D7" i="9" s="1"/>
  <c r="AI6" i="7"/>
  <c r="AH5" i="7"/>
  <c r="J30" i="7"/>
  <c r="J36" i="7" s="1"/>
  <c r="J40" i="7" s="1"/>
  <c r="J45" i="7" s="1"/>
  <c r="I9" i="9" s="1"/>
  <c r="AE12" i="7"/>
  <c r="I42" i="7"/>
  <c r="H42" i="7"/>
  <c r="AE8" i="7"/>
  <c r="AA18" i="7"/>
  <c r="I49" i="7" s="1"/>
  <c r="D8" i="9" s="1"/>
  <c r="G4" i="9" l="1"/>
  <c r="J56" i="7"/>
  <c r="E64" i="7"/>
  <c r="G58" i="7"/>
  <c r="F62" i="7"/>
  <c r="E5" i="9" s="1"/>
  <c r="F5" i="9" s="1"/>
  <c r="K52" i="7"/>
  <c r="K30" i="7"/>
  <c r="K36" i="7" s="1"/>
  <c r="K40" i="7" s="1"/>
  <c r="K45" i="7" s="1"/>
  <c r="I10" i="9" s="1"/>
  <c r="AI12" i="7"/>
  <c r="AE18" i="7"/>
  <c r="J49" i="7" s="1"/>
  <c r="D9" i="9" s="1"/>
  <c r="AI8" i="7"/>
  <c r="J42" i="7"/>
  <c r="G5" i="9" l="1"/>
  <c r="K47" i="7"/>
  <c r="F64" i="7"/>
  <c r="H58" i="7"/>
  <c r="G62" i="7"/>
  <c r="E6" i="9" s="1"/>
  <c r="F6" i="9" s="1"/>
  <c r="K56" i="7"/>
  <c r="E27" i="3"/>
  <c r="E6" i="3"/>
  <c r="E11" i="3" s="1"/>
  <c r="AI18" i="7"/>
  <c r="K42" i="7"/>
  <c r="G6" i="9" l="1"/>
  <c r="E18" i="1"/>
  <c r="E12" i="3" s="1"/>
  <c r="G64" i="7"/>
  <c r="H62" i="7"/>
  <c r="E7" i="9" s="1"/>
  <c r="F7" i="9" s="1"/>
  <c r="I58" i="7"/>
  <c r="K54" i="7"/>
  <c r="K49" i="7"/>
  <c r="D10" i="9" s="1"/>
  <c r="E5" i="1"/>
  <c r="G7" i="9" l="1"/>
  <c r="I62" i="7"/>
  <c r="E8" i="9" s="1"/>
  <c r="F8" i="9" s="1"/>
  <c r="J58" i="7"/>
  <c r="H64" i="7"/>
  <c r="E24" i="1"/>
  <c r="E27" i="1" s="1"/>
  <c r="G8" i="9" l="1"/>
  <c r="J62" i="7"/>
  <c r="E9" i="9" s="1"/>
  <c r="F9" i="9" s="1"/>
  <c r="K58" i="7"/>
  <c r="K62" i="7" s="1"/>
  <c r="E10" i="9" s="1"/>
  <c r="F10" i="9" s="1"/>
  <c r="I64" i="7"/>
  <c r="H21" i="9" l="1"/>
  <c r="G10" i="9"/>
  <c r="H10" i="9"/>
  <c r="F21" i="9"/>
  <c r="G21" i="9" s="1"/>
  <c r="G9" i="9"/>
  <c r="K64" i="7"/>
  <c r="J64" i="7"/>
  <c r="E4" i="3"/>
  <c r="I21" i="9" l="1"/>
  <c r="J10" i="9" s="1"/>
  <c r="K10" i="9" s="1"/>
  <c r="L10" i="9" s="1"/>
  <c r="N10" i="9" s="1"/>
  <c r="E22" i="2"/>
  <c r="E21" i="2"/>
  <c r="O10" i="9" l="1"/>
  <c r="P10" i="9"/>
  <c r="E12" i="1"/>
  <c r="C4" i="3" l="1"/>
  <c r="E2" i="6" l="1"/>
  <c r="E2" i="5" l="1"/>
  <c r="E2" i="3"/>
  <c r="E2" i="2"/>
  <c r="E6" i="1" l="1"/>
  <c r="E9" i="1" l="1"/>
  <c r="E19" i="1" l="1"/>
  <c r="E21" i="1" s="1"/>
  <c r="E3" i="2" s="1"/>
  <c r="E14" i="1"/>
  <c r="E29" i="1" l="1"/>
  <c r="E33" i="1" s="1"/>
  <c r="E26" i="3" s="1"/>
  <c r="E31" i="3" s="1"/>
  <c r="E8" i="3" l="1"/>
  <c r="E31" i="1"/>
  <c r="E4" i="2" s="1"/>
  <c r="E3" i="5"/>
  <c r="E13" i="3" l="1"/>
  <c r="E15" i="3" s="1"/>
  <c r="E5" i="2" s="1"/>
  <c r="E6" i="2" s="1"/>
  <c r="E8" i="2" l="1"/>
  <c r="E25" i="2"/>
  <c r="E24" i="2"/>
  <c r="F14" i="9" l="1"/>
  <c r="G14" i="9" s="1"/>
  <c r="F15" i="9"/>
  <c r="G15" i="9" s="1"/>
  <c r="F16" i="9"/>
  <c r="G16" i="9" s="1"/>
  <c r="F17" i="9"/>
  <c r="G17" i="9" s="1"/>
  <c r="F18" i="9"/>
  <c r="G18" i="9" s="1"/>
  <c r="F19" i="9"/>
  <c r="G19" i="9" s="1"/>
  <c r="I19" i="9" s="1"/>
  <c r="J8" i="9" s="1"/>
  <c r="F20" i="9"/>
  <c r="G20" i="9" s="1"/>
  <c r="I20" i="9" s="1"/>
  <c r="J9" i="9" s="1"/>
  <c r="E10" i="2"/>
  <c r="H14" i="9"/>
  <c r="H15" i="9"/>
  <c r="H16" i="9"/>
  <c r="H17" i="9"/>
  <c r="H18" i="9"/>
  <c r="H19" i="9"/>
  <c r="H20" i="9"/>
  <c r="E11" i="2"/>
  <c r="E20" i="3" s="1"/>
  <c r="E26" i="2"/>
  <c r="E5" i="5" l="1"/>
  <c r="E12" i="2"/>
  <c r="I18" i="9"/>
  <c r="J7" i="9" s="1"/>
  <c r="H3" i="9"/>
  <c r="H4" i="9"/>
  <c r="H5" i="9"/>
  <c r="H6" i="9"/>
  <c r="K6" i="9" s="1"/>
  <c r="L6" i="9" s="1"/>
  <c r="N6" i="9" s="1"/>
  <c r="H7" i="9"/>
  <c r="H8" i="9"/>
  <c r="K8" i="9" s="1"/>
  <c r="L8" i="9" s="1"/>
  <c r="N8" i="9" s="1"/>
  <c r="H9" i="9"/>
  <c r="K9" i="9" s="1"/>
  <c r="L9" i="9" s="1"/>
  <c r="N9" i="9" s="1"/>
  <c r="I17" i="9"/>
  <c r="J6" i="9" s="1"/>
  <c r="I16" i="9"/>
  <c r="J5" i="9" s="1"/>
  <c r="I15" i="9"/>
  <c r="J4" i="9" s="1"/>
  <c r="I14" i="9"/>
  <c r="J3" i="9" s="1"/>
  <c r="E4" i="5"/>
  <c r="E18" i="3"/>
  <c r="E21" i="3"/>
  <c r="O8" i="9" l="1"/>
  <c r="P8" i="9"/>
  <c r="P6" i="9"/>
  <c r="O6" i="9"/>
  <c r="K5" i="9"/>
  <c r="L5" i="9" s="1"/>
  <c r="N5" i="9" s="1"/>
  <c r="K4" i="9"/>
  <c r="L4" i="9" s="1"/>
  <c r="N4" i="9" s="1"/>
  <c r="K3" i="9"/>
  <c r="L3" i="9" s="1"/>
  <c r="N3" i="9" s="1"/>
  <c r="P9" i="9"/>
  <c r="O9" i="9"/>
  <c r="K7" i="9"/>
  <c r="L7" i="9" s="1"/>
  <c r="N7" i="9" s="1"/>
  <c r="E22" i="3"/>
  <c r="E25" i="3" s="1"/>
  <c r="E28" i="3" s="1"/>
  <c r="O4" i="9" l="1"/>
  <c r="P4" i="9"/>
  <c r="O5" i="9"/>
  <c r="P5" i="9"/>
  <c r="P7" i="9"/>
  <c r="O7" i="9"/>
  <c r="P3" i="9"/>
  <c r="O3" i="9"/>
  <c r="E30" i="3"/>
  <c r="E32" i="3" s="1"/>
  <c r="E6" i="5" s="1"/>
  <c r="E7" i="5" s="1"/>
  <c r="E14" i="5" l="1"/>
  <c r="E4" i="6" s="1"/>
  <c r="E7" i="6" s="1"/>
  <c r="E14" i="6" s="1"/>
  <c r="E16" i="6" s="1"/>
  <c r="E9" i="5"/>
  <c r="E9" i="6" l="1"/>
  <c r="E11" i="6" s="1"/>
  <c r="E1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Crockett, Gloria</author>
    <author>Gorveatt, Chelsey</author>
  </authors>
  <commentList>
    <comment ref="R16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Est WIP CIS in use in 2026</t>
        </r>
      </text>
    </comment>
    <comment ref="V16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Est WIP CIS in use in 2026</t>
        </r>
      </text>
    </comment>
    <comment ref="Z16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Est WIP CIS in use in 2026</t>
        </r>
      </text>
    </comment>
    <comment ref="AD16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Est WIP CIS in use in 2026</t>
        </r>
      </text>
    </comment>
    <comment ref="AH16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Est WIP CIS in use in 2026</t>
        </r>
      </text>
    </comment>
    <comment ref="U20" authorId="1" shapeId="0" xr:uid="{00000000-0006-0000-0500-00000A000000}">
      <text>
        <r>
          <rPr>
            <b/>
            <sz val="9"/>
            <color indexed="81"/>
            <rFont val="Tahoma"/>
            <family val="2"/>
          </rPr>
          <t>Gorveatt, Chelsey:</t>
        </r>
        <r>
          <rPr>
            <sz val="9"/>
            <color indexed="81"/>
            <rFont val="Tahoma"/>
            <family val="2"/>
          </rPr>
          <t xml:space="preserve">
What should these be for 2025 and 2026?</t>
        </r>
      </text>
    </comment>
    <comment ref="AC20" authorId="1" shapeId="0" xr:uid="{00000000-0006-0000-0500-00000B000000}">
      <text>
        <r>
          <rPr>
            <b/>
            <sz val="9"/>
            <color indexed="81"/>
            <rFont val="Tahoma"/>
            <family val="2"/>
          </rPr>
          <t>Gorveatt, Chelsey:</t>
        </r>
        <r>
          <rPr>
            <sz val="9"/>
            <color indexed="81"/>
            <rFont val="Tahoma"/>
            <family val="2"/>
          </rPr>
          <t xml:space="preserve">
What should these be for 2025 and 2026?</t>
        </r>
      </text>
    </comment>
    <comment ref="AG20" authorId="1" shapeId="0" xr:uid="{00000000-0006-0000-0500-00000C000000}">
      <text>
        <r>
          <rPr>
            <b/>
            <sz val="9"/>
            <color indexed="81"/>
            <rFont val="Tahoma"/>
            <family val="2"/>
          </rPr>
          <t>Gorveatt, Chelsey:</t>
        </r>
        <r>
          <rPr>
            <sz val="9"/>
            <color indexed="81"/>
            <rFont val="Tahoma"/>
            <family val="2"/>
          </rPr>
          <t xml:space="preserve">
What should these be for 2025 and 2026?</t>
        </r>
      </text>
    </comment>
    <comment ref="C25" authorId="1" shapeId="0" xr:uid="{00000000-0006-0000-0500-00000D000000}">
      <text>
        <r>
          <rPr>
            <b/>
            <sz val="9"/>
            <color indexed="81"/>
            <rFont val="Tahoma"/>
            <family val="2"/>
          </rPr>
          <t>Gorveatt, Chelsey:</t>
        </r>
        <r>
          <rPr>
            <sz val="9"/>
            <color indexed="81"/>
            <rFont val="Tahoma"/>
            <family val="2"/>
          </rPr>
          <t xml:space="preserve">
No change to rates. New depreciation study for 2020 to come.</t>
        </r>
      </text>
    </comment>
    <comment ref="D52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Accelerated depreciation in 2023 only, to be phased out in 2024.</t>
        </r>
      </text>
    </comment>
    <comment ref="I52" authorId="0" shapeId="0" xr:uid="{F373BE8C-5DD7-44C9-ADF6-B2C29D5C64D1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Accelerated CCA fully phased out, 50% CCA in initial year of investment begins in 2028.</t>
        </r>
      </text>
    </comment>
  </commentList>
</comments>
</file>

<file path=xl/sharedStrings.xml><?xml version="1.0" encoding="utf-8"?>
<sst xmlns="http://schemas.openxmlformats.org/spreadsheetml/2006/main" count="414" uniqueCount="291">
  <si>
    <t>Ref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</si>
  <si>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</si>
  <si>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</si>
  <si>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</si>
  <si>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</si>
  <si>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</si>
  <si>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</si>
  <si>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</si>
  <si>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</si>
  <si>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</si>
  <si>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</si>
  <si>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Depreciation Expense</t>
  </si>
  <si>
    <t>12</t>
  </si>
  <si>
    <t>13</t>
  </si>
  <si>
    <t>14</t>
  </si>
  <si>
    <t>15</t>
  </si>
  <si>
    <t>16</t>
  </si>
  <si>
    <t>Accumulated Depreciation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</si>
  <si>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</si>
  <si>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</si>
  <si>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</si>
  <si>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</si>
  <si>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</si>
  <si>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</si>
  <si>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</si>
  <si>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</si>
  <si>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</si>
  <si>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</si>
  <si>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</si>
  <si>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</si>
  <si>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</si>
  <si>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</si>
  <si>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</si>
  <si>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</si>
  <si>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</si>
  <si>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</si>
  <si>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Future Income Taxes</t>
  </si>
  <si>
    <t>4</t>
  </si>
  <si>
    <t xml:space="preserve">  Debt</t>
  </si>
  <si>
    <t xml:space="preserve">  Common Equity</t>
  </si>
  <si>
    <t xml:space="preserve">  Cost of Debt</t>
  </si>
  <si>
    <t xml:space="preserve">  Cost of Common Equity</t>
  </si>
  <si>
    <t>ref</t>
  </si>
  <si>
    <t>Ending UCC</t>
  </si>
  <si>
    <t>35</t>
  </si>
  <si>
    <t>36</t>
  </si>
  <si>
    <t>37</t>
  </si>
  <si>
    <t>38</t>
  </si>
  <si>
    <t>39</t>
  </si>
  <si>
    <t>40</t>
  </si>
  <si>
    <t>Depreciation</t>
  </si>
  <si>
    <t>Future Tax Rate</t>
  </si>
  <si>
    <t>Add: Depreciation</t>
  </si>
  <si>
    <t>Corporate Tax Rate</t>
  </si>
  <si>
    <t>Capital Cost Allowance</t>
  </si>
  <si>
    <t>Difference CCA/Depreciation</t>
  </si>
  <si>
    <t>Income Taxes</t>
  </si>
  <si>
    <t>Return on Rate Base</t>
  </si>
  <si>
    <t>Customer Contributions</t>
  </si>
  <si>
    <t>Depreciation Expense - Contributions</t>
  </si>
  <si>
    <t xml:space="preserve">  Amortization of Customer Contributions</t>
  </si>
  <si>
    <t>Return on Debt</t>
  </si>
  <si>
    <t>Return on Common Equity</t>
  </si>
  <si>
    <t>Equity Return (grossed up)</t>
  </si>
  <si>
    <t>Debt Return</t>
  </si>
  <si>
    <t>WA Cost of Debt</t>
  </si>
  <si>
    <t>WA Cost of Common Equity</t>
  </si>
  <si>
    <t xml:space="preserve">  Depreciation Rate (Note 2)</t>
  </si>
  <si>
    <t>Capital Investment</t>
  </si>
  <si>
    <t xml:space="preserve">  Capital Investment</t>
  </si>
  <si>
    <t xml:space="preserve">  Costs of Removal (Note 3)</t>
  </si>
  <si>
    <t>Total Project Revenue Requirement</t>
  </si>
  <si>
    <t xml:space="preserve">  Total Return On Rate Base</t>
  </si>
  <si>
    <t>Less: CCA</t>
  </si>
  <si>
    <t>Net Book Value, Capital Investment</t>
  </si>
  <si>
    <r>
      <t xml:space="preserve">  Retirements (</t>
    </r>
    <r>
      <rPr>
        <sz val="10"/>
        <rFont val="Arial"/>
        <family val="2"/>
      </rPr>
      <t>Note 1</t>
    </r>
    <r>
      <rPr>
        <sz val="10"/>
        <color theme="1"/>
        <rFont val="Arial"/>
        <family val="2"/>
      </rPr>
      <t>)</t>
    </r>
  </si>
  <si>
    <t>Total Income Tax Expense</t>
  </si>
  <si>
    <t>Return on Equity</t>
  </si>
  <si>
    <t>Income Taxes (000s)</t>
  </si>
  <si>
    <t>Project Rate Impact</t>
  </si>
  <si>
    <t>Income Tax Effects of Increased Return</t>
  </si>
  <si>
    <t>Rate Base &amp; Cost of Capital (000s)</t>
  </si>
  <si>
    <t xml:space="preserve">  Plant Investment for Depreciation</t>
  </si>
  <si>
    <t>Annual</t>
  </si>
  <si>
    <t xml:space="preserve">  Annual Contributions</t>
  </si>
  <si>
    <t xml:space="preserve">  Total Capital Investment</t>
  </si>
  <si>
    <t xml:space="preserve"> Total Change in Accumulated Depreciation</t>
  </si>
  <si>
    <t>Depreciation (000s)</t>
  </si>
  <si>
    <t xml:space="preserve">  Projected Rate Base</t>
  </si>
  <si>
    <t>C = A + B</t>
  </si>
  <si>
    <t>D</t>
  </si>
  <si>
    <t>E = C X D</t>
  </si>
  <si>
    <t>A</t>
  </si>
  <si>
    <t>F</t>
  </si>
  <si>
    <t>G = A + F</t>
  </si>
  <si>
    <t>E</t>
  </si>
  <si>
    <t>I = H + E</t>
  </si>
  <si>
    <t>K</t>
  </si>
  <si>
    <t>L = F X K</t>
  </si>
  <si>
    <t>B</t>
  </si>
  <si>
    <t>C</t>
  </si>
  <si>
    <t>F = C - E</t>
  </si>
  <si>
    <t>G</t>
  </si>
  <si>
    <t>H = F X G</t>
  </si>
  <si>
    <t>H</t>
  </si>
  <si>
    <t>I</t>
  </si>
  <si>
    <t>J</t>
  </si>
  <si>
    <t>L</t>
  </si>
  <si>
    <t>M</t>
  </si>
  <si>
    <t>L = J + K</t>
  </si>
  <si>
    <t>M = L + E + C</t>
  </si>
  <si>
    <t>N = M X G</t>
  </si>
  <si>
    <t>O = N + H</t>
  </si>
  <si>
    <t>D = O from Page 2</t>
  </si>
  <si>
    <t>E = A + B + C + D</t>
  </si>
  <si>
    <t>F = E / G</t>
  </si>
  <si>
    <t>A = E from Page 4 X 1000</t>
  </si>
  <si>
    <t>C = A / B</t>
  </si>
  <si>
    <t>D = 650 kWh X C X 12 months</t>
  </si>
  <si>
    <t>G = 10,000 kWh X C X 12 months</t>
  </si>
  <si>
    <t>H = G / K</t>
  </si>
  <si>
    <t>E = D / I</t>
  </si>
  <si>
    <t>F = D / J</t>
  </si>
  <si>
    <t>Reference</t>
  </si>
  <si>
    <t>A = J from Page 1</t>
  </si>
  <si>
    <t>H = A / (1-17%) X 17%</t>
  </si>
  <si>
    <t>Note 3:  Costs of Removal are estimated to be 17% of total capital investment and costs of removal based on average for 2018-2020.</t>
  </si>
  <si>
    <t>Weighted Average Cost of Capital ("WACC")</t>
  </si>
  <si>
    <t>Forecast Increase Per kWh Project Rate Impact</t>
  </si>
  <si>
    <t>Net Book Value (NBV) - Customer Contributions</t>
  </si>
  <si>
    <t>Net Book Value (NBV) - Plant Investment</t>
  </si>
  <si>
    <t>M = F - L</t>
  </si>
  <si>
    <t>J = C - I</t>
  </si>
  <si>
    <t>N = E + L</t>
  </si>
  <si>
    <t>Net Book Value, Contributions</t>
  </si>
  <si>
    <t>B = M from Page 1</t>
  </si>
  <si>
    <t>C = H  from Page 2</t>
  </si>
  <si>
    <t>D = A + B + C</t>
  </si>
  <si>
    <t>F = D X O</t>
  </si>
  <si>
    <t>G = D X P</t>
  </si>
  <si>
    <t>H = F + G</t>
  </si>
  <si>
    <t>N</t>
  </si>
  <si>
    <t>O = I X K X M/ N</t>
  </si>
  <si>
    <t>P = J X L X M/ N</t>
  </si>
  <si>
    <t>R</t>
  </si>
  <si>
    <t>Q = O + P</t>
  </si>
  <si>
    <t xml:space="preserve">  Estimated Annual Project Revenue Requirement </t>
  </si>
  <si>
    <t>E = D / R</t>
  </si>
  <si>
    <t>A = N from Page 1</t>
  </si>
  <si>
    <t>B = F from Page 3</t>
  </si>
  <si>
    <t>C = G from Page 3</t>
  </si>
  <si>
    <t>E = N from Page 1</t>
  </si>
  <si>
    <t>I = H from Page 3</t>
  </si>
  <si>
    <t>J = G from Page 3 / (1-G)</t>
  </si>
  <si>
    <t>K = F from Page 3</t>
  </si>
  <si>
    <t xml:space="preserve">  Less: Customer Contributions per Table 1, Proposed 2023 Capital Expenditures</t>
  </si>
  <si>
    <t xml:space="preserve">  Customer Contributions per Table 1, Proposed 2023 Capital Expenditures</t>
  </si>
  <si>
    <t>Forecast 2023 WACC</t>
  </si>
  <si>
    <t>Forecast 2023 Average Capitalization (Total Debt plus Common Equity)</t>
  </si>
  <si>
    <t>* 2023 revenue requirement per Table 6-6 of the GRA is $249,256.</t>
  </si>
  <si>
    <t xml:space="preserve">Forecast 2023 Revenue Requirement* </t>
  </si>
  <si>
    <t>Forecast Increase Annual Cost Benchmark Residential Customer (650 kWh per month) before tax</t>
  </si>
  <si>
    <t>Forecast Increase Annual Cost Benchmark General Service Customer (10,000 kWh per month) before tax</t>
  </si>
  <si>
    <t>Forecast 2023 Average Rate Base*</t>
  </si>
  <si>
    <t>* Per Table 6-2 of GRA filed on June 20, 2022.</t>
  </si>
  <si>
    <t>Estimated Impact on Rate Base, Revenue Requirement and Customer Rates</t>
  </si>
  <si>
    <t>B = (A X 0%)</t>
  </si>
  <si>
    <t>Note 2:  2023 composite depreciation rate for transmission assets per 2020 Depreciation Study as proposed in GRA.</t>
  </si>
  <si>
    <t>Note 1:  There is no associated retirement as these assets are currently owned by the Province of PEI and are not part of MECL rate base.</t>
  </si>
  <si>
    <t>Although MECL does not own the existing assets, the existing assets will need to be removed to rebuild as planned in Table 1 of the 2022 SBR.</t>
  </si>
  <si>
    <t>Maritime Electric Financial Forecast</t>
  </si>
  <si>
    <t>Capital and Depreciation</t>
  </si>
  <si>
    <t>Balance</t>
  </si>
  <si>
    <t>ASSET CLASS</t>
  </si>
  <si>
    <t>Additions</t>
  </si>
  <si>
    <t>Retirements</t>
  </si>
  <si>
    <t>WIP</t>
  </si>
  <si>
    <t>Retirement</t>
  </si>
  <si>
    <t>Production - CTGS</t>
  </si>
  <si>
    <t>Production - BGS GENERATORS</t>
  </si>
  <si>
    <t>Production - CT3 GENERATOR</t>
  </si>
  <si>
    <t>ECC</t>
  </si>
  <si>
    <t>Transmission Plant</t>
  </si>
  <si>
    <t>Distribution Plant</t>
  </si>
  <si>
    <t>Transportation</t>
  </si>
  <si>
    <t>General Property</t>
  </si>
  <si>
    <t>Non Depreciable Assets</t>
  </si>
  <si>
    <t>Contributions</t>
  </si>
  <si>
    <t>check</t>
  </si>
  <si>
    <t>DEPRECIATION</t>
  </si>
  <si>
    <t>Rate</t>
  </si>
  <si>
    <t>Computer Hardware</t>
  </si>
  <si>
    <t>Net Depreciation</t>
  </si>
  <si>
    <t>Composite Rate</t>
  </si>
  <si>
    <t>TOTAL FORECAST DEPRECIATION</t>
  </si>
  <si>
    <t>A = $9,470</t>
  </si>
  <si>
    <t xml:space="preserve">  Capital Investment per Table 1 of Application, Proposed 2023  - 2029 Capital Expenditures </t>
  </si>
  <si>
    <t xml:space="preserve">  2030 Depreciation Expense - first full year of depreciation</t>
  </si>
  <si>
    <t>ACCUMILATED DEPRECIATION 2023-2030</t>
  </si>
  <si>
    <t>CCA - Class 47</t>
  </si>
  <si>
    <t>CCA Deductions 2023-2030</t>
  </si>
  <si>
    <t xml:space="preserve"> Accumulated Depreciation, December 31, 2030</t>
  </si>
  <si>
    <t>Forecast 2030 kWh Sales *</t>
  </si>
  <si>
    <t>* Forecast 2025 kWh GRA sales forecast plus 1.64% average annual growth to 2030 per load forecast.</t>
  </si>
  <si>
    <t>2030 Annual Project Revenue Requirement (000s)</t>
  </si>
  <si>
    <t>% Increase over 2023 Forecast Revenue Requirement</t>
  </si>
  <si>
    <t>Total 2030 Depreciation Expense (Net of Contributions)</t>
  </si>
  <si>
    <t>C = A- B</t>
  </si>
  <si>
    <t>Future Income Tax Expense</t>
  </si>
  <si>
    <t>Future Income Tax Liability</t>
  </si>
  <si>
    <t>Income Tax Expense</t>
  </si>
  <si>
    <t>Current Income Tax Expense</t>
  </si>
  <si>
    <t>% Increase over 2023 Forecast Annual Cost for Rural Residential Customer</t>
  </si>
  <si>
    <t>% Increase over 2023 Forecast Annual Cost for Urban Residential Customer</t>
  </si>
  <si>
    <t>% Increase over 2023 Forecast Annual Cost for General Service Customer</t>
  </si>
  <si>
    <t>UCC, December 31, 2030</t>
  </si>
  <si>
    <t>Total Change in Revenue Requirement Allocated to MECL **</t>
  </si>
  <si>
    <t>** MECL forecast average prorata share of OATT Revenue Requirement from 2022-2025.</t>
  </si>
  <si>
    <t>Update to Table 5 of OATT Application to Include Bedeque Assets</t>
  </si>
  <si>
    <t>Services</t>
  </si>
  <si>
    <t>Schedule in OATT</t>
  </si>
  <si>
    <t>Scheduling, System Control and Dispatch</t>
  </si>
  <si>
    <t>Appendix F</t>
  </si>
  <si>
    <t>Appendix H</t>
  </si>
  <si>
    <t>3(a)</t>
  </si>
  <si>
    <t>NB OATT</t>
  </si>
  <si>
    <t>3(b)</t>
  </si>
  <si>
    <t>3(c)</t>
  </si>
  <si>
    <t>$0.44/MWh</t>
  </si>
  <si>
    <t>Energy Imbalance</t>
  </si>
  <si>
    <t>Section 6.3</t>
  </si>
  <si>
    <t>n/a</t>
  </si>
  <si>
    <t>6(a)</t>
  </si>
  <si>
    <t>6(b)</t>
  </si>
  <si>
    <t>Point-to-Point Transmission Service</t>
  </si>
  <si>
    <t>7 and 8</t>
  </si>
  <si>
    <t>Appendix D</t>
  </si>
  <si>
    <t>Non-Capital Support Charge Rate</t>
  </si>
  <si>
    <t>Section 8.0</t>
  </si>
  <si>
    <t>Residual Uplift</t>
  </si>
  <si>
    <t>Network Transmission Service</t>
  </si>
  <si>
    <t>Att. H</t>
  </si>
  <si>
    <t>Appendix E</t>
  </si>
  <si>
    <t>Approved Rates ($/MW-month) per UE22-04</t>
  </si>
  <si>
    <t>Reactive Supply and Voltage Control from Generation Sources</t>
  </si>
  <si>
    <t>Regulation (Automatic Generation Control) *</t>
  </si>
  <si>
    <t>Load Following *</t>
  </si>
  <si>
    <t>AGC and Load Following for Non-Dispatchable Wind *</t>
  </si>
  <si>
    <t>Operating Reserve – Supplemental (10 minute) *</t>
  </si>
  <si>
    <t>Operating Reserve – Supplemental (30 minute) *</t>
  </si>
  <si>
    <t>Operating Reserve – Spinning *</t>
  </si>
  <si>
    <t>* These rates are taken directly from the NB Power OATT, effective January 1, 2019, and are shown for reference.</t>
  </si>
  <si>
    <t>Total Rate Impact for Services in Maritime Electric’s Open Access Transmission Tariff</t>
  </si>
  <si>
    <t>Accumulated Depreciation, December 31, 2030</t>
  </si>
  <si>
    <t>Computer Hardware Software</t>
  </si>
  <si>
    <t>NBV, December 31</t>
  </si>
  <si>
    <t>Difference between accounting depreciation &amp; CCA</t>
  </si>
  <si>
    <t>Cumulative difference between accounting depreciation &amp; CCA</t>
  </si>
  <si>
    <t>Annual Statutory Tax Rate</t>
  </si>
  <si>
    <t>Future Tax Liability</t>
  </si>
  <si>
    <t>Total Rate Base</t>
  </si>
  <si>
    <t>Annual Investment</t>
  </si>
  <si>
    <t>NBV</t>
  </si>
  <si>
    <t>Cost of Removal</t>
  </si>
  <si>
    <t>Increase in Rate Base</t>
  </si>
  <si>
    <t>2022 Forecast Year End Rate Base *</t>
  </si>
  <si>
    <t>Increase over 2022 Forecast Year End Rate Base</t>
  </si>
  <si>
    <t>Total % Increase from 2022 Forecast Year End Rate Base</t>
  </si>
  <si>
    <t>Annual Depreciation</t>
  </si>
  <si>
    <t>Annual Revenue Requirement</t>
  </si>
  <si>
    <t>Equity Return</t>
  </si>
  <si>
    <t>Taxable Income</t>
  </si>
  <si>
    <t>Equity Return Grossed-up for Tax</t>
  </si>
  <si>
    <t>Annual Tax Expense</t>
  </si>
  <si>
    <t>Cost per kWh</t>
  </si>
  <si>
    <t xml:space="preserve"> 2022 Annual Cost Benchmark Rural Residential Customer (650 kWh per month) excluding tax per Table 7-4 of GRA filed with the Commission on June 20, 2022.</t>
  </si>
  <si>
    <t xml:space="preserve"> 2022 Annual Cost Benchmark Rural Residential Customer (650 kWh per month) excluding tax per Table 7-5 of GRA filed with the Commission on June 20, 2022.</t>
  </si>
  <si>
    <t>2022 Annual Cost Benchmark General Service Customer (10,000 kWh per month) excluding tax  per Table 7-6 of GRA filed with the Commission on June 20, 2022.</t>
  </si>
  <si>
    <t>Return on Rate Base($)</t>
  </si>
  <si>
    <t>Annual Cost - Residential using 650 kWh per month</t>
  </si>
  <si>
    <t>Annual Cost - GS using 10,000 kWh per month</t>
  </si>
  <si>
    <t>Taxable Income Estimate</t>
  </si>
  <si>
    <t>Year</t>
  </si>
  <si>
    <t>2030 OATT Rates Adjusted to Reflect 2022 - 2029 Investments in Bedeque</t>
  </si>
  <si>
    <t>2027 OATT Rates Adjusted to Reflect 2022 - 2026 Investments in Bedeque</t>
  </si>
  <si>
    <t>Total % Change</t>
  </si>
  <si>
    <t xml:space="preserve">  Depreciation Rate</t>
  </si>
  <si>
    <t>* MECL forecast average prorata share of OATT Revenue Requirement from 2022-2025.</t>
  </si>
  <si>
    <t>80.5% to MECL Customers *</t>
  </si>
  <si>
    <t>Forecast Sales (kWh) **</t>
  </si>
  <si>
    <t>** GRA Forecast 2023 - 2025 kWh GRA sales forecast plus 1.64% average annual growth from 2026 to 2030 per load forecast.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</si>
</sst>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0.0%"/>
    <numFmt numFmtId="168" formatCode="_-* #,##0_-;\-* #,##0_-;_-* &quot;-&quot;??_-;_-@_-"/>
    <numFmt numFmtId="169" formatCode="[$-409]mmm\-yy;@"/>
    <numFmt numFmtId="170" formatCode="#,##0;\(#,##0\)"/>
    <numFmt numFmtId="171" formatCode="_-* #,##0.00_-;\-* #,##0.0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Accounting"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u val="singleAccounting"/>
      <sz val="8"/>
      <name val="Arial"/>
      <family val="2"/>
    </font>
    <font>
      <b/>
      <sz val="8"/>
      <name val="Arial"/>
      <family val="2"/>
    </font>
    <font>
      <b/>
      <u val="singleAccounting"/>
      <sz val="8"/>
      <name val="Arial"/>
      <family val="2"/>
    </font>
    <font>
      <u val="singleAccounting"/>
      <sz val="8"/>
      <color indexed="8"/>
      <name val="Arial"/>
      <family val="2"/>
    </font>
    <font>
      <b/>
      <sz val="8"/>
      <color rgb="FFFF0000"/>
      <name val="Arial"/>
      <family val="2"/>
    </font>
    <font>
      <u val="doubleAccounting"/>
      <sz val="8"/>
      <color indexed="8"/>
      <name val="Arial"/>
      <family val="2"/>
    </font>
    <font>
      <b/>
      <u val="doubleAccounting"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u val="doubleAccounting"/>
      <sz val="8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6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2" fillId="0" borderId="0" xfId="2" applyNumberFormat="1" applyFont="1"/>
    <xf numFmtId="0" fontId="2" fillId="0" borderId="0" xfId="0" applyFont="1" applyFill="1" applyAlignment="1">
      <alignment horizontal="center"/>
    </xf>
    <xf numFmtId="0" fontId="5" fillId="0" borderId="0" xfId="0" applyFont="1"/>
    <xf numFmtId="43" fontId="0" fillId="0" borderId="0" xfId="0" applyNumberFormat="1"/>
    <xf numFmtId="164" fontId="0" fillId="0" borderId="0" xfId="0" applyNumberFormat="1"/>
    <xf numFmtId="0" fontId="0" fillId="0" borderId="0" xfId="0" applyFill="1"/>
    <xf numFmtId="0" fontId="7" fillId="0" borderId="0" xfId="0" applyFont="1"/>
    <xf numFmtId="0" fontId="6" fillId="0" borderId="0" xfId="0" applyFont="1"/>
    <xf numFmtId="0" fontId="7" fillId="0" borderId="4" xfId="0" applyFont="1" applyBorder="1"/>
    <xf numFmtId="0" fontId="7" fillId="0" borderId="3" xfId="0" applyFont="1" applyBorder="1"/>
    <xf numFmtId="165" fontId="9" fillId="0" borderId="4" xfId="3" applyNumberFormat="1" applyFont="1" applyBorder="1" applyAlignment="1">
      <alignment horizontal="left"/>
    </xf>
    <xf numFmtId="164" fontId="9" fillId="0" borderId="4" xfId="1" applyNumberFormat="1" applyFont="1" applyBorder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0" fontId="13" fillId="0" borderId="3" xfId="0" applyFont="1" applyBorder="1"/>
    <xf numFmtId="0" fontId="15" fillId="0" borderId="3" xfId="0" applyFont="1" applyBorder="1"/>
    <xf numFmtId="0" fontId="6" fillId="0" borderId="5" xfId="0" applyFont="1" applyBorder="1"/>
    <xf numFmtId="0" fontId="6" fillId="0" borderId="7" xfId="0" applyFont="1" applyBorder="1"/>
    <xf numFmtId="0" fontId="7" fillId="3" borderId="4" xfId="0" applyFont="1" applyFill="1" applyBorder="1"/>
    <xf numFmtId="0" fontId="13" fillId="2" borderId="3" xfId="0" applyFont="1" applyFill="1" applyBorder="1"/>
    <xf numFmtId="0" fontId="7" fillId="2" borderId="4" xfId="0" applyFont="1" applyFill="1" applyBorder="1"/>
    <xf numFmtId="0" fontId="7" fillId="3" borderId="3" xfId="0" applyFont="1" applyFill="1" applyBorder="1"/>
    <xf numFmtId="164" fontId="9" fillId="3" borderId="4" xfId="1" applyNumberFormat="1" applyFont="1" applyFill="1" applyBorder="1" applyAlignment="1">
      <alignment horizontal="left"/>
    </xf>
    <xf numFmtId="164" fontId="11" fillId="3" borderId="4" xfId="1" applyNumberFormat="1" applyFont="1" applyFill="1" applyBorder="1" applyAlignment="1">
      <alignment horizontal="left"/>
    </xf>
    <xf numFmtId="165" fontId="9" fillId="3" borderId="4" xfId="3" applyNumberFormat="1" applyFont="1" applyFill="1" applyBorder="1" applyAlignment="1">
      <alignment horizontal="left"/>
    </xf>
    <xf numFmtId="10" fontId="12" fillId="3" borderId="4" xfId="2" applyNumberFormat="1" applyFont="1" applyFill="1" applyBorder="1" applyAlignment="1">
      <alignment horizontal="right"/>
    </xf>
    <xf numFmtId="0" fontId="6" fillId="3" borderId="3" xfId="0" applyFont="1" applyFill="1" applyBorder="1"/>
    <xf numFmtId="0" fontId="6" fillId="3" borderId="4" xfId="0" applyFont="1" applyFill="1" applyBorder="1"/>
    <xf numFmtId="0" fontId="6" fillId="2" borderId="4" xfId="0" applyFont="1" applyFill="1" applyBorder="1"/>
    <xf numFmtId="165" fontId="14" fillId="2" borderId="4" xfId="3" applyNumberFormat="1" applyFont="1" applyFill="1" applyBorder="1" applyAlignment="1">
      <alignment horizontal="left"/>
    </xf>
    <xf numFmtId="165" fontId="7" fillId="0" borderId="4" xfId="3" applyNumberFormat="1" applyFont="1" applyBorder="1"/>
    <xf numFmtId="164" fontId="16" fillId="0" borderId="4" xfId="1" applyNumberFormat="1" applyFont="1" applyBorder="1"/>
    <xf numFmtId="164" fontId="7" fillId="0" borderId="4" xfId="1" applyNumberFormat="1" applyFont="1" applyBorder="1"/>
    <xf numFmtId="164" fontId="16" fillId="0" borderId="4" xfId="0" applyNumberFormat="1" applyFont="1" applyBorder="1"/>
    <xf numFmtId="164" fontId="7" fillId="0" borderId="4" xfId="0" applyNumberFormat="1" applyFont="1" applyBorder="1"/>
    <xf numFmtId="10" fontId="17" fillId="3" borderId="4" xfId="2" applyNumberFormat="1" applyFont="1" applyFill="1" applyBorder="1"/>
    <xf numFmtId="164" fontId="16" fillId="0" borderId="4" xfId="1" applyNumberFormat="1" applyFont="1" applyFill="1" applyBorder="1"/>
    <xf numFmtId="165" fontId="13" fillId="0" borderId="4" xfId="3" applyNumberFormat="1" applyFont="1" applyBorder="1"/>
    <xf numFmtId="10" fontId="13" fillId="2" borderId="4" xfId="2" applyNumberFormat="1" applyFont="1" applyFill="1" applyBorder="1"/>
    <xf numFmtId="0" fontId="7" fillId="0" borderId="3" xfId="0" applyFont="1" applyFill="1" applyBorder="1"/>
    <xf numFmtId="10" fontId="7" fillId="0" borderId="4" xfId="2" applyNumberFormat="1" applyFont="1" applyBorder="1"/>
    <xf numFmtId="10" fontId="17" fillId="0" borderId="4" xfId="2" applyNumberFormat="1" applyFont="1" applyBorder="1"/>
    <xf numFmtId="0" fontId="7" fillId="0" borderId="5" xfId="0" applyFont="1" applyBorder="1"/>
    <xf numFmtId="164" fontId="7" fillId="0" borderId="4" xfId="1" applyNumberFormat="1" applyFont="1" applyFill="1" applyBorder="1"/>
    <xf numFmtId="0" fontId="7" fillId="0" borderId="7" xfId="0" applyFont="1" applyBorder="1"/>
    <xf numFmtId="0" fontId="7" fillId="0" borderId="0" xfId="0" quotePrefix="1" applyFo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wrapText="1"/>
    </xf>
    <xf numFmtId="44" fontId="7" fillId="0" borderId="4" xfId="3" applyNumberFormat="1" applyFont="1" applyBorder="1"/>
    <xf numFmtId="10" fontId="7" fillId="0" borderId="0" xfId="2" applyNumberFormat="1" applyFont="1"/>
    <xf numFmtId="165" fontId="13" fillId="2" borderId="4" xfId="3" applyNumberFormat="1" applyFont="1" applyFill="1" applyBorder="1"/>
    <xf numFmtId="0" fontId="13" fillId="2" borderId="3" xfId="0" applyFont="1" applyFill="1" applyBorder="1" applyAlignment="1">
      <alignment wrapText="1"/>
    </xf>
    <xf numFmtId="44" fontId="13" fillId="2" borderId="4" xfId="3" applyNumberFormat="1" applyFont="1" applyFill="1" applyBorder="1"/>
    <xf numFmtId="0" fontId="13" fillId="4" borderId="1" xfId="0" applyFont="1" applyFill="1" applyBorder="1" applyAlignment="1">
      <alignment vertical="center"/>
    </xf>
    <xf numFmtId="0" fontId="13" fillId="4" borderId="2" xfId="0" quotePrefix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44" fontId="7" fillId="0" borderId="4" xfId="3" applyFont="1" applyBorder="1"/>
    <xf numFmtId="10" fontId="7" fillId="3" borderId="4" xfId="2" applyNumberFormat="1" applyFont="1" applyFill="1" applyBorder="1"/>
    <xf numFmtId="0" fontId="19" fillId="0" borderId="0" xfId="0" applyFont="1"/>
    <xf numFmtId="10" fontId="13" fillId="0" borderId="4" xfId="2" applyNumberFormat="1" applyFont="1" applyBorder="1"/>
    <xf numFmtId="0" fontId="7" fillId="0" borderId="6" xfId="0" applyFont="1" applyBorder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7" fillId="0" borderId="0" xfId="1" applyFont="1"/>
    <xf numFmtId="0" fontId="20" fillId="0" borderId="3" xfId="0" applyFont="1" applyBorder="1"/>
    <xf numFmtId="0" fontId="21" fillId="2" borderId="3" xfId="0" applyFont="1" applyFill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165" fontId="13" fillId="2" borderId="7" xfId="3" applyNumberFormat="1" applyFont="1" applyFill="1" applyBorder="1"/>
    <xf numFmtId="165" fontId="7" fillId="0" borderId="7" xfId="3" applyNumberFormat="1" applyFont="1" applyBorder="1"/>
    <xf numFmtId="0" fontId="7" fillId="3" borderId="5" xfId="0" applyFont="1" applyFill="1" applyBorder="1"/>
    <xf numFmtId="0" fontId="7" fillId="3" borderId="6" xfId="0" applyFont="1" applyFill="1" applyBorder="1" applyAlignment="1">
      <alignment horizontal="center"/>
    </xf>
    <xf numFmtId="165" fontId="14" fillId="3" borderId="7" xfId="3" applyNumberFormat="1" applyFont="1" applyFill="1" applyBorder="1" applyAlignment="1">
      <alignment horizontal="left"/>
    </xf>
    <xf numFmtId="164" fontId="2" fillId="0" borderId="7" xfId="1" applyNumberFormat="1" applyFont="1" applyBorder="1"/>
    <xf numFmtId="0" fontId="15" fillId="0" borderId="1" xfId="0" applyFont="1" applyBorder="1"/>
    <xf numFmtId="0" fontId="15" fillId="0" borderId="8" xfId="0" applyFont="1" applyBorder="1" applyAlignment="1">
      <alignment horizontal="center"/>
    </xf>
    <xf numFmtId="164" fontId="18" fillId="0" borderId="2" xfId="1" applyNumberFormat="1" applyFont="1" applyBorder="1" applyAlignment="1">
      <alignment horizontal="left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7" fillId="0" borderId="2" xfId="0" applyFont="1" applyBorder="1"/>
    <xf numFmtId="166" fontId="13" fillId="2" borderId="4" xfId="3" applyNumberFormat="1" applyFont="1" applyFill="1" applyBorder="1"/>
    <xf numFmtId="164" fontId="9" fillId="0" borderId="4" xfId="1" applyNumberFormat="1" applyFont="1" applyFill="1" applyBorder="1" applyAlignment="1">
      <alignment horizontal="left"/>
    </xf>
    <xf numFmtId="0" fontId="13" fillId="0" borderId="3" xfId="0" applyFont="1" applyFill="1" applyBorder="1"/>
    <xf numFmtId="0" fontId="13" fillId="0" borderId="0" xfId="0" applyFont="1" applyFill="1" applyBorder="1" applyAlignment="1">
      <alignment horizontal="center"/>
    </xf>
    <xf numFmtId="165" fontId="14" fillId="0" borderId="4" xfId="3" applyNumberFormat="1" applyFont="1" applyFill="1" applyBorder="1" applyAlignment="1">
      <alignment horizontal="left"/>
    </xf>
    <xf numFmtId="167" fontId="7" fillId="3" borderId="4" xfId="2" applyNumberFormat="1" applyFont="1" applyFill="1" applyBorder="1"/>
    <xf numFmtId="0" fontId="13" fillId="0" borderId="3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4" fontId="13" fillId="0" borderId="4" xfId="3" applyNumberFormat="1" applyFont="1" applyFill="1" applyBorder="1"/>
    <xf numFmtId="0" fontId="15" fillId="2" borderId="5" xfId="0" applyFont="1" applyFill="1" applyBorder="1"/>
    <xf numFmtId="0" fontId="15" fillId="0" borderId="1" xfId="0" applyFont="1" applyFill="1" applyBorder="1"/>
    <xf numFmtId="0" fontId="15" fillId="0" borderId="5" xfId="0" applyFont="1" applyBorder="1"/>
    <xf numFmtId="0" fontId="15" fillId="0" borderId="6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168" fontId="25" fillId="0" borderId="0" xfId="1" applyNumberFormat="1" applyFont="1" applyFill="1" applyBorder="1" applyAlignment="1">
      <alignment horizontal="left"/>
    </xf>
    <xf numFmtId="169" fontId="26" fillId="0" borderId="0" xfId="4" applyBorder="1" applyAlignment="1" applyProtection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168" fontId="24" fillId="0" borderId="0" xfId="1" applyNumberFormat="1" applyFont="1" applyBorder="1" applyAlignment="1">
      <alignment horizontal="left"/>
    </xf>
    <xf numFmtId="168" fontId="24" fillId="0" borderId="0" xfId="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0" fontId="27" fillId="0" borderId="0" xfId="2" applyNumberFormat="1" applyFont="1"/>
    <xf numFmtId="0" fontId="27" fillId="0" borderId="0" xfId="0" applyFont="1"/>
    <xf numFmtId="168" fontId="27" fillId="0" borderId="0" xfId="1" applyNumberFormat="1" applyFont="1" applyFill="1"/>
    <xf numFmtId="0" fontId="27" fillId="0" borderId="0" xfId="0" applyFont="1" applyFill="1"/>
    <xf numFmtId="0" fontId="25" fillId="0" borderId="0" xfId="0" applyFont="1"/>
    <xf numFmtId="0" fontId="27" fillId="0" borderId="2" xfId="0" applyNumberFormat="1" applyFont="1" applyBorder="1" applyAlignment="1" applyProtection="1">
      <alignment horizontal="center"/>
      <protection locked="0"/>
    </xf>
    <xf numFmtId="0" fontId="27" fillId="0" borderId="1" xfId="0" applyNumberFormat="1" applyFont="1" applyBorder="1" applyAlignment="1" applyProtection="1">
      <alignment horizontal="center"/>
      <protection locked="0"/>
    </xf>
    <xf numFmtId="0" fontId="27" fillId="0" borderId="8" xfId="0" applyNumberFormat="1" applyFont="1" applyBorder="1" applyAlignment="1" applyProtection="1">
      <alignment horizontal="center"/>
      <protection locked="0"/>
    </xf>
    <xf numFmtId="0" fontId="27" fillId="0" borderId="8" xfId="0" applyNumberFormat="1" applyFont="1" applyBorder="1" applyAlignment="1">
      <alignment horizontal="center"/>
    </xf>
    <xf numFmtId="0" fontId="27" fillId="0" borderId="2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27" fillId="0" borderId="4" xfId="0" applyNumberFormat="1" applyFont="1" applyBorder="1" applyAlignment="1" applyProtection="1">
      <alignment horizontal="center"/>
      <protection locked="0"/>
    </xf>
    <xf numFmtId="0" fontId="27" fillId="0" borderId="3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7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0" fontId="27" fillId="0" borderId="4" xfId="0" applyNumberFormat="1" applyFont="1" applyBorder="1" applyAlignment="1">
      <alignment horizontal="center"/>
    </xf>
    <xf numFmtId="0" fontId="25" fillId="0" borderId="0" xfId="0" applyFont="1" applyAlignment="1" applyProtection="1">
      <alignment horizontal="fill"/>
      <protection locked="0"/>
    </xf>
    <xf numFmtId="170" fontId="27" fillId="0" borderId="4" xfId="0" applyNumberFormat="1" applyFont="1" applyBorder="1"/>
    <xf numFmtId="170" fontId="27" fillId="0" borderId="3" xfId="0" applyNumberFormat="1" applyFont="1" applyBorder="1"/>
    <xf numFmtId="170" fontId="27" fillId="0" borderId="0" xfId="0" applyNumberFormat="1" applyFont="1" applyBorder="1"/>
    <xf numFmtId="0" fontId="25" fillId="0" borderId="0" xfId="0" applyFont="1" applyFill="1" applyAlignment="1" applyProtection="1">
      <alignment horizontal="left"/>
      <protection locked="0"/>
    </xf>
    <xf numFmtId="41" fontId="27" fillId="0" borderId="4" xfId="0" applyNumberFormat="1" applyFont="1" applyBorder="1"/>
    <xf numFmtId="168" fontId="27" fillId="0" borderId="3" xfId="1" applyNumberFormat="1" applyFont="1" applyFill="1" applyBorder="1" applyProtection="1">
      <protection locked="0"/>
    </xf>
    <xf numFmtId="41" fontId="27" fillId="0" borderId="0" xfId="1" applyNumberFormat="1" applyFont="1" applyFill="1" applyBorder="1" applyProtection="1">
      <protection locked="0"/>
    </xf>
    <xf numFmtId="41" fontId="27" fillId="0" borderId="0" xfId="1" applyNumberFormat="1" applyFont="1" applyBorder="1" applyProtection="1">
      <protection locked="0"/>
    </xf>
    <xf numFmtId="164" fontId="27" fillId="0" borderId="0" xfId="1" applyNumberFormat="1" applyFont="1" applyBorder="1" applyProtection="1">
      <protection locked="0"/>
    </xf>
    <xf numFmtId="0" fontId="27" fillId="0" borderId="0" xfId="0" applyFont="1" applyBorder="1"/>
    <xf numFmtId="41" fontId="28" fillId="0" borderId="0" xfId="1" applyNumberFormat="1" applyFont="1" applyBorder="1" applyProtection="1">
      <protection locked="0"/>
    </xf>
    <xf numFmtId="168" fontId="27" fillId="0" borderId="3" xfId="1" applyNumberFormat="1" applyFont="1" applyBorder="1" applyProtection="1">
      <protection locked="0"/>
    </xf>
    <xf numFmtId="41" fontId="29" fillId="0" borderId="4" xfId="0" applyNumberFormat="1" applyFont="1" applyBorder="1"/>
    <xf numFmtId="41" fontId="29" fillId="0" borderId="3" xfId="1" applyNumberFormat="1" applyFont="1" applyBorder="1" applyProtection="1">
      <protection locked="0"/>
    </xf>
    <xf numFmtId="41" fontId="29" fillId="0" borderId="0" xfId="1" applyNumberFormat="1" applyFont="1" applyBorder="1" applyProtection="1">
      <protection locked="0"/>
    </xf>
    <xf numFmtId="0" fontId="25" fillId="0" borderId="0" xfId="0" applyFont="1" applyFill="1"/>
    <xf numFmtId="10" fontId="27" fillId="0" borderId="0" xfId="2" applyNumberFormat="1" applyFont="1" applyFill="1"/>
    <xf numFmtId="41" fontId="27" fillId="0" borderId="4" xfId="0" applyNumberFormat="1" applyFont="1" applyFill="1" applyBorder="1"/>
    <xf numFmtId="41" fontId="27" fillId="0" borderId="3" xfId="0" applyNumberFormat="1" applyFont="1" applyFill="1" applyBorder="1" applyProtection="1">
      <protection locked="0"/>
    </xf>
    <xf numFmtId="41" fontId="27" fillId="0" borderId="4" xfId="1" applyNumberFormat="1" applyFont="1" applyFill="1" applyBorder="1"/>
    <xf numFmtId="41" fontId="27" fillId="0" borderId="3" xfId="1" applyNumberFormat="1" applyFont="1" applyFill="1" applyBorder="1" applyProtection="1">
      <protection locked="0"/>
    </xf>
    <xf numFmtId="41" fontId="27" fillId="0" borderId="3" xfId="0" applyNumberFormat="1" applyFont="1" applyBorder="1" applyProtection="1">
      <protection locked="0"/>
    </xf>
    <xf numFmtId="41" fontId="27" fillId="0" borderId="0" xfId="0" applyNumberFormat="1" applyFont="1" applyBorder="1"/>
    <xf numFmtId="41" fontId="27" fillId="0" borderId="4" xfId="1" applyNumberFormat="1" applyFont="1" applyFill="1" applyBorder="1" applyProtection="1">
      <protection locked="0"/>
    </xf>
    <xf numFmtId="41" fontId="27" fillId="0" borderId="0" xfId="0" applyNumberFormat="1" applyFont="1" applyFill="1" applyBorder="1"/>
    <xf numFmtId="41" fontId="27" fillId="0" borderId="7" xfId="0" applyNumberFormat="1" applyFont="1" applyBorder="1"/>
    <xf numFmtId="41" fontId="27" fillId="0" borderId="5" xfId="0" applyNumberFormat="1" applyFont="1" applyBorder="1"/>
    <xf numFmtId="41" fontId="27" fillId="0" borderId="6" xfId="0" applyNumberFormat="1" applyFont="1" applyBorder="1"/>
    <xf numFmtId="10" fontId="27" fillId="0" borderId="0" xfId="2" applyNumberFormat="1" applyFont="1" applyAlignment="1">
      <alignment horizontal="right"/>
    </xf>
    <xf numFmtId="41" fontId="27" fillId="0" borderId="0" xfId="0" applyNumberFormat="1" applyFont="1"/>
    <xf numFmtId="41" fontId="27" fillId="0" borderId="0" xfId="0" applyNumberFormat="1" applyFont="1" applyFill="1"/>
    <xf numFmtId="168" fontId="27" fillId="0" borderId="0" xfId="1" applyNumberFormat="1" applyFont="1"/>
    <xf numFmtId="41" fontId="30" fillId="0" borderId="0" xfId="0" applyNumberFormat="1" applyFont="1" applyFill="1" applyBorder="1"/>
    <xf numFmtId="164" fontId="30" fillId="0" borderId="0" xfId="1" applyNumberFormat="1" applyFont="1" applyFill="1" applyBorder="1"/>
    <xf numFmtId="41" fontId="30" fillId="0" borderId="0" xfId="0" applyNumberFormat="1" applyFont="1" applyFill="1" applyAlignment="1"/>
    <xf numFmtId="0" fontId="24" fillId="0" borderId="0" xfId="0" applyFont="1"/>
    <xf numFmtId="10" fontId="27" fillId="0" borderId="10" xfId="2" applyNumberFormat="1" applyFont="1" applyFill="1" applyBorder="1" applyAlignment="1" applyProtection="1">
      <alignment horizontal="center"/>
      <protection locked="0"/>
    </xf>
    <xf numFmtId="0" fontId="27" fillId="0" borderId="10" xfId="0" applyNumberFormat="1" applyFont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64" fontId="30" fillId="0" borderId="0" xfId="1" applyNumberFormat="1" applyFont="1" applyFill="1" applyBorder="1" applyAlignment="1">
      <alignment horizontal="center"/>
    </xf>
    <xf numFmtId="10" fontId="27" fillId="0" borderId="11" xfId="2" applyNumberFormat="1" applyFont="1" applyFill="1" applyBorder="1"/>
    <xf numFmtId="3" fontId="27" fillId="0" borderId="11" xfId="0" applyNumberFormat="1" applyFont="1" applyBorder="1"/>
    <xf numFmtId="3" fontId="30" fillId="0" borderId="0" xfId="0" quotePrefix="1" applyNumberFormat="1" applyFont="1" applyFill="1" applyBorder="1" applyAlignment="1">
      <alignment horizontal="center"/>
    </xf>
    <xf numFmtId="164" fontId="30" fillId="0" borderId="0" xfId="1" quotePrefix="1" applyNumberFormat="1" applyFont="1" applyFill="1" applyBorder="1" applyAlignment="1">
      <alignment horizontal="center"/>
    </xf>
    <xf numFmtId="10" fontId="27" fillId="0" borderId="11" xfId="2" applyNumberFormat="1" applyFont="1" applyFill="1" applyBorder="1" applyProtection="1">
      <protection locked="0"/>
    </xf>
    <xf numFmtId="168" fontId="27" fillId="0" borderId="11" xfId="1" applyNumberFormat="1" applyFont="1" applyFill="1" applyBorder="1" applyProtection="1">
      <protection locked="0"/>
    </xf>
    <xf numFmtId="3" fontId="30" fillId="0" borderId="0" xfId="0" applyNumberFormat="1" applyFont="1" applyFill="1" applyBorder="1"/>
    <xf numFmtId="3" fontId="27" fillId="0" borderId="0" xfId="0" applyNumberFormat="1" applyFont="1" applyFill="1" applyBorder="1"/>
    <xf numFmtId="168" fontId="29" fillId="0" borderId="3" xfId="1" applyNumberFormat="1" applyFont="1" applyFill="1" applyBorder="1" applyProtection="1">
      <protection locked="0"/>
    </xf>
    <xf numFmtId="168" fontId="29" fillId="0" borderId="11" xfId="1" applyNumberFormat="1" applyFont="1" applyFill="1" applyBorder="1" applyProtection="1">
      <protection locked="0"/>
    </xf>
    <xf numFmtId="43" fontId="31" fillId="0" borderId="0" xfId="1" applyFont="1" applyFill="1"/>
    <xf numFmtId="3" fontId="27" fillId="0" borderId="11" xfId="0" applyNumberFormat="1" applyFont="1" applyFill="1" applyBorder="1"/>
    <xf numFmtId="3" fontId="30" fillId="0" borderId="0" xfId="0" applyNumberFormat="1" applyFont="1" applyFill="1"/>
    <xf numFmtId="0" fontId="27" fillId="0" borderId="11" xfId="0" applyFont="1" applyFill="1" applyBorder="1"/>
    <xf numFmtId="171" fontId="27" fillId="0" borderId="0" xfId="1" applyNumberFormat="1" applyFont="1" applyFill="1"/>
    <xf numFmtId="43" fontId="27" fillId="0" borderId="0" xfId="1" applyFont="1" applyFill="1"/>
    <xf numFmtId="164" fontId="32" fillId="0" borderId="11" xfId="1" applyNumberFormat="1" applyFont="1" applyFill="1" applyBorder="1"/>
    <xf numFmtId="168" fontId="33" fillId="0" borderId="0" xfId="1" applyNumberFormat="1" applyFont="1"/>
    <xf numFmtId="10" fontId="27" fillId="0" borderId="3" xfId="2" applyNumberFormat="1" applyFont="1" applyFill="1" applyBorder="1"/>
    <xf numFmtId="164" fontId="34" fillId="0" borderId="11" xfId="1" applyNumberFormat="1" applyFont="1" applyFill="1" applyBorder="1"/>
    <xf numFmtId="167" fontId="27" fillId="0" borderId="0" xfId="2" applyNumberFormat="1" applyFont="1"/>
    <xf numFmtId="10" fontId="27" fillId="0" borderId="5" xfId="2" applyNumberFormat="1" applyFont="1" applyFill="1" applyBorder="1"/>
    <xf numFmtId="10" fontId="27" fillId="0" borderId="9" xfId="2" applyNumberFormat="1" applyFont="1" applyFill="1" applyBorder="1"/>
    <xf numFmtId="3" fontId="27" fillId="0" borderId="0" xfId="0" applyNumberFormat="1" applyFont="1"/>
    <xf numFmtId="10" fontId="27" fillId="0" borderId="0" xfId="2" applyNumberFormat="1" applyFont="1" applyFill="1" applyBorder="1"/>
    <xf numFmtId="168" fontId="31" fillId="0" borderId="0" xfId="1" applyNumberFormat="1" applyFont="1"/>
    <xf numFmtId="0" fontId="30" fillId="0" borderId="0" xfId="0" applyFont="1"/>
    <xf numFmtId="165" fontId="35" fillId="0" borderId="0" xfId="3" applyNumberFormat="1" applyFont="1"/>
    <xf numFmtId="165" fontId="35" fillId="0" borderId="0" xfId="0" applyNumberFormat="1" applyFont="1"/>
    <xf numFmtId="10" fontId="30" fillId="0" borderId="0" xfId="2" applyNumberFormat="1" applyFont="1"/>
    <xf numFmtId="10" fontId="27" fillId="0" borderId="12" xfId="2" applyNumberFormat="1" applyFont="1" applyBorder="1"/>
    <xf numFmtId="10" fontId="27" fillId="0" borderId="12" xfId="0" applyNumberFormat="1" applyFont="1" applyBorder="1"/>
    <xf numFmtId="168" fontId="27" fillId="0" borderId="12" xfId="1" applyNumberFormat="1" applyFont="1" applyFill="1" applyBorder="1" applyProtection="1">
      <protection locked="0"/>
    </xf>
    <xf numFmtId="44" fontId="0" fillId="0" borderId="0" xfId="0" applyNumberFormat="1"/>
    <xf numFmtId="0" fontId="38" fillId="0" borderId="0" xfId="0" applyFont="1"/>
    <xf numFmtId="167" fontId="38" fillId="0" borderId="14" xfId="2" applyNumberFormat="1" applyFont="1" applyBorder="1" applyAlignment="1">
      <alignment horizontal="center"/>
    </xf>
    <xf numFmtId="165" fontId="38" fillId="0" borderId="15" xfId="3" applyNumberFormat="1" applyFont="1" applyBorder="1"/>
    <xf numFmtId="0" fontId="38" fillId="0" borderId="13" xfId="0" applyFont="1" applyBorder="1" applyAlignment="1">
      <alignment wrapText="1"/>
    </xf>
    <xf numFmtId="0" fontId="15" fillId="0" borderId="0" xfId="0" applyFont="1" applyBorder="1"/>
    <xf numFmtId="165" fontId="27" fillId="0" borderId="0" xfId="0" applyNumberFormat="1" applyFont="1"/>
    <xf numFmtId="164" fontId="27" fillId="0" borderId="0" xfId="1" applyNumberFormat="1" applyFont="1"/>
    <xf numFmtId="165" fontId="39" fillId="0" borderId="0" xfId="0" applyNumberFormat="1" applyFont="1"/>
    <xf numFmtId="9" fontId="27" fillId="0" borderId="0" xfId="2" applyFont="1"/>
    <xf numFmtId="164" fontId="27" fillId="0" borderId="0" xfId="0" applyNumberFormat="1" applyFont="1"/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/>
    <xf numFmtId="0" fontId="21" fillId="5" borderId="19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0" fillId="0" borderId="0" xfId="0" applyFont="1" applyAlignment="1"/>
    <xf numFmtId="0" fontId="21" fillId="6" borderId="18" xfId="0" applyFont="1" applyFill="1" applyBorder="1" applyAlignment="1">
      <alignment vertical="center"/>
    </xf>
    <xf numFmtId="0" fontId="21" fillId="6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justify" vertical="center"/>
    </xf>
    <xf numFmtId="0" fontId="20" fillId="0" borderId="17" xfId="0" applyFont="1" applyBorder="1" applyAlignment="1">
      <alignment horizontal="center" vertical="center"/>
    </xf>
    <xf numFmtId="167" fontId="20" fillId="0" borderId="17" xfId="2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justify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/>
    <xf numFmtId="4" fontId="20" fillId="0" borderId="17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10" fontId="20" fillId="0" borderId="17" xfId="0" applyNumberFormat="1" applyFont="1" applyBorder="1" applyAlignment="1">
      <alignment horizontal="center" vertical="center"/>
    </xf>
    <xf numFmtId="10" fontId="20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0" fontId="40" fillId="0" borderId="0" xfId="0" applyFont="1" applyAlignment="1"/>
    <xf numFmtId="0" fontId="21" fillId="5" borderId="21" xfId="0" applyFont="1" applyFill="1" applyBorder="1" applyAlignment="1">
      <alignment horizontal="center" vertical="center"/>
    </xf>
    <xf numFmtId="167" fontId="41" fillId="0" borderId="12" xfId="2" applyNumberFormat="1" applyFont="1" applyBorder="1"/>
    <xf numFmtId="164" fontId="41" fillId="0" borderId="12" xfId="1" applyNumberFormat="1" applyFont="1" applyBorder="1"/>
    <xf numFmtId="0" fontId="41" fillId="0" borderId="12" xfId="0" applyFont="1" applyBorder="1" applyAlignment="1">
      <alignment horizontal="center"/>
    </xf>
    <xf numFmtId="41" fontId="41" fillId="0" borderId="12" xfId="0" applyNumberFormat="1" applyFont="1" applyBorder="1"/>
    <xf numFmtId="3" fontId="41" fillId="0" borderId="12" xfId="0" quotePrefix="1" applyNumberFormat="1" applyFont="1" applyFill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167" fontId="41" fillId="0" borderId="12" xfId="2" applyNumberFormat="1" applyFont="1" applyBorder="1" applyAlignment="1">
      <alignment horizontal="center" wrapText="1"/>
    </xf>
    <xf numFmtId="41" fontId="41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164" fontId="10" fillId="0" borderId="12" xfId="1" applyNumberFormat="1" applyFont="1" applyBorder="1"/>
    <xf numFmtId="164" fontId="10" fillId="0" borderId="12" xfId="1" quotePrefix="1" applyNumberFormat="1" applyFont="1" applyFill="1" applyBorder="1" applyAlignment="1">
      <alignment horizontal="center"/>
    </xf>
    <xf numFmtId="3" fontId="41" fillId="0" borderId="12" xfId="0" quotePrefix="1" applyNumberFormat="1" applyFont="1" applyFill="1" applyBorder="1" applyAlignment="1">
      <alignment horizontal="center"/>
    </xf>
    <xf numFmtId="167" fontId="41" fillId="0" borderId="12" xfId="2" quotePrefix="1" applyNumberFormat="1" applyFont="1" applyFill="1" applyBorder="1" applyAlignment="1">
      <alignment horizontal="center"/>
    </xf>
    <xf numFmtId="168" fontId="10" fillId="0" borderId="12" xfId="1" applyNumberFormat="1" applyFont="1" applyBorder="1"/>
    <xf numFmtId="168" fontId="10" fillId="0" borderId="12" xfId="0" applyNumberFormat="1" applyFont="1" applyBorder="1"/>
    <xf numFmtId="166" fontId="10" fillId="0" borderId="12" xfId="3" applyNumberFormat="1" applyFont="1" applyBorder="1"/>
    <xf numFmtId="44" fontId="10" fillId="0" borderId="12" xfId="3" quotePrefix="1" applyNumberFormat="1" applyFont="1" applyFill="1" applyBorder="1" applyAlignment="1">
      <alignment horizontal="center"/>
    </xf>
    <xf numFmtId="44" fontId="10" fillId="0" borderId="12" xfId="3" quotePrefix="1" applyFont="1" applyFill="1" applyBorder="1" applyAlignment="1">
      <alignment horizontal="center"/>
    </xf>
    <xf numFmtId="3" fontId="10" fillId="0" borderId="12" xfId="0" quotePrefix="1" applyNumberFormat="1" applyFont="1" applyFill="1" applyBorder="1" applyAlignment="1">
      <alignment horizontal="center"/>
    </xf>
    <xf numFmtId="167" fontId="10" fillId="0" borderId="12" xfId="2" quotePrefix="1" applyNumberFormat="1" applyFont="1" applyFill="1" applyBorder="1" applyAlignment="1">
      <alignment horizontal="center"/>
    </xf>
    <xf numFmtId="164" fontId="10" fillId="0" borderId="12" xfId="0" applyNumberFormat="1" applyFont="1" applyBorder="1"/>
    <xf numFmtId="0" fontId="10" fillId="0" borderId="0" xfId="0" applyFont="1" applyAlignment="1">
      <alignment horizontal="center"/>
    </xf>
    <xf numFmtId="164" fontId="10" fillId="0" borderId="0" xfId="1" applyNumberFormat="1" applyFont="1"/>
    <xf numFmtId="164" fontId="10" fillId="0" borderId="0" xfId="0" applyNumberFormat="1" applyFont="1"/>
    <xf numFmtId="3" fontId="41" fillId="0" borderId="0" xfId="0" quotePrefix="1" applyNumberFormat="1" applyFont="1" applyFill="1" applyBorder="1" applyAlignment="1">
      <alignment horizontal="center"/>
    </xf>
    <xf numFmtId="167" fontId="41" fillId="0" borderId="0" xfId="2" quotePrefix="1" applyNumberFormat="1" applyFont="1" applyFill="1" applyBorder="1" applyAlignment="1">
      <alignment horizontal="center"/>
    </xf>
    <xf numFmtId="168" fontId="10" fillId="0" borderId="0" xfId="1" applyNumberFormat="1" applyFont="1"/>
    <xf numFmtId="168" fontId="10" fillId="0" borderId="0" xfId="0" applyNumberFormat="1" applyFont="1"/>
    <xf numFmtId="166" fontId="10" fillId="0" borderId="0" xfId="3" applyNumberFormat="1" applyFont="1"/>
    <xf numFmtId="44" fontId="41" fillId="0" borderId="0" xfId="3" quotePrefix="1" applyNumberFormat="1" applyFont="1" applyFill="1" applyBorder="1" applyAlignment="1">
      <alignment horizontal="center"/>
    </xf>
    <xf numFmtId="44" fontId="41" fillId="0" borderId="0" xfId="3" quotePrefix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0" fillId="0" borderId="0" xfId="0" applyFont="1"/>
    <xf numFmtId="164" fontId="10" fillId="0" borderId="3" xfId="1" quotePrefix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164" fontId="10" fillId="0" borderId="0" xfId="1" applyNumberFormat="1" applyFont="1" applyBorder="1"/>
    <xf numFmtId="164" fontId="10" fillId="0" borderId="4" xfId="0" applyNumberFormat="1" applyFont="1" applyBorder="1"/>
    <xf numFmtId="0" fontId="10" fillId="0" borderId="5" xfId="0" applyFont="1" applyBorder="1" applyAlignment="1">
      <alignment horizontal="center"/>
    </xf>
    <xf numFmtId="164" fontId="10" fillId="0" borderId="6" xfId="1" applyNumberFormat="1" applyFont="1" applyBorder="1"/>
    <xf numFmtId="164" fontId="10" fillId="0" borderId="7" xfId="0" applyNumberFormat="1" applyFont="1" applyBorder="1"/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FIN\Budgets%20-%202023-2027\Forecast\Sales%20Frcst%20-%20BP%202023-202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users\FIN\Regulation\Applications%20and%20Filings\Rate%20Applications\2021\2021%20GRA%20Forecast\GRA%20Base%20Case%20March%202022\FinFrcst%20-%20Base%20c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FIN\Regulation\Applications%20and%20Filings\Rate%20Applications\2022\GRA%20Forecast\GRA%20Base%20Case%20March%202022\FinFrcst%20-%20Base%20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"/>
      <sheetName val="Sheet1"/>
      <sheetName val="Instructions"/>
      <sheetName val="ChartData"/>
      <sheetName val="Charts"/>
      <sheetName val="BP Inputs"/>
      <sheetName val="RateCase"/>
      <sheetName val="ProrateMarRev"/>
      <sheetName val="Monthly"/>
      <sheetName val="5 Year Plan"/>
      <sheetName val="Current Forecast"/>
      <sheetName val="RES"/>
      <sheetName val="GS1"/>
      <sheetName val="GS2"/>
      <sheetName val="LInd"/>
      <sheetName val="SInd"/>
      <sheetName val="SL"/>
      <sheetName val="UM"/>
      <sheetName val="WS"/>
      <sheetName val="Ratios"/>
      <sheetName val="Growth"/>
      <sheetName val="Actual kWh"/>
      <sheetName val="Actual $"/>
      <sheetName val="Hist_Data"/>
      <sheetName val="Other Revenue"/>
      <sheetName val="SalesNPP"/>
      <sheetName val="Model"/>
      <sheetName val="Regressions"/>
      <sheetName val="Rate Increases"/>
      <sheetName val="Normalization"/>
      <sheetName val="Peak forecast"/>
      <sheetName val="Data CB730(6)"/>
      <sheetName val="CB730 (summ)"/>
      <sheetName val="Monthly Billin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G15">
            <v>1391748.933931804</v>
          </cell>
          <cell r="H15">
            <v>1412245.2257378467</v>
          </cell>
          <cell r="I15">
            <v>1431086.9631985931</v>
          </cell>
          <cell r="N15">
            <v>1454556.7893950499</v>
          </cell>
          <cell r="O15">
            <v>1478411.5207411286</v>
          </cell>
          <cell r="P15">
            <v>1502657.469681283</v>
          </cell>
          <cell r="Q15">
            <v>1527301.052184056</v>
          </cell>
          <cell r="R15">
            <v>1552348.7894398745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Notes"/>
      <sheetName val="BusinessPlan"/>
      <sheetName val="RateCaseFS"/>
      <sheetName val="RateBase"/>
      <sheetName val="Log"/>
      <sheetName val="Updates from 2020 Rate version"/>
      <sheetName val="Pg1"/>
      <sheetName val="Pg2"/>
      <sheetName val="Pg3"/>
      <sheetName val="Pg4"/>
      <sheetName val="IS"/>
      <sheetName val="BS"/>
      <sheetName val="CashFlow"/>
      <sheetName val="CASH"/>
      <sheetName val="Actual"/>
      <sheetName val="True-up"/>
      <sheetName val="Actuals"/>
      <sheetName val="Tax"/>
      <sheetName val="CostCapital"/>
      <sheetName val="Deferred"/>
      <sheetName val="Capital"/>
      <sheetName val="Bonds"/>
      <sheetName val="FITL"/>
      <sheetName val="Variance"/>
      <sheetName val="Operating"/>
      <sheetName val="CapBudget"/>
      <sheetName val="Budget"/>
      <sheetName val="06Capital"/>
      <sheetName val="SCFP"/>
      <sheetName val="Balance"/>
      <sheetName val="IncStmt"/>
      <sheetName val="Var"/>
      <sheetName val="SCFPold"/>
      <sheetName val="OldPg4"/>
      <sheetName val="Sheet1"/>
      <sheetName val="Plan Inputs"/>
      <sheetName val="Energy Input"/>
      <sheetName val="Chart for Strategic Issues"/>
      <sheetName val="Chart for Strategic Issues (2)"/>
      <sheetName val="Capital Chart for BOD Pres"/>
      <sheetName val="T &amp; D Capital Chart BOD Pres"/>
    </sheetNames>
    <sheetDataSet>
      <sheetData sheetId="0"/>
      <sheetData sheetId="1"/>
      <sheetData sheetId="2"/>
      <sheetData sheetId="3"/>
      <sheetData sheetId="4">
        <row r="167">
          <cell r="E167">
            <v>468293900</v>
          </cell>
        </row>
        <row r="168">
          <cell r="E168">
            <v>471022500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Notes"/>
      <sheetName val="BusinessPlan"/>
      <sheetName val="RateCaseFS"/>
      <sheetName val="RateBase"/>
      <sheetName val="Log"/>
      <sheetName val="Updates from 2020 Rate version"/>
      <sheetName val="Pg1"/>
      <sheetName val="Pg2"/>
      <sheetName val="Pg3"/>
      <sheetName val="Pg4"/>
      <sheetName val="IS"/>
      <sheetName val="BS"/>
      <sheetName val="CashFlow"/>
      <sheetName val="CASH"/>
      <sheetName val="Actual"/>
      <sheetName val="True-up"/>
      <sheetName val="Actuals"/>
      <sheetName val="Tax"/>
      <sheetName val="CostCapital"/>
      <sheetName val="Deferred"/>
      <sheetName val="Capital"/>
      <sheetName val="Bonds"/>
      <sheetName val="FITL"/>
      <sheetName val="Variance"/>
      <sheetName val="Operating"/>
      <sheetName val="CapBudget"/>
      <sheetName val="Budget"/>
      <sheetName val="06Capital"/>
      <sheetName val="SCFP"/>
      <sheetName val="Balance"/>
      <sheetName val="IncStmt"/>
      <sheetName val="Var"/>
      <sheetName val="SCFPold"/>
      <sheetName val="OldPg4"/>
      <sheetName val="Sheet1"/>
      <sheetName val="Plan Inputs"/>
      <sheetName val="Energy Input"/>
      <sheetName val="Chart for Strategic Issues"/>
      <sheetName val="Chart for Strategic Issues (2)"/>
      <sheetName val="Capital Chart for BOD Pres"/>
      <sheetName val="T &amp; D Capital Chart BOD P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7">
          <cell r="AP27">
            <v>0</v>
          </cell>
          <cell r="BC27">
            <v>0</v>
          </cell>
          <cell r="BK27">
            <v>0</v>
          </cell>
          <cell r="BS27">
            <v>0</v>
          </cell>
        </row>
        <row r="37">
          <cell r="AP37">
            <v>0</v>
          </cell>
          <cell r="BC37">
            <v>0</v>
          </cell>
          <cell r="BK37">
            <v>0</v>
          </cell>
          <cell r="BP37">
            <v>0</v>
          </cell>
          <cell r="BS37"/>
          <cell r="BX37"/>
          <cell r="CF37"/>
          <cell r="CJ37"/>
        </row>
        <row r="40">
          <cell r="AP40">
            <v>10000000</v>
          </cell>
          <cell r="BC40">
            <v>12100000</v>
          </cell>
          <cell r="BP40">
            <v>14900000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E2366-F752-4202-90A5-BF7EFC4FE7A3}">
  <dimension ref="A2:P25"/>
  <sheetViews>
    <sheetView tabSelected="1" workbookViewId="0">
      <selection activeCell="N4" sqref="N4"/>
    </sheetView>
  </sheetViews>
  <sheetFormatPr defaultRowHeight="12.75" x14ac:dyDescent="0.2"/>
  <cols>
    <col min="1" max="1" width="8.140625" style="1" customWidth="1"/>
    <col min="2" max="2" width="19.28515625" style="1" bestFit="1" customWidth="1"/>
    <col min="3" max="3" width="17" style="1" bestFit="1" customWidth="1"/>
    <col min="4" max="4" width="11.28515625" style="1" bestFit="1" customWidth="1"/>
    <col min="5" max="5" width="20.140625" style="1" bestFit="1" customWidth="1"/>
    <col min="6" max="6" width="12.28515625" style="1" bestFit="1" customWidth="1"/>
    <col min="7" max="7" width="10.5703125" style="1" bestFit="1" customWidth="1"/>
    <col min="8" max="8" width="9.28515625" style="1" bestFit="1" customWidth="1"/>
    <col min="9" max="9" width="13.28515625" style="1" customWidth="1"/>
    <col min="10" max="10" width="8.7109375" style="1" bestFit="1" customWidth="1"/>
    <col min="11" max="11" width="14.28515625" style="1" customWidth="1"/>
    <col min="12" max="12" width="12.7109375" style="1" customWidth="1"/>
    <col min="13" max="13" width="14" style="1" bestFit="1" customWidth="1"/>
    <col min="14" max="14" width="9.7109375" style="1" bestFit="1" customWidth="1"/>
    <col min="15" max="16" width="12.42578125" style="1" bestFit="1" customWidth="1"/>
    <col min="17" max="16384" width="9.140625" style="1"/>
  </cols>
  <sheetData>
    <row r="2" spans="1:16" ht="63.75" x14ac:dyDescent="0.2">
      <c r="A2" s="256" t="s">
        <v>282</v>
      </c>
      <c r="B2" s="257" t="s">
        <v>261</v>
      </c>
      <c r="C2" s="257" t="s">
        <v>263</v>
      </c>
      <c r="D2" s="258" t="s">
        <v>262</v>
      </c>
      <c r="E2" s="259" t="s">
        <v>259</v>
      </c>
      <c r="F2" s="260" t="s">
        <v>264</v>
      </c>
      <c r="G2" s="260" t="s">
        <v>266</v>
      </c>
      <c r="H2" s="261" t="s">
        <v>278</v>
      </c>
      <c r="I2" s="261" t="s">
        <v>268</v>
      </c>
      <c r="J2" s="261" t="s">
        <v>273</v>
      </c>
      <c r="K2" s="262" t="s">
        <v>269</v>
      </c>
      <c r="L2" s="261" t="s">
        <v>288</v>
      </c>
      <c r="M2" s="261" t="s">
        <v>289</v>
      </c>
      <c r="N2" s="263" t="s">
        <v>274</v>
      </c>
      <c r="O2" s="260" t="s">
        <v>279</v>
      </c>
      <c r="P2" s="260" t="s">
        <v>280</v>
      </c>
    </row>
    <row r="3" spans="1:16" x14ac:dyDescent="0.2">
      <c r="A3" s="264">
        <v>2023</v>
      </c>
      <c r="B3" s="265">
        <v>142000</v>
      </c>
      <c r="C3" s="265">
        <f>ROUND(B3/(1-17%)*17%,-3)</f>
        <v>29000</v>
      </c>
      <c r="D3" s="265">
        <f>+'Annual Depreciation and CCA'!D49+C3</f>
        <v>169125.6</v>
      </c>
      <c r="E3" s="266">
        <f>(+'Annual Depreciation and CCA'!D62)*-1</f>
        <v>-4701.3360000000002</v>
      </c>
      <c r="F3" s="267">
        <f t="shared" ref="F3:F10" si="0">ROUND(+D3+E3,-3)</f>
        <v>164000</v>
      </c>
      <c r="G3" s="268">
        <f>+F3/('2030 Rate Base &amp; Cost Capital'!E$28*1000)</f>
        <v>3.5659693457098564E-4</v>
      </c>
      <c r="H3" s="269">
        <f>ROUND(+F3*'2030 Rate Base &amp; Cost Capital'!E$26,-3)</f>
        <v>11000</v>
      </c>
      <c r="I3" s="269">
        <f>ROUND(+'Annual Depreciation and CCA'!D45,-3)</f>
        <v>2000</v>
      </c>
      <c r="J3" s="269">
        <f>ROUND(+I14*0.31,-3)</f>
        <v>1000</v>
      </c>
      <c r="K3" s="270">
        <f t="shared" ref="K3:K10" si="1">+H3+I3+J3</f>
        <v>14000</v>
      </c>
      <c r="L3" s="265">
        <f t="shared" ref="L3:L10" si="2">ROUND(+K3*0.805,-3)</f>
        <v>11000</v>
      </c>
      <c r="M3" s="265">
        <f>ROUND(+'[1]5 Year Plan'!$G$15*1000,-3)</f>
        <v>1391749000</v>
      </c>
      <c r="N3" s="271">
        <f t="shared" ref="N3:N10" si="3">ROUND(+L3/M3,5)</f>
        <v>1.0000000000000001E-5</v>
      </c>
      <c r="O3" s="272">
        <f t="shared" ref="O3:O10" si="4">+N3*650*12</f>
        <v>7.8000000000000014E-2</v>
      </c>
      <c r="P3" s="273">
        <f t="shared" ref="P3:P10" si="5">+N3*10000*12</f>
        <v>1.2000000000000002</v>
      </c>
    </row>
    <row r="4" spans="1:16" x14ac:dyDescent="0.2">
      <c r="A4" s="264">
        <v>2024</v>
      </c>
      <c r="B4" s="265">
        <v>146000</v>
      </c>
      <c r="C4" s="265">
        <f>ROUND(B4/(1-17%)*17%,-3)</f>
        <v>30000</v>
      </c>
      <c r="D4" s="265">
        <f>+'Annual Depreciation and CCA'!E49+C4+C3</f>
        <v>339449.59999999998</v>
      </c>
      <c r="E4" s="266">
        <f>(+'Annual Depreciation and CCA'!E62)*-1</f>
        <v>-9661.5840000000007</v>
      </c>
      <c r="F4" s="267">
        <f t="shared" si="0"/>
        <v>330000</v>
      </c>
      <c r="G4" s="268">
        <f>+F4/('2030 Rate Base &amp; Cost Capital'!E$28*1000)</f>
        <v>7.1754261224649541E-4</v>
      </c>
      <c r="H4" s="269">
        <f>ROUND(+F4*'2030 Rate Base &amp; Cost Capital'!E$26,-3)</f>
        <v>23000</v>
      </c>
      <c r="I4" s="269">
        <f>ROUND(+'Annual Depreciation and CCA'!E45,-3)</f>
        <v>6000</v>
      </c>
      <c r="J4" s="269">
        <f>ROUND(+I15*0.31,-3)</f>
        <v>3000</v>
      </c>
      <c r="K4" s="270">
        <f t="shared" si="1"/>
        <v>32000</v>
      </c>
      <c r="L4" s="265">
        <f t="shared" si="2"/>
        <v>26000</v>
      </c>
      <c r="M4" s="265">
        <f>ROUND(+'[1]5 Year Plan'!$H$15*1000,-3)</f>
        <v>1412245000</v>
      </c>
      <c r="N4" s="271">
        <f t="shared" si="3"/>
        <v>2.0000000000000002E-5</v>
      </c>
      <c r="O4" s="272">
        <f t="shared" si="4"/>
        <v>0.15600000000000003</v>
      </c>
      <c r="P4" s="273">
        <f t="shared" si="5"/>
        <v>2.4000000000000004</v>
      </c>
    </row>
    <row r="5" spans="1:16" x14ac:dyDescent="0.2">
      <c r="A5" s="264">
        <v>2025</v>
      </c>
      <c r="B5" s="265">
        <v>0</v>
      </c>
      <c r="C5" s="265">
        <v>0</v>
      </c>
      <c r="D5" s="265">
        <f>+'Annual Depreciation and CCA'!F49+C5+C4+C3</f>
        <v>331846.39999999997</v>
      </c>
      <c r="E5" s="266">
        <f>(+'Annual Depreciation and CCA'!F62)*-1</f>
        <v>-13486.815360000001</v>
      </c>
      <c r="F5" s="267">
        <f t="shared" si="0"/>
        <v>318000</v>
      </c>
      <c r="G5" s="268">
        <f>+F5/('2030 Rate Base &amp; Cost Capital'!E$28*1000)</f>
        <v>6.9145015361935013E-4</v>
      </c>
      <c r="H5" s="269">
        <f>ROUND(+F5*'2030 Rate Base &amp; Cost Capital'!E$26,-3)</f>
        <v>22000</v>
      </c>
      <c r="I5" s="269">
        <f>ROUND(+'Annual Depreciation and CCA'!F45,-3)</f>
        <v>8000</v>
      </c>
      <c r="J5" s="269">
        <f>ROUND(+I16*0.31,-3)</f>
        <v>3000</v>
      </c>
      <c r="K5" s="270">
        <f t="shared" si="1"/>
        <v>33000</v>
      </c>
      <c r="L5" s="265">
        <f t="shared" si="2"/>
        <v>27000</v>
      </c>
      <c r="M5" s="265">
        <f>ROUND(+'[1]5 Year Plan'!$I$15*1000,-3)</f>
        <v>1431087000</v>
      </c>
      <c r="N5" s="271">
        <f t="shared" si="3"/>
        <v>2.0000000000000002E-5</v>
      </c>
      <c r="O5" s="272">
        <f t="shared" si="4"/>
        <v>0.15600000000000003</v>
      </c>
      <c r="P5" s="273">
        <f t="shared" si="5"/>
        <v>2.4000000000000004</v>
      </c>
    </row>
    <row r="6" spans="1:16" x14ac:dyDescent="0.2">
      <c r="A6" s="264">
        <v>2026</v>
      </c>
      <c r="B6" s="265">
        <v>2138000</v>
      </c>
      <c r="C6" s="265">
        <f>ROUND(B6/(1-17%)*17%,-3)</f>
        <v>438000</v>
      </c>
      <c r="D6" s="265">
        <f>+'Annual Depreciation and CCA'!G49+C3+C4+C5+C6</f>
        <v>2872021.6</v>
      </c>
      <c r="E6" s="266">
        <f>(+'Annual Depreciation and CCA'!G62)*-1</f>
        <v>-61091.172851199997</v>
      </c>
      <c r="F6" s="274">
        <f t="shared" si="0"/>
        <v>2811000</v>
      </c>
      <c r="G6" s="275">
        <f>+F6/('2030 Rate Base &amp; Cost Capital'!E$28*1000)</f>
        <v>6.112158433408784E-3</v>
      </c>
      <c r="H6" s="269">
        <f>ROUND(+F6*'2030 Rate Base &amp; Cost Capital'!E$26,-3)</f>
        <v>194000</v>
      </c>
      <c r="I6" s="269">
        <f>ROUND('Annual Depreciation and CCA'!G45,-3)</f>
        <v>36000</v>
      </c>
      <c r="J6" s="269">
        <f>ROUND(+I17*0.31,-3)</f>
        <v>25000</v>
      </c>
      <c r="K6" s="270">
        <f t="shared" si="1"/>
        <v>255000</v>
      </c>
      <c r="L6" s="265">
        <f t="shared" si="2"/>
        <v>205000</v>
      </c>
      <c r="M6" s="265">
        <f>ROUND(+'[1]5 Year Plan'!$N$15*1000,-3)</f>
        <v>1454557000</v>
      </c>
      <c r="N6" s="271">
        <f t="shared" si="3"/>
        <v>1.3999999999999999E-4</v>
      </c>
      <c r="O6" s="272">
        <f t="shared" si="4"/>
        <v>1.0920000000000001</v>
      </c>
      <c r="P6" s="273">
        <f t="shared" si="5"/>
        <v>16.799999999999997</v>
      </c>
    </row>
    <row r="7" spans="1:16" x14ac:dyDescent="0.2">
      <c r="A7" s="264">
        <v>2027</v>
      </c>
      <c r="B7" s="265">
        <f>2228000+2094000</f>
        <v>4322000</v>
      </c>
      <c r="C7" s="265">
        <f>ROUND(B7/(1-17%)*17%,-3)</f>
        <v>885000</v>
      </c>
      <c r="D7" s="265">
        <f>+'Annual Depreciation and CCA'!H49+C3+C4+C5+C6+C7</f>
        <v>7957924.7999999998</v>
      </c>
      <c r="E7" s="266">
        <f>(+'Annual Depreciation and CCA'!H62)*-1</f>
        <v>-184750.00670310404</v>
      </c>
      <c r="F7" s="267">
        <f t="shared" si="0"/>
        <v>7773000</v>
      </c>
      <c r="G7" s="268">
        <f>+F7/('2030 Rate Base &amp; Cost Capital'!E$28*1000)</f>
        <v>1.6901390075733363E-2</v>
      </c>
      <c r="H7" s="269">
        <f>ROUND(+F7*'2030 Rate Base &amp; Cost Capital'!E$26,-3)</f>
        <v>535000</v>
      </c>
      <c r="I7" s="269">
        <f>ROUND('Annual Depreciation and CCA'!H45,-3)</f>
        <v>121000</v>
      </c>
      <c r="J7" s="269">
        <f>ROUND(+I18*0.31,-3)</f>
        <v>68000</v>
      </c>
      <c r="K7" s="270">
        <f t="shared" si="1"/>
        <v>724000</v>
      </c>
      <c r="L7" s="265">
        <f t="shared" si="2"/>
        <v>583000</v>
      </c>
      <c r="M7" s="265">
        <f>ROUND(+'[1]5 Year Plan'!$O$15*1000,-3)</f>
        <v>1478412000</v>
      </c>
      <c r="N7" s="271">
        <f t="shared" si="3"/>
        <v>3.8999999999999999E-4</v>
      </c>
      <c r="O7" s="272">
        <f t="shared" si="4"/>
        <v>3.0419999999999998</v>
      </c>
      <c r="P7" s="273">
        <f t="shared" si="5"/>
        <v>46.8</v>
      </c>
    </row>
    <row r="8" spans="1:16" x14ac:dyDescent="0.2">
      <c r="A8" s="264">
        <v>2028</v>
      </c>
      <c r="B8" s="265">
        <f>2157000+279000</f>
        <v>2436000</v>
      </c>
      <c r="C8" s="265">
        <f>ROUND(B8/(1-17%)*17%,-3)</f>
        <v>499000</v>
      </c>
      <c r="D8" s="265">
        <f>+'Annual Depreciation and CCA'!I49+SUM(C3:C8)</f>
        <v>10682622.4</v>
      </c>
      <c r="E8" s="266">
        <f>(+'Annual Depreciation and CCA'!I62)*-1</f>
        <v>-298065.59720685572</v>
      </c>
      <c r="F8" s="267">
        <f t="shared" si="0"/>
        <v>10385000</v>
      </c>
      <c r="G8" s="268">
        <f>+F8/('2030 Rate Base &amp; Cost Capital'!E$28*1000)</f>
        <v>2.2580848570241986E-2</v>
      </c>
      <c r="H8" s="269">
        <f>ROUND(+F8*'2030 Rate Base &amp; Cost Capital'!E$26,-3)</f>
        <v>715000</v>
      </c>
      <c r="I8" s="269">
        <f>ROUND('Annual Depreciation and CCA'!I45,-3)</f>
        <v>210000</v>
      </c>
      <c r="J8" s="269">
        <f>ROUND(+I19*0.31,-3)</f>
        <v>91000</v>
      </c>
      <c r="K8" s="270">
        <f t="shared" si="1"/>
        <v>1016000</v>
      </c>
      <c r="L8" s="265">
        <f t="shared" si="2"/>
        <v>818000</v>
      </c>
      <c r="M8" s="265">
        <f>ROUND(+'[1]5 Year Plan'!$P$15*1000,-3)</f>
        <v>1502657000</v>
      </c>
      <c r="N8" s="271">
        <f t="shared" si="3"/>
        <v>5.4000000000000001E-4</v>
      </c>
      <c r="O8" s="272">
        <f t="shared" si="4"/>
        <v>4.2119999999999997</v>
      </c>
      <c r="P8" s="273">
        <f t="shared" si="5"/>
        <v>64.800000000000011</v>
      </c>
    </row>
    <row r="9" spans="1:16" x14ac:dyDescent="0.2">
      <c r="A9" s="264">
        <v>2029</v>
      </c>
      <c r="B9" s="265">
        <v>286000</v>
      </c>
      <c r="C9" s="265">
        <f>ROUND(B9/(1-17%)*17%,-3)</f>
        <v>59000</v>
      </c>
      <c r="D9" s="265">
        <f>+'Annual Depreciation and CCA'!J49+SUM(C3:C9)</f>
        <v>10781389.6</v>
      </c>
      <c r="E9" s="266">
        <f>(+'Annual Depreciation and CCA'!J62)*-1</f>
        <v>-419714.81695030729</v>
      </c>
      <c r="F9" s="274">
        <f t="shared" si="0"/>
        <v>10362000</v>
      </c>
      <c r="G9" s="275">
        <f>+F9/('2030 Rate Base &amp; Cost Capital'!E$28*1000)</f>
        <v>2.2530838024539958E-2</v>
      </c>
      <c r="H9" s="269">
        <f>ROUND(+F9*'2030 Rate Base &amp; Cost Capital'!E$26,-3)</f>
        <v>714000</v>
      </c>
      <c r="I9" s="269">
        <f>ROUND('Annual Depreciation and CCA'!J45,-3)</f>
        <v>246000</v>
      </c>
      <c r="J9" s="269">
        <f>ROUND(+I20*0.31,-3)</f>
        <v>90000</v>
      </c>
      <c r="K9" s="270">
        <f t="shared" si="1"/>
        <v>1050000</v>
      </c>
      <c r="L9" s="265">
        <f t="shared" si="2"/>
        <v>845000</v>
      </c>
      <c r="M9" s="265">
        <f>ROUND(+'[1]5 Year Plan'!$Q$15*1000,-3)</f>
        <v>1527301000</v>
      </c>
      <c r="N9" s="271">
        <f t="shared" si="3"/>
        <v>5.5000000000000003E-4</v>
      </c>
      <c r="O9" s="272">
        <f t="shared" si="4"/>
        <v>4.2900000000000009</v>
      </c>
      <c r="P9" s="273">
        <f t="shared" si="5"/>
        <v>66</v>
      </c>
    </row>
    <row r="10" spans="1:16" x14ac:dyDescent="0.2">
      <c r="A10" s="264">
        <v>2030</v>
      </c>
      <c r="B10" s="265">
        <v>0</v>
      </c>
      <c r="C10" s="265">
        <f>ROUND(B10/(1-17%)*17%,-3)</f>
        <v>0</v>
      </c>
      <c r="D10" s="265">
        <f>+'Annual Depreciation and CCA'!K49+SUM(C3:C10)</f>
        <v>10531381.6</v>
      </c>
      <c r="E10" s="276">
        <f>-'Annual Depreciation and CCA'!K62</f>
        <v>-527901.61367428268</v>
      </c>
      <c r="F10" s="267">
        <f t="shared" si="0"/>
        <v>10003000</v>
      </c>
      <c r="G10" s="268">
        <f>+F10/('2030 Rate Base &amp; Cost Capital'!E$28*1000)</f>
        <v>2.1750238637277861E-2</v>
      </c>
      <c r="H10" s="269">
        <f>ROUND(+F10*'2030 Rate Base &amp; Cost Capital'!E$26,-3)</f>
        <v>689000</v>
      </c>
      <c r="I10" s="269">
        <f>ROUND('Annual Depreciation and CCA'!K45,-3)</f>
        <v>250000</v>
      </c>
      <c r="J10" s="269">
        <f t="shared" ref="J10" si="6">ROUND(+I21*0.31,-3)</f>
        <v>87000</v>
      </c>
      <c r="K10" s="270">
        <f t="shared" si="1"/>
        <v>1026000</v>
      </c>
      <c r="L10" s="265">
        <f t="shared" si="2"/>
        <v>826000</v>
      </c>
      <c r="M10" s="265">
        <f>ROUND(+'[1]5 Year Plan'!$R$15*1000,-3)</f>
        <v>1552349000</v>
      </c>
      <c r="N10" s="271">
        <f t="shared" si="3"/>
        <v>5.2999999999999998E-4</v>
      </c>
      <c r="O10" s="272">
        <f t="shared" si="4"/>
        <v>4.1339999999999995</v>
      </c>
      <c r="P10" s="273">
        <f t="shared" si="5"/>
        <v>63.599999999999994</v>
      </c>
    </row>
    <row r="11" spans="1:16" x14ac:dyDescent="0.2">
      <c r="A11" s="277"/>
      <c r="B11" s="278"/>
      <c r="C11" s="278"/>
      <c r="D11" s="278"/>
      <c r="E11" s="279"/>
      <c r="F11" s="280"/>
      <c r="G11" s="281"/>
      <c r="H11" s="282"/>
      <c r="I11" s="282"/>
      <c r="J11" s="282"/>
      <c r="K11" s="283"/>
      <c r="L11" s="278"/>
      <c r="M11" s="278"/>
      <c r="N11" s="284"/>
      <c r="O11" s="285"/>
      <c r="P11" s="286"/>
    </row>
    <row r="12" spans="1:16" x14ac:dyDescent="0.2">
      <c r="A12" s="277"/>
      <c r="B12" s="278"/>
      <c r="C12" s="278"/>
      <c r="D12" s="278"/>
      <c r="E12" s="287" t="s">
        <v>281</v>
      </c>
      <c r="F12" s="288"/>
      <c r="G12" s="288"/>
      <c r="H12" s="288"/>
      <c r="I12" s="289"/>
      <c r="J12" s="282"/>
      <c r="K12" s="283"/>
      <c r="L12" s="278"/>
      <c r="M12" s="278"/>
      <c r="N12" s="284"/>
      <c r="O12" s="285"/>
      <c r="P12" s="286"/>
    </row>
    <row r="13" spans="1:16" ht="51" x14ac:dyDescent="0.2">
      <c r="A13" s="290"/>
      <c r="B13" s="278"/>
      <c r="C13" s="278"/>
      <c r="D13" s="278"/>
      <c r="E13" s="291"/>
      <c r="F13" s="292" t="s">
        <v>270</v>
      </c>
      <c r="G13" s="292" t="s">
        <v>272</v>
      </c>
      <c r="H13" s="292" t="s">
        <v>64</v>
      </c>
      <c r="I13" s="293" t="s">
        <v>271</v>
      </c>
      <c r="J13" s="290"/>
      <c r="K13" s="290"/>
      <c r="L13" s="290"/>
      <c r="M13" s="290"/>
      <c r="N13" s="290"/>
      <c r="O13" s="290"/>
      <c r="P13" s="290"/>
    </row>
    <row r="14" spans="1:16" x14ac:dyDescent="0.2">
      <c r="A14" s="290"/>
      <c r="B14" s="290"/>
      <c r="C14" s="290"/>
      <c r="D14" s="290"/>
      <c r="E14" s="294">
        <v>2023</v>
      </c>
      <c r="F14" s="295">
        <f>+F3*'2030 Rate Base &amp; Cost Capital'!E$25</f>
        <v>6495.8777808365421</v>
      </c>
      <c r="G14" s="295">
        <f t="shared" ref="G14:G21" si="7">F14/(1-31%)</f>
        <v>9414.315624400786</v>
      </c>
      <c r="H14" s="295">
        <f>-F3*'2030 Rate Base &amp; Cost Capital'!E$24</f>
        <v>-4800.2495088787819</v>
      </c>
      <c r="I14" s="296">
        <f t="shared" ref="I14:I21" si="8">SUM(G14:H14)</f>
        <v>4614.0661155220041</v>
      </c>
      <c r="J14" s="290"/>
      <c r="K14" s="290"/>
      <c r="L14" s="290"/>
      <c r="M14" s="290"/>
      <c r="N14" s="290"/>
      <c r="O14" s="290"/>
      <c r="P14" s="290"/>
    </row>
    <row r="15" spans="1:16" x14ac:dyDescent="0.2">
      <c r="A15" s="290"/>
      <c r="B15" s="290"/>
      <c r="C15" s="290"/>
      <c r="D15" s="290"/>
      <c r="E15" s="294">
        <v>2024</v>
      </c>
      <c r="F15" s="295">
        <f>+F4*'2030 Rate Base &amp; Cost Capital'!E$25</f>
        <v>13070.973583390603</v>
      </c>
      <c r="G15" s="295">
        <f t="shared" si="7"/>
        <v>18943.439975928413</v>
      </c>
      <c r="H15" s="295">
        <f>-F4*'2030 Rate Base &amp; Cost Capital'!E$24</f>
        <v>-9659.0386459146212</v>
      </c>
      <c r="I15" s="296">
        <f t="shared" si="8"/>
        <v>9284.4013300137922</v>
      </c>
      <c r="J15" s="290"/>
      <c r="K15" s="290"/>
      <c r="L15" s="290"/>
      <c r="M15" s="290"/>
      <c r="N15" s="290"/>
      <c r="O15" s="290"/>
      <c r="P15" s="290"/>
    </row>
    <row r="16" spans="1:16" x14ac:dyDescent="0.2">
      <c r="A16" s="290"/>
      <c r="B16" s="290"/>
      <c r="C16" s="290"/>
      <c r="D16" s="290"/>
      <c r="E16" s="294">
        <v>2025</v>
      </c>
      <c r="F16" s="295">
        <f>+F5*'2030 Rate Base &amp; Cost Capital'!E$25</f>
        <v>12595.66545308549</v>
      </c>
      <c r="G16" s="295">
        <f t="shared" si="7"/>
        <v>18254.587613167379</v>
      </c>
      <c r="H16" s="295">
        <f>-F5*'2030 Rate Base &amp; Cost Capital'!E$24</f>
        <v>-9307.8008769722728</v>
      </c>
      <c r="I16" s="296">
        <f t="shared" si="8"/>
        <v>8946.7867361951066</v>
      </c>
      <c r="J16" s="290"/>
      <c r="K16" s="290"/>
      <c r="L16" s="290"/>
      <c r="M16" s="290"/>
      <c r="N16" s="290"/>
      <c r="O16" s="290"/>
      <c r="P16" s="290"/>
    </row>
    <row r="17" spans="1:16" x14ac:dyDescent="0.2">
      <c r="A17" s="290"/>
      <c r="B17" s="290"/>
      <c r="C17" s="290"/>
      <c r="D17" s="290"/>
      <c r="E17" s="294">
        <v>2026</v>
      </c>
      <c r="F17" s="295">
        <f>+F6*'2030 Rate Base &amp; Cost Capital'!E$25</f>
        <v>111340.92952397268</v>
      </c>
      <c r="G17" s="295">
        <f t="shared" si="7"/>
        <v>161363.665976772</v>
      </c>
      <c r="H17" s="295">
        <f>-F6*'2030 Rate Base &amp; Cost Capital'!E$24</f>
        <v>-82277.447374745461</v>
      </c>
      <c r="I17" s="296">
        <f t="shared" si="8"/>
        <v>79086.218602026536</v>
      </c>
      <c r="J17" s="290"/>
      <c r="K17" s="290"/>
      <c r="L17" s="290"/>
      <c r="M17" s="290"/>
      <c r="N17" s="290"/>
      <c r="O17" s="290"/>
      <c r="P17" s="290"/>
    </row>
    <row r="18" spans="1:16" x14ac:dyDescent="0.2">
      <c r="A18" s="290"/>
      <c r="B18" s="290"/>
      <c r="C18" s="290"/>
      <c r="D18" s="290"/>
      <c r="E18" s="294">
        <v>2027</v>
      </c>
      <c r="F18" s="295">
        <f>+F7*'2030 Rate Base &amp; Cost Capital'!E$25</f>
        <v>307880.84140513686</v>
      </c>
      <c r="G18" s="295">
        <f t="shared" si="7"/>
        <v>446204.11797845922</v>
      </c>
      <c r="H18" s="295">
        <f>-F7*'2030 Rate Base &amp; Cost Capital'!E$24</f>
        <v>-227514.26483240715</v>
      </c>
      <c r="I18" s="296">
        <f t="shared" si="8"/>
        <v>218689.85314605208</v>
      </c>
      <c r="J18" s="290"/>
      <c r="K18" s="290"/>
      <c r="L18" s="290"/>
      <c r="M18" s="290"/>
      <c r="N18" s="290"/>
      <c r="O18" s="290"/>
      <c r="P18" s="290"/>
    </row>
    <row r="19" spans="1:16" x14ac:dyDescent="0.2">
      <c r="A19" s="290"/>
      <c r="B19" s="290"/>
      <c r="C19" s="290"/>
      <c r="D19" s="290"/>
      <c r="E19" s="294">
        <v>2028</v>
      </c>
      <c r="F19" s="295">
        <f>+F8*'2030 Rate Base &amp; Cost Capital'!E$25</f>
        <v>411339.57776821643</v>
      </c>
      <c r="G19" s="295">
        <f t="shared" si="7"/>
        <v>596144.31560611085</v>
      </c>
      <c r="H19" s="295">
        <f>-F8*'2030 Rate Base &amp; Cost Capital'!E$24</f>
        <v>-303967.01920552528</v>
      </c>
      <c r="I19" s="296">
        <f t="shared" si="8"/>
        <v>292177.29640058556</v>
      </c>
      <c r="J19" s="290"/>
      <c r="K19" s="290"/>
      <c r="L19" s="290"/>
      <c r="M19" s="290"/>
      <c r="N19" s="290"/>
      <c r="O19" s="290"/>
      <c r="P19" s="290"/>
    </row>
    <row r="20" spans="1:16" x14ac:dyDescent="0.2">
      <c r="A20" s="290"/>
      <c r="B20" s="290"/>
      <c r="C20" s="290"/>
      <c r="D20" s="290"/>
      <c r="E20" s="294">
        <v>2029</v>
      </c>
      <c r="F20" s="295">
        <f>+F9*'2030 Rate Base &amp; Cost Capital'!E$25</f>
        <v>410428.57051846496</v>
      </c>
      <c r="G20" s="295">
        <f t="shared" si="7"/>
        <v>594824.01524415216</v>
      </c>
      <c r="H20" s="295">
        <f>-F9*'2030 Rate Base &amp; Cost Capital'!E$24</f>
        <v>-303293.81348171912</v>
      </c>
      <c r="I20" s="296">
        <f t="shared" si="8"/>
        <v>291530.20176243305</v>
      </c>
      <c r="J20" s="290"/>
      <c r="K20" s="290"/>
      <c r="L20" s="290"/>
      <c r="M20" s="290"/>
      <c r="N20" s="290"/>
      <c r="O20" s="290"/>
      <c r="P20" s="290"/>
    </row>
    <row r="21" spans="1:16" x14ac:dyDescent="0.2">
      <c r="A21" s="290"/>
      <c r="B21" s="290"/>
      <c r="C21" s="290"/>
      <c r="D21" s="290"/>
      <c r="E21" s="297">
        <v>2030</v>
      </c>
      <c r="F21" s="298">
        <f>+F10*'2030 Rate Base &amp; Cost Capital'!E$25</f>
        <v>396208.93562017032</v>
      </c>
      <c r="G21" s="298">
        <f t="shared" si="7"/>
        <v>574215.84872488456</v>
      </c>
      <c r="H21" s="298">
        <f>-F10*'2030 Rate Base &amp; Cost Capital'!E$24</f>
        <v>-292785.95022752718</v>
      </c>
      <c r="I21" s="299">
        <f t="shared" si="8"/>
        <v>281429.89849735738</v>
      </c>
      <c r="J21" s="290"/>
      <c r="K21" s="290"/>
      <c r="L21" s="290"/>
      <c r="M21" s="290"/>
      <c r="N21" s="290"/>
      <c r="O21" s="290"/>
      <c r="P21" s="290"/>
    </row>
    <row r="22" spans="1:16" x14ac:dyDescent="0.2">
      <c r="A22" s="290"/>
      <c r="B22" s="290"/>
      <c r="C22" s="290"/>
      <c r="D22" s="290"/>
      <c r="E22" s="290"/>
      <c r="F22" s="278"/>
      <c r="G22" s="290"/>
      <c r="H22" s="290"/>
      <c r="I22" s="290"/>
      <c r="J22" s="290"/>
      <c r="K22" s="290"/>
      <c r="L22" s="290"/>
      <c r="M22" s="290"/>
      <c r="N22" s="290"/>
      <c r="O22" s="290"/>
      <c r="P22" s="290"/>
    </row>
    <row r="23" spans="1:16" x14ac:dyDescent="0.2">
      <c r="A23" s="290"/>
      <c r="B23" s="290"/>
      <c r="C23" s="290"/>
      <c r="D23" s="290"/>
      <c r="E23" s="290"/>
      <c r="F23" s="278"/>
      <c r="G23" s="290"/>
      <c r="H23" s="290"/>
      <c r="I23" s="290"/>
      <c r="J23" s="290"/>
      <c r="K23" s="290"/>
      <c r="L23" s="290"/>
      <c r="M23" s="290"/>
      <c r="N23" s="290"/>
      <c r="O23" s="290"/>
      <c r="P23" s="290"/>
    </row>
    <row r="24" spans="1:16" x14ac:dyDescent="0.2">
      <c r="A24" s="1" t="s">
        <v>287</v>
      </c>
    </row>
    <row r="25" spans="1:16" x14ac:dyDescent="0.2">
      <c r="A25" s="94" t="s">
        <v>290</v>
      </c>
    </row>
  </sheetData>
  <mergeCells count="1">
    <mergeCell ref="E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DAE11-2C25-423E-848C-174BA33FB5E1}">
  <dimension ref="A1:G19"/>
  <sheetViews>
    <sheetView workbookViewId="0">
      <selection activeCell="A3" sqref="A3:G17"/>
    </sheetView>
  </sheetViews>
  <sheetFormatPr defaultRowHeight="12" x14ac:dyDescent="0.2"/>
  <cols>
    <col min="1" max="1" width="28.5703125" style="234" customWidth="1"/>
    <col min="2" max="2" width="9" style="234" customWidth="1"/>
    <col min="3" max="3" width="9.85546875" style="234" bestFit="1" customWidth="1"/>
    <col min="4" max="4" width="14.28515625" style="234" customWidth="1"/>
    <col min="5" max="5" width="22.28515625" style="234" customWidth="1"/>
    <col min="6" max="6" width="22.5703125" style="234" customWidth="1"/>
    <col min="7" max="7" width="8.140625" style="234" customWidth="1"/>
    <col min="8" max="16384" width="9.140625" style="234"/>
  </cols>
  <sheetData>
    <row r="1" spans="1:7" x14ac:dyDescent="0.2">
      <c r="A1" s="234" t="s">
        <v>218</v>
      </c>
    </row>
    <row r="2" spans="1:7" ht="12.75" thickBot="1" x14ac:dyDescent="0.25"/>
    <row r="3" spans="1:7" s="237" customFormat="1" ht="15.75" customHeight="1" thickBot="1" x14ac:dyDescent="0.25">
      <c r="A3" s="235" t="s">
        <v>252</v>
      </c>
      <c r="B3" s="236"/>
      <c r="C3" s="236"/>
      <c r="D3" s="236"/>
      <c r="E3" s="236"/>
      <c r="F3" s="236"/>
      <c r="G3" s="255"/>
    </row>
    <row r="4" spans="1:7" s="237" customFormat="1" ht="48.75" thickBot="1" x14ac:dyDescent="0.25">
      <c r="A4" s="238" t="s">
        <v>219</v>
      </c>
      <c r="B4" s="239" t="s">
        <v>220</v>
      </c>
      <c r="C4" s="240" t="s">
        <v>123</v>
      </c>
      <c r="D4" s="239" t="s">
        <v>243</v>
      </c>
      <c r="E4" s="239" t="s">
        <v>284</v>
      </c>
      <c r="F4" s="239" t="s">
        <v>283</v>
      </c>
      <c r="G4" s="239" t="s">
        <v>285</v>
      </c>
    </row>
    <row r="5" spans="1:7" s="237" customFormat="1" ht="24.75" thickBot="1" x14ac:dyDescent="0.25">
      <c r="A5" s="241" t="s">
        <v>221</v>
      </c>
      <c r="B5" s="242">
        <v>1</v>
      </c>
      <c r="C5" s="242" t="s">
        <v>222</v>
      </c>
      <c r="D5" s="242">
        <v>96.56</v>
      </c>
      <c r="E5" s="242">
        <v>96.45</v>
      </c>
      <c r="F5" s="242">
        <v>96.07</v>
      </c>
      <c r="G5" s="243">
        <f>(F5-D5)/D5</f>
        <v>-5.0745650372826124E-3</v>
      </c>
    </row>
    <row r="6" spans="1:7" s="237" customFormat="1" ht="24.75" thickBot="1" x14ac:dyDescent="0.25">
      <c r="A6" s="244" t="s">
        <v>244</v>
      </c>
      <c r="B6" s="245">
        <v>2</v>
      </c>
      <c r="C6" s="245" t="s">
        <v>223</v>
      </c>
      <c r="D6" s="245">
        <v>70.650000000000006</v>
      </c>
      <c r="E6" s="245">
        <v>70.3</v>
      </c>
      <c r="F6" s="245">
        <v>69.23</v>
      </c>
      <c r="G6" s="243">
        <f>(F6-D6)/D6</f>
        <v>-2.0099079971691459E-2</v>
      </c>
    </row>
    <row r="7" spans="1:7" s="237" customFormat="1" ht="12.75" thickBot="1" x14ac:dyDescent="0.25">
      <c r="A7" s="246" t="s">
        <v>245</v>
      </c>
      <c r="B7" s="242" t="s">
        <v>224</v>
      </c>
      <c r="C7" s="242" t="s">
        <v>225</v>
      </c>
      <c r="D7" s="247">
        <v>8210.57</v>
      </c>
      <c r="E7" s="247">
        <f>+D7</f>
        <v>8210.57</v>
      </c>
      <c r="F7" s="247">
        <v>8210.57</v>
      </c>
      <c r="G7" s="247" t="s">
        <v>231</v>
      </c>
    </row>
    <row r="8" spans="1:7" s="237" customFormat="1" ht="12.75" thickBot="1" x14ac:dyDescent="0.25">
      <c r="A8" s="241" t="s">
        <v>246</v>
      </c>
      <c r="B8" s="242" t="s">
        <v>226</v>
      </c>
      <c r="C8" s="242" t="s">
        <v>225</v>
      </c>
      <c r="D8" s="247">
        <v>8175.68</v>
      </c>
      <c r="E8" s="247">
        <f>+D8</f>
        <v>8175.68</v>
      </c>
      <c r="F8" s="247">
        <v>8175.68</v>
      </c>
      <c r="G8" s="247" t="s">
        <v>231</v>
      </c>
    </row>
    <row r="9" spans="1:7" s="237" customFormat="1" ht="24.75" thickBot="1" x14ac:dyDescent="0.25">
      <c r="A9" s="244" t="s">
        <v>247</v>
      </c>
      <c r="B9" s="245" t="s">
        <v>227</v>
      </c>
      <c r="C9" s="245" t="s">
        <v>225</v>
      </c>
      <c r="D9" s="245" t="s">
        <v>228</v>
      </c>
      <c r="E9" s="245" t="str">
        <f>+D9</f>
        <v>$0.44/MWh</v>
      </c>
      <c r="F9" s="245" t="s">
        <v>228</v>
      </c>
      <c r="G9" s="245" t="s">
        <v>231</v>
      </c>
    </row>
    <row r="10" spans="1:7" s="237" customFormat="1" ht="12.75" thickBot="1" x14ac:dyDescent="0.25">
      <c r="A10" s="241" t="s">
        <v>229</v>
      </c>
      <c r="B10" s="242">
        <v>4</v>
      </c>
      <c r="C10" s="242" t="s">
        <v>230</v>
      </c>
      <c r="D10" s="242" t="s">
        <v>231</v>
      </c>
      <c r="E10" s="242" t="s">
        <v>231</v>
      </c>
      <c r="F10" s="242" t="s">
        <v>231</v>
      </c>
      <c r="G10" s="242" t="s">
        <v>231</v>
      </c>
    </row>
    <row r="11" spans="1:7" s="237" customFormat="1" ht="12.75" thickBot="1" x14ac:dyDescent="0.25">
      <c r="A11" s="241" t="s">
        <v>250</v>
      </c>
      <c r="B11" s="242">
        <v>5</v>
      </c>
      <c r="C11" s="242" t="s">
        <v>225</v>
      </c>
      <c r="D11" s="247">
        <v>8164.06</v>
      </c>
      <c r="E11" s="247">
        <f>+D11</f>
        <v>8164.06</v>
      </c>
      <c r="F11" s="247">
        <v>8164.06</v>
      </c>
      <c r="G11" s="247" t="s">
        <v>231</v>
      </c>
    </row>
    <row r="12" spans="1:7" s="237" customFormat="1" ht="24.75" thickBot="1" x14ac:dyDescent="0.25">
      <c r="A12" s="244" t="s">
        <v>248</v>
      </c>
      <c r="B12" s="245" t="s">
        <v>232</v>
      </c>
      <c r="C12" s="245" t="s">
        <v>225</v>
      </c>
      <c r="D12" s="248">
        <v>3908.48</v>
      </c>
      <c r="E12" s="248">
        <f>+D12</f>
        <v>3908.48</v>
      </c>
      <c r="F12" s="248">
        <v>3908.48</v>
      </c>
      <c r="G12" s="248" t="s">
        <v>231</v>
      </c>
    </row>
    <row r="13" spans="1:7" s="237" customFormat="1" ht="24.75" thickBot="1" x14ac:dyDescent="0.25">
      <c r="A13" s="244" t="s">
        <v>249</v>
      </c>
      <c r="B13" s="245" t="s">
        <v>233</v>
      </c>
      <c r="C13" s="245" t="s">
        <v>225</v>
      </c>
      <c r="D13" s="248">
        <v>3908.48</v>
      </c>
      <c r="E13" s="248">
        <f>+D13</f>
        <v>3908.48</v>
      </c>
      <c r="F13" s="248">
        <v>3908.48</v>
      </c>
      <c r="G13" s="248" t="s">
        <v>231</v>
      </c>
    </row>
    <row r="14" spans="1:7" s="237" customFormat="1" ht="24.75" thickBot="1" x14ac:dyDescent="0.25">
      <c r="A14" s="241" t="s">
        <v>234</v>
      </c>
      <c r="B14" s="242" t="s">
        <v>235</v>
      </c>
      <c r="C14" s="242" t="s">
        <v>236</v>
      </c>
      <c r="D14" s="247">
        <v>3831.93</v>
      </c>
      <c r="E14" s="249">
        <v>3917.32</v>
      </c>
      <c r="F14" s="249">
        <v>4182.1400000000003</v>
      </c>
      <c r="G14" s="243">
        <f>(F14-D14)/D14</f>
        <v>9.1392588069197644E-2</v>
      </c>
    </row>
    <row r="15" spans="1:7" s="237" customFormat="1" ht="12.75" thickBot="1" x14ac:dyDescent="0.25">
      <c r="A15" s="241" t="s">
        <v>237</v>
      </c>
      <c r="B15" s="242">
        <v>9</v>
      </c>
      <c r="C15" s="242" t="s">
        <v>238</v>
      </c>
      <c r="D15" s="250">
        <v>1.77E-2</v>
      </c>
      <c r="E15" s="251">
        <v>1.7399999999999999E-2</v>
      </c>
      <c r="F15" s="251">
        <v>1.6500000000000001E-2</v>
      </c>
      <c r="G15" s="243">
        <f>(F15-D15)/D15</f>
        <v>-6.7796610169491511E-2</v>
      </c>
    </row>
    <row r="16" spans="1:7" s="237" customFormat="1" ht="12.75" thickBot="1" x14ac:dyDescent="0.25">
      <c r="A16" s="241" t="s">
        <v>239</v>
      </c>
      <c r="B16" s="242">
        <v>10</v>
      </c>
      <c r="C16" s="242" t="s">
        <v>230</v>
      </c>
      <c r="D16" s="242" t="s">
        <v>231</v>
      </c>
      <c r="E16" s="252" t="s">
        <v>231</v>
      </c>
      <c r="F16" s="252" t="s">
        <v>231</v>
      </c>
      <c r="G16" s="242" t="s">
        <v>231</v>
      </c>
    </row>
    <row r="17" spans="1:7" s="237" customFormat="1" ht="12.75" thickBot="1" x14ac:dyDescent="0.25">
      <c r="A17" s="241" t="s">
        <v>240</v>
      </c>
      <c r="B17" s="242" t="s">
        <v>241</v>
      </c>
      <c r="C17" s="242" t="s">
        <v>242</v>
      </c>
      <c r="D17" s="247">
        <v>3831.93</v>
      </c>
      <c r="E17" s="253">
        <f>+E14</f>
        <v>3917.32</v>
      </c>
      <c r="F17" s="253">
        <f>+F14</f>
        <v>4182.1400000000003</v>
      </c>
      <c r="G17" s="243">
        <f>(F17-D17)/D17</f>
        <v>9.1392588069197644E-2</v>
      </c>
    </row>
    <row r="18" spans="1:7" s="237" customFormat="1" ht="9" customHeight="1" x14ac:dyDescent="0.2">
      <c r="A18" s="254"/>
      <c r="B18" s="254"/>
      <c r="C18" s="254"/>
      <c r="D18" s="254"/>
      <c r="E18" s="254"/>
      <c r="F18" s="254"/>
      <c r="G18" s="254"/>
    </row>
    <row r="19" spans="1:7" ht="14.25" customHeight="1" x14ac:dyDescent="0.2">
      <c r="A19" s="233" t="s">
        <v>251</v>
      </c>
      <c r="B19" s="233"/>
      <c r="C19" s="233"/>
      <c r="D19" s="233"/>
      <c r="E19" s="233"/>
      <c r="F19" s="233"/>
      <c r="G19" s="233"/>
    </row>
  </sheetData>
  <mergeCells count="2">
    <mergeCell ref="A3:G3"/>
    <mergeCell ref="A19:G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64"/>
  <sheetViews>
    <sheetView topLeftCell="A21" workbookViewId="0">
      <selection activeCell="I52" sqref="I52"/>
    </sheetView>
  </sheetViews>
  <sheetFormatPr defaultColWidth="7.85546875" defaultRowHeight="11.25" x14ac:dyDescent="0.2"/>
  <cols>
    <col min="1" max="1" width="3.28515625" style="129" customWidth="1"/>
    <col min="2" max="2" width="25.85546875" style="128" customWidth="1"/>
    <col min="3" max="3" width="11.5703125" style="129" customWidth="1"/>
    <col min="4" max="4" width="12.140625" style="129" customWidth="1"/>
    <col min="5" max="5" width="12.42578125" style="129" customWidth="1"/>
    <col min="6" max="6" width="11.85546875" style="129" customWidth="1"/>
    <col min="7" max="7" width="13.28515625" style="129" bestFit="1" customWidth="1"/>
    <col min="8" max="8" width="12" style="129" bestFit="1" customWidth="1"/>
    <col min="9" max="9" width="10.85546875" style="129" customWidth="1"/>
    <col min="10" max="10" width="12" style="129" bestFit="1" customWidth="1"/>
    <col min="11" max="11" width="12.85546875" style="129" customWidth="1"/>
    <col min="12" max="12" width="16.42578125" style="129" customWidth="1"/>
    <col min="13" max="14" width="11.5703125" style="129" customWidth="1"/>
    <col min="15" max="15" width="13.5703125" style="129" bestFit="1" customWidth="1"/>
    <col min="16" max="16" width="12" style="129" bestFit="1" customWidth="1"/>
    <col min="17" max="17" width="15.140625" style="129" bestFit="1" customWidth="1"/>
    <col min="18" max="18" width="18.140625" style="129" bestFit="1" customWidth="1"/>
    <col min="19" max="19" width="14.85546875" style="129" customWidth="1"/>
    <col min="20" max="20" width="16.42578125" style="129" customWidth="1"/>
    <col min="21" max="22" width="11.5703125" style="129" customWidth="1"/>
    <col min="23" max="23" width="11.42578125" style="129" customWidth="1"/>
    <col min="24" max="25" width="12" style="129" bestFit="1" customWidth="1"/>
    <col min="26" max="26" width="10.85546875" style="129" customWidth="1"/>
    <col min="27" max="27" width="12.85546875" style="129" customWidth="1"/>
    <col min="28" max="28" width="16.42578125" style="129" customWidth="1"/>
    <col min="29" max="30" width="11.5703125" style="129" customWidth="1"/>
    <col min="31" max="31" width="11.42578125" style="129" customWidth="1"/>
    <col min="32" max="32" width="16.42578125" style="129" customWidth="1"/>
    <col min="33" max="34" width="11.5703125" style="129" customWidth="1"/>
    <col min="35" max="35" width="11.42578125" style="129" customWidth="1"/>
    <col min="36" max="16384" width="7.85546875" style="129"/>
  </cols>
  <sheetData>
    <row r="1" spans="1:40" s="116" customFormat="1" ht="12.75" x14ac:dyDescent="0.2">
      <c r="A1" s="115" t="s">
        <v>170</v>
      </c>
      <c r="B1" s="115"/>
      <c r="F1" s="117"/>
      <c r="G1" s="118"/>
      <c r="H1" s="119"/>
      <c r="P1" s="119"/>
      <c r="X1" s="119"/>
      <c r="AJ1" s="120"/>
      <c r="AK1" s="120"/>
      <c r="AL1" s="120"/>
      <c r="AM1" s="120"/>
      <c r="AN1" s="120"/>
    </row>
    <row r="2" spans="1:40" s="116" customFormat="1" ht="12" x14ac:dyDescent="0.2">
      <c r="A2" s="115" t="s">
        <v>171</v>
      </c>
      <c r="B2" s="115"/>
      <c r="D2" s="117"/>
      <c r="E2" s="117"/>
      <c r="F2" s="117"/>
      <c r="AJ2" s="120"/>
      <c r="AK2" s="120"/>
      <c r="AL2" s="120"/>
      <c r="AM2" s="120"/>
      <c r="AN2" s="120"/>
    </row>
    <row r="3" spans="1:40" s="126" customFormat="1" ht="12" x14ac:dyDescent="0.2">
      <c r="A3" s="121"/>
      <c r="B3" s="121"/>
      <c r="C3" s="122"/>
      <c r="D3" s="122"/>
      <c r="E3" s="122"/>
      <c r="F3" s="122"/>
      <c r="G3" s="122"/>
      <c r="H3" s="122"/>
      <c r="I3" s="123"/>
      <c r="J3" s="122"/>
      <c r="K3" s="124"/>
      <c r="L3" s="125"/>
      <c r="M3" s="125"/>
      <c r="N3" s="125"/>
      <c r="O3" s="125"/>
      <c r="P3" s="122"/>
      <c r="Q3" s="123"/>
      <c r="R3" s="122"/>
      <c r="S3" s="124"/>
      <c r="T3" s="125"/>
      <c r="U3" s="125"/>
      <c r="V3" s="125"/>
      <c r="W3" s="125"/>
      <c r="X3" s="122"/>
      <c r="Y3" s="123"/>
      <c r="Z3" s="122"/>
      <c r="AA3" s="124"/>
      <c r="AB3" s="125"/>
      <c r="AC3" s="125"/>
      <c r="AD3" s="125"/>
      <c r="AE3" s="125"/>
      <c r="AF3" s="125"/>
      <c r="AG3" s="125"/>
      <c r="AH3" s="125"/>
      <c r="AI3" s="125"/>
    </row>
    <row r="4" spans="1:40" ht="12" x14ac:dyDescent="0.2">
      <c r="A4" s="127"/>
      <c r="D4" s="130"/>
      <c r="E4" s="131"/>
    </row>
    <row r="5" spans="1:40" ht="12" x14ac:dyDescent="0.2">
      <c r="A5" s="132"/>
      <c r="C5" s="133" t="s">
        <v>172</v>
      </c>
      <c r="D5" s="134">
        <v>2023</v>
      </c>
      <c r="E5" s="135">
        <f>D5</f>
        <v>2023</v>
      </c>
      <c r="F5" s="135">
        <f>E5</f>
        <v>2023</v>
      </c>
      <c r="G5" s="133" t="s">
        <v>172</v>
      </c>
      <c r="H5" s="134">
        <f>G6+1</f>
        <v>2024</v>
      </c>
      <c r="I5" s="136">
        <f>H5</f>
        <v>2024</v>
      </c>
      <c r="J5" s="136">
        <f>I5</f>
        <v>2024</v>
      </c>
      <c r="K5" s="133" t="s">
        <v>172</v>
      </c>
      <c r="L5" s="134">
        <f>+K6+1</f>
        <v>2025</v>
      </c>
      <c r="M5" s="136">
        <f>+L5</f>
        <v>2025</v>
      </c>
      <c r="N5" s="136">
        <f>+M5</f>
        <v>2025</v>
      </c>
      <c r="O5" s="137" t="s">
        <v>172</v>
      </c>
      <c r="P5" s="134">
        <f>O6+1</f>
        <v>2026</v>
      </c>
      <c r="Q5" s="136">
        <f>P5</f>
        <v>2026</v>
      </c>
      <c r="R5" s="136">
        <f>Q5</f>
        <v>2026</v>
      </c>
      <c r="S5" s="133" t="s">
        <v>172</v>
      </c>
      <c r="T5" s="134">
        <f>+S6+1</f>
        <v>2027</v>
      </c>
      <c r="U5" s="136">
        <f>+T5</f>
        <v>2027</v>
      </c>
      <c r="V5" s="136">
        <f>+U5</f>
        <v>2027</v>
      </c>
      <c r="W5" s="137" t="s">
        <v>172</v>
      </c>
      <c r="X5" s="134">
        <f>W6+1</f>
        <v>2028</v>
      </c>
      <c r="Y5" s="136">
        <f>X5</f>
        <v>2028</v>
      </c>
      <c r="Z5" s="136">
        <f>Y5</f>
        <v>2028</v>
      </c>
      <c r="AA5" s="133" t="s">
        <v>172</v>
      </c>
      <c r="AB5" s="134">
        <f>+AA6+1</f>
        <v>2029</v>
      </c>
      <c r="AC5" s="136">
        <f>+AB5</f>
        <v>2029</v>
      </c>
      <c r="AD5" s="136">
        <f>+AC5</f>
        <v>2029</v>
      </c>
      <c r="AE5" s="137" t="s">
        <v>172</v>
      </c>
      <c r="AF5" s="134">
        <f>+AE6+1</f>
        <v>2030</v>
      </c>
      <c r="AG5" s="136">
        <f>+AF5</f>
        <v>2030</v>
      </c>
      <c r="AH5" s="136">
        <f>+AG5</f>
        <v>2030</v>
      </c>
      <c r="AI5" s="137" t="s">
        <v>172</v>
      </c>
    </row>
    <row r="6" spans="1:40" ht="12" x14ac:dyDescent="0.2">
      <c r="A6" s="138" t="s">
        <v>173</v>
      </c>
      <c r="C6" s="139">
        <v>2022</v>
      </c>
      <c r="D6" s="140" t="s">
        <v>174</v>
      </c>
      <c r="E6" s="141" t="s">
        <v>175</v>
      </c>
      <c r="F6" s="141" t="s">
        <v>176</v>
      </c>
      <c r="G6" s="139">
        <f>+F5</f>
        <v>2023</v>
      </c>
      <c r="H6" s="140" t="s">
        <v>174</v>
      </c>
      <c r="I6" s="142" t="s">
        <v>175</v>
      </c>
      <c r="J6" s="142" t="str">
        <f>+F6</f>
        <v>WIP</v>
      </c>
      <c r="K6" s="139">
        <f>+I5</f>
        <v>2024</v>
      </c>
      <c r="L6" s="140" t="s">
        <v>174</v>
      </c>
      <c r="M6" s="143" t="s">
        <v>177</v>
      </c>
      <c r="N6" s="144" t="str">
        <f>+J6</f>
        <v>WIP</v>
      </c>
      <c r="O6" s="145">
        <f>+M5</f>
        <v>2025</v>
      </c>
      <c r="P6" s="140" t="s">
        <v>174</v>
      </c>
      <c r="Q6" s="142" t="s">
        <v>175</v>
      </c>
      <c r="R6" s="142" t="str">
        <f>+N6</f>
        <v>WIP</v>
      </c>
      <c r="S6" s="139">
        <f>+Q5</f>
        <v>2026</v>
      </c>
      <c r="T6" s="140" t="s">
        <v>174</v>
      </c>
      <c r="U6" s="143" t="s">
        <v>177</v>
      </c>
      <c r="V6" s="144" t="str">
        <f>+R6</f>
        <v>WIP</v>
      </c>
      <c r="W6" s="145">
        <f>+U5</f>
        <v>2027</v>
      </c>
      <c r="X6" s="140" t="s">
        <v>174</v>
      </c>
      <c r="Y6" s="142" t="s">
        <v>175</v>
      </c>
      <c r="Z6" s="142" t="str">
        <f>+V6</f>
        <v>WIP</v>
      </c>
      <c r="AA6" s="139">
        <f>+Y5</f>
        <v>2028</v>
      </c>
      <c r="AB6" s="140" t="s">
        <v>174</v>
      </c>
      <c r="AC6" s="143" t="s">
        <v>177</v>
      </c>
      <c r="AD6" s="144" t="str">
        <f>+Z6</f>
        <v>WIP</v>
      </c>
      <c r="AE6" s="145">
        <f>+AC5</f>
        <v>2029</v>
      </c>
      <c r="AF6" s="140" t="s">
        <v>174</v>
      </c>
      <c r="AG6" s="143" t="s">
        <v>177</v>
      </c>
      <c r="AH6" s="144" t="str">
        <f>+AD6</f>
        <v>WIP</v>
      </c>
      <c r="AI6" s="145">
        <f>+AG5</f>
        <v>2030</v>
      </c>
    </row>
    <row r="7" spans="1:40" ht="12" x14ac:dyDescent="0.2">
      <c r="A7" s="146"/>
      <c r="C7" s="147"/>
      <c r="D7" s="148"/>
      <c r="E7" s="149"/>
      <c r="F7" s="149"/>
      <c r="G7" s="147"/>
      <c r="H7" s="148"/>
      <c r="I7" s="149"/>
      <c r="J7" s="149"/>
      <c r="K7" s="147"/>
      <c r="L7" s="148"/>
      <c r="M7" s="149"/>
      <c r="N7" s="149"/>
      <c r="O7" s="147"/>
      <c r="P7" s="148"/>
      <c r="Q7" s="149"/>
      <c r="R7" s="149"/>
      <c r="S7" s="147"/>
      <c r="T7" s="148"/>
      <c r="U7" s="149"/>
      <c r="V7" s="149"/>
      <c r="W7" s="147"/>
      <c r="X7" s="148"/>
      <c r="Y7" s="149"/>
      <c r="Z7" s="149"/>
      <c r="AA7" s="147"/>
      <c r="AB7" s="148"/>
      <c r="AC7" s="149"/>
      <c r="AD7" s="149"/>
      <c r="AE7" s="147"/>
      <c r="AF7" s="148"/>
      <c r="AG7" s="149"/>
      <c r="AH7" s="149"/>
      <c r="AI7" s="147"/>
    </row>
    <row r="8" spans="1:40" ht="12" hidden="1" x14ac:dyDescent="0.2">
      <c r="B8" s="150" t="s">
        <v>178</v>
      </c>
      <c r="C8" s="151"/>
      <c r="D8" s="152">
        <f>+SUM([3]Budget!AP27)</f>
        <v>0</v>
      </c>
      <c r="E8" s="153"/>
      <c r="G8" s="151">
        <f t="shared" ref="G8:G17" si="0">SUM(C8+D8-E8)</f>
        <v>0</v>
      </c>
      <c r="H8" s="152">
        <f>SUM([3]Budget!BC27)</f>
        <v>0</v>
      </c>
      <c r="I8" s="154">
        <f>SUM(([3]Budget!$BC$40)*H8/H$18)</f>
        <v>0</v>
      </c>
      <c r="J8" s="154"/>
      <c r="K8" s="151">
        <f>SUM(G8+H8-I8)</f>
        <v>0</v>
      </c>
      <c r="L8" s="152"/>
      <c r="M8" s="154"/>
      <c r="O8" s="151">
        <f>SUM(K8+L8-M8)</f>
        <v>0</v>
      </c>
      <c r="P8" s="152">
        <f>SUM([3]Budget!BK27)</f>
        <v>0</v>
      </c>
      <c r="Q8" s="154">
        <f>SUM(([3]Budget!$BC$40)*P8/P$18)</f>
        <v>0</v>
      </c>
      <c r="R8" s="154"/>
      <c r="S8" s="151">
        <f>SUM(O8+P8-Q8)</f>
        <v>0</v>
      </c>
      <c r="T8" s="152"/>
      <c r="U8" s="154">
        <f>SUM(([3]Budget!$BP$40)*T8/T$18)</f>
        <v>0</v>
      </c>
      <c r="W8" s="151">
        <f>SUM(S8+T8-U8)</f>
        <v>0</v>
      </c>
      <c r="X8" s="152">
        <f>SUM([3]Budget!BS27)</f>
        <v>0</v>
      </c>
      <c r="Y8" s="154">
        <f>SUM(([3]Budget!$BC$40)*X8/X$18)</f>
        <v>0</v>
      </c>
      <c r="Z8" s="154"/>
      <c r="AA8" s="151">
        <f>SUM(W8+X8-Y8)</f>
        <v>0</v>
      </c>
      <c r="AB8" s="152"/>
      <c r="AC8" s="154">
        <f>SUM(([3]Budget!$BP$40)*AB8/AB$18)</f>
        <v>0</v>
      </c>
      <c r="AE8" s="151">
        <f>SUM(AA8+AB8-AC8)</f>
        <v>0</v>
      </c>
      <c r="AF8" s="152"/>
      <c r="AG8" s="154"/>
      <c r="AI8" s="151">
        <f>SUM(AE8+AF8-AG8)</f>
        <v>0</v>
      </c>
    </row>
    <row r="9" spans="1:40" ht="12" hidden="1" x14ac:dyDescent="0.2">
      <c r="B9" s="150" t="s">
        <v>179</v>
      </c>
      <c r="C9" s="151"/>
      <c r="D9" s="154"/>
      <c r="E9" s="154"/>
      <c r="F9" s="154"/>
      <c r="G9" s="151">
        <f t="shared" si="0"/>
        <v>0</v>
      </c>
      <c r="H9" s="155"/>
      <c r="I9" s="154"/>
      <c r="J9" s="154"/>
      <c r="K9" s="151">
        <f t="shared" ref="K9:K17" si="1">SUM(G9+H9-I9)</f>
        <v>0</v>
      </c>
      <c r="L9" s="152"/>
      <c r="M9" s="154"/>
      <c r="N9" s="154"/>
      <c r="O9" s="151">
        <f t="shared" ref="O9:O17" si="2">SUM(K9+L9-M9)</f>
        <v>0</v>
      </c>
      <c r="P9" s="155"/>
      <c r="Q9" s="154"/>
      <c r="R9" s="154"/>
      <c r="S9" s="151">
        <f t="shared" ref="S9:S17" si="3">SUM(O9+P9-Q9)</f>
        <v>0</v>
      </c>
      <c r="T9" s="152"/>
      <c r="U9" s="154">
        <f>SUM(([3]Budget!$BP$40-4900000)*T9/T$18)</f>
        <v>0</v>
      </c>
      <c r="V9" s="154"/>
      <c r="W9" s="151">
        <f t="shared" ref="W9" si="4">SUM(S9+T9-U9)</f>
        <v>0</v>
      </c>
      <c r="X9" s="155"/>
      <c r="Y9" s="154"/>
      <c r="Z9" s="154"/>
      <c r="AA9" s="151">
        <f t="shared" ref="AA9:AA17" si="5">SUM(W9+X9-Y9)</f>
        <v>0</v>
      </c>
      <c r="AB9" s="152"/>
      <c r="AC9" s="154">
        <f>SUM(([3]Budget!$BP$40-4900000)*AB9/AB$18)</f>
        <v>0</v>
      </c>
      <c r="AD9" s="154"/>
      <c r="AE9" s="151">
        <f t="shared" ref="AE9" si="6">SUM(AA9+AB9-AC9)</f>
        <v>0</v>
      </c>
      <c r="AF9" s="152"/>
      <c r="AG9" s="154"/>
      <c r="AH9" s="154"/>
      <c r="AI9" s="151">
        <f t="shared" ref="AI9" si="7">SUM(AE9+AF9-AG9)</f>
        <v>0</v>
      </c>
    </row>
    <row r="10" spans="1:40" ht="12" hidden="1" x14ac:dyDescent="0.2">
      <c r="B10" s="150" t="s">
        <v>180</v>
      </c>
      <c r="C10" s="151"/>
      <c r="D10" s="154"/>
      <c r="E10" s="154"/>
      <c r="F10" s="153"/>
      <c r="G10" s="151">
        <f t="shared" si="0"/>
        <v>0</v>
      </c>
      <c r="H10" s="155"/>
      <c r="I10" s="154"/>
      <c r="J10" s="153"/>
      <c r="K10" s="151">
        <f t="shared" si="1"/>
        <v>0</v>
      </c>
      <c r="L10" s="152"/>
      <c r="M10" s="154"/>
      <c r="N10" s="154"/>
      <c r="O10" s="151">
        <f>SUM(K10+L10-M10)</f>
        <v>0</v>
      </c>
      <c r="P10" s="155"/>
      <c r="Q10" s="154"/>
      <c r="R10" s="153"/>
      <c r="S10" s="151">
        <f t="shared" si="3"/>
        <v>0</v>
      </c>
      <c r="T10" s="152"/>
      <c r="U10" s="154">
        <f>SUM(([3]Budget!$BP$40-4900000)*T10/T$18)</f>
        <v>0</v>
      </c>
      <c r="V10" s="154"/>
      <c r="W10" s="151">
        <f>SUM(S10+T10-U10)</f>
        <v>0</v>
      </c>
      <c r="X10" s="155"/>
      <c r="Y10" s="154"/>
      <c r="Z10" s="153"/>
      <c r="AA10" s="151">
        <f t="shared" si="5"/>
        <v>0</v>
      </c>
      <c r="AB10" s="152"/>
      <c r="AC10" s="154">
        <f>SUM(([3]Budget!$BP$40-4900000)*AB10/AB$18)</f>
        <v>0</v>
      </c>
      <c r="AD10" s="154"/>
      <c r="AE10" s="151">
        <f>SUM(AA10+AB10-AC10)</f>
        <v>0</v>
      </c>
      <c r="AF10" s="152"/>
      <c r="AG10" s="154"/>
      <c r="AH10" s="154"/>
      <c r="AI10" s="151">
        <f>SUM(AE10+AF10-AG10)</f>
        <v>0</v>
      </c>
    </row>
    <row r="11" spans="1:40" ht="12" hidden="1" x14ac:dyDescent="0.2">
      <c r="B11" s="150" t="s">
        <v>181</v>
      </c>
      <c r="C11" s="151"/>
      <c r="D11" s="154"/>
      <c r="E11" s="154"/>
      <c r="F11" s="153"/>
      <c r="G11" s="151">
        <f t="shared" si="0"/>
        <v>0</v>
      </c>
      <c r="H11" s="155"/>
      <c r="I11" s="154"/>
      <c r="J11" s="153"/>
      <c r="K11" s="151">
        <f t="shared" si="1"/>
        <v>0</v>
      </c>
      <c r="L11" s="152"/>
      <c r="M11" s="154"/>
      <c r="N11" s="154"/>
      <c r="O11" s="151">
        <f t="shared" si="2"/>
        <v>0</v>
      </c>
      <c r="P11" s="155"/>
      <c r="Q11" s="154"/>
      <c r="R11" s="153"/>
      <c r="S11" s="151">
        <f t="shared" si="3"/>
        <v>0</v>
      </c>
      <c r="T11" s="152"/>
      <c r="U11" s="154">
        <f>SUM(([3]Budget!$BP$40-4900000)*T11/T$18)</f>
        <v>0</v>
      </c>
      <c r="V11" s="154"/>
      <c r="W11" s="151">
        <f t="shared" ref="W11:W17" si="8">SUM(S11+T11-U11)</f>
        <v>0</v>
      </c>
      <c r="X11" s="155"/>
      <c r="Y11" s="154"/>
      <c r="Z11" s="153"/>
      <c r="AA11" s="151">
        <f t="shared" si="5"/>
        <v>0</v>
      </c>
      <c r="AB11" s="152"/>
      <c r="AC11" s="154">
        <f>SUM(([3]Budget!$BP$40-4900000)*AB11/AB$18)</f>
        <v>0</v>
      </c>
      <c r="AD11" s="154"/>
      <c r="AE11" s="151">
        <f t="shared" ref="AE11:AE17" si="9">SUM(AA11+AB11-AC11)</f>
        <v>0</v>
      </c>
      <c r="AF11" s="152"/>
      <c r="AG11" s="154"/>
      <c r="AH11" s="154"/>
      <c r="AI11" s="151">
        <f t="shared" ref="AI11:AI17" si="10">SUM(AE11+AF11-AG11)</f>
        <v>0</v>
      </c>
    </row>
    <row r="12" spans="1:40" s="156" customFormat="1" ht="12" x14ac:dyDescent="0.2">
      <c r="A12" s="154"/>
      <c r="B12" s="150" t="s">
        <v>182</v>
      </c>
      <c r="C12" s="151">
        <v>0</v>
      </c>
      <c r="D12" s="154">
        <f>+'2023 - 2030 Annual Impact'!B3</f>
        <v>142000</v>
      </c>
      <c r="E12" s="154"/>
      <c r="F12" s="153"/>
      <c r="G12" s="151">
        <f t="shared" si="0"/>
        <v>142000</v>
      </c>
      <c r="H12" s="155">
        <f>+'2023 - 2030 Annual Impact'!B4</f>
        <v>146000</v>
      </c>
      <c r="I12" s="154"/>
      <c r="J12" s="153"/>
      <c r="K12" s="151">
        <f t="shared" si="1"/>
        <v>288000</v>
      </c>
      <c r="L12" s="152">
        <f>+'2023 - 2030 Annual Impact'!B5</f>
        <v>0</v>
      </c>
      <c r="M12" s="154"/>
      <c r="N12" s="154"/>
      <c r="O12" s="151">
        <f t="shared" si="2"/>
        <v>288000</v>
      </c>
      <c r="P12" s="155">
        <f>+'2023 - 2030 Annual Impact'!B6</f>
        <v>2138000</v>
      </c>
      <c r="Q12" s="154"/>
      <c r="R12" s="153"/>
      <c r="S12" s="151">
        <f t="shared" si="3"/>
        <v>2426000</v>
      </c>
      <c r="T12" s="152">
        <f>+'2023 - 2030 Annual Impact'!B7</f>
        <v>4322000</v>
      </c>
      <c r="U12" s="154"/>
      <c r="V12" s="154"/>
      <c r="W12" s="151">
        <f t="shared" si="8"/>
        <v>6748000</v>
      </c>
      <c r="X12" s="155">
        <f>+'2023 - 2030 Annual Impact'!B8</f>
        <v>2436000</v>
      </c>
      <c r="Y12" s="154"/>
      <c r="Z12" s="153"/>
      <c r="AA12" s="151">
        <f t="shared" si="5"/>
        <v>9184000</v>
      </c>
      <c r="AB12" s="152">
        <f>+'2023 - 2030 Annual Impact'!B9</f>
        <v>286000</v>
      </c>
      <c r="AC12" s="154"/>
      <c r="AD12" s="154"/>
      <c r="AE12" s="151">
        <f t="shared" si="9"/>
        <v>9470000</v>
      </c>
      <c r="AF12" s="152">
        <v>0</v>
      </c>
      <c r="AG12" s="154"/>
      <c r="AH12" s="154"/>
      <c r="AI12" s="151">
        <f t="shared" si="10"/>
        <v>9470000</v>
      </c>
    </row>
    <row r="13" spans="1:40" s="156" customFormat="1" ht="12" hidden="1" x14ac:dyDescent="0.2">
      <c r="A13" s="154"/>
      <c r="B13" s="150" t="s">
        <v>183</v>
      </c>
      <c r="C13" s="151"/>
      <c r="D13" s="154"/>
      <c r="E13" s="154"/>
      <c r="F13" s="153"/>
      <c r="G13" s="151">
        <f t="shared" si="0"/>
        <v>0</v>
      </c>
      <c r="H13" s="155"/>
      <c r="I13" s="157"/>
      <c r="J13" s="153"/>
      <c r="K13" s="151">
        <f t="shared" si="1"/>
        <v>0</v>
      </c>
      <c r="L13" s="152"/>
      <c r="M13" s="157"/>
      <c r="N13" s="154"/>
      <c r="O13" s="151">
        <f t="shared" si="2"/>
        <v>0</v>
      </c>
      <c r="P13" s="155"/>
      <c r="Q13" s="157"/>
      <c r="R13" s="153"/>
      <c r="S13" s="151">
        <f t="shared" si="3"/>
        <v>0</v>
      </c>
      <c r="T13" s="152"/>
      <c r="U13" s="157"/>
      <c r="V13" s="154"/>
      <c r="W13" s="151">
        <f t="shared" si="8"/>
        <v>0</v>
      </c>
      <c r="X13" s="155"/>
      <c r="Y13" s="157"/>
      <c r="Z13" s="153"/>
      <c r="AA13" s="151">
        <f t="shared" si="5"/>
        <v>0</v>
      </c>
      <c r="AB13" s="152"/>
      <c r="AC13" s="157"/>
      <c r="AD13" s="154"/>
      <c r="AE13" s="151">
        <f t="shared" si="9"/>
        <v>0</v>
      </c>
      <c r="AF13" s="152"/>
      <c r="AG13" s="157"/>
      <c r="AH13" s="154"/>
      <c r="AI13" s="151">
        <f t="shared" si="10"/>
        <v>0</v>
      </c>
    </row>
    <row r="14" spans="1:40" ht="12" hidden="1" x14ac:dyDescent="0.2">
      <c r="B14" s="150" t="s">
        <v>184</v>
      </c>
      <c r="C14" s="151"/>
      <c r="D14" s="154"/>
      <c r="E14" s="153"/>
      <c r="F14" s="153"/>
      <c r="G14" s="151">
        <f t="shared" si="0"/>
        <v>0</v>
      </c>
      <c r="H14" s="155"/>
      <c r="I14" s="154"/>
      <c r="J14" s="153"/>
      <c r="K14" s="151">
        <f t="shared" si="1"/>
        <v>0</v>
      </c>
      <c r="L14" s="158"/>
      <c r="M14" s="153"/>
      <c r="N14" s="154">
        <f t="shared" ref="N14" si="11">+J14</f>
        <v>0</v>
      </c>
      <c r="O14" s="151">
        <f t="shared" si="2"/>
        <v>0</v>
      </c>
      <c r="P14" s="155"/>
      <c r="Q14" s="154"/>
      <c r="R14" s="153"/>
      <c r="S14" s="151">
        <f t="shared" si="3"/>
        <v>0</v>
      </c>
      <c r="T14" s="158"/>
      <c r="U14" s="153">
        <f>SUM(([3]Budget!$BP$40-4900000)*T14/T$18)</f>
        <v>0</v>
      </c>
      <c r="V14" s="154">
        <f t="shared" ref="V14" si="12">+R14</f>
        <v>0</v>
      </c>
      <c r="W14" s="151">
        <f t="shared" si="8"/>
        <v>0</v>
      </c>
      <c r="X14" s="155"/>
      <c r="Y14" s="154"/>
      <c r="Z14" s="153"/>
      <c r="AA14" s="151">
        <f t="shared" si="5"/>
        <v>0</v>
      </c>
      <c r="AB14" s="158"/>
      <c r="AC14" s="153">
        <f>SUM(([3]Budget!$BP$40-4900000)*AB14/AB$18)</f>
        <v>0</v>
      </c>
      <c r="AD14" s="154">
        <f t="shared" ref="AD14" si="13">+Z14</f>
        <v>0</v>
      </c>
      <c r="AE14" s="151">
        <f t="shared" si="9"/>
        <v>0</v>
      </c>
      <c r="AF14" s="158"/>
      <c r="AG14" s="153"/>
      <c r="AH14" s="154">
        <f t="shared" ref="AH14" si="14">+AD14</f>
        <v>0</v>
      </c>
      <c r="AI14" s="151">
        <f t="shared" si="10"/>
        <v>0</v>
      </c>
    </row>
    <row r="15" spans="1:40" ht="15.75" hidden="1" customHeight="1" x14ac:dyDescent="0.2">
      <c r="B15" s="150" t="s">
        <v>185</v>
      </c>
      <c r="C15" s="151"/>
      <c r="D15" s="154"/>
      <c r="E15" s="153"/>
      <c r="F15" s="153"/>
      <c r="G15" s="151">
        <f t="shared" si="0"/>
        <v>0</v>
      </c>
      <c r="H15" s="155"/>
      <c r="I15" s="154"/>
      <c r="J15" s="153"/>
      <c r="K15" s="151">
        <f t="shared" si="1"/>
        <v>0</v>
      </c>
      <c r="L15" s="158"/>
      <c r="M15" s="153"/>
      <c r="N15" s="153"/>
      <c r="O15" s="151">
        <f t="shared" si="2"/>
        <v>0</v>
      </c>
      <c r="P15" s="155"/>
      <c r="Q15" s="154"/>
      <c r="R15" s="153"/>
      <c r="S15" s="151">
        <f t="shared" si="3"/>
        <v>0</v>
      </c>
      <c r="T15" s="158"/>
      <c r="U15" s="153">
        <f>SUM(([3]Budget!$BP$40-4900000)*T15/T$18)</f>
        <v>0</v>
      </c>
      <c r="V15" s="153"/>
      <c r="W15" s="151">
        <f t="shared" si="8"/>
        <v>0</v>
      </c>
      <c r="X15" s="155"/>
      <c r="Y15" s="154"/>
      <c r="Z15" s="153"/>
      <c r="AA15" s="151">
        <f t="shared" si="5"/>
        <v>0</v>
      </c>
      <c r="AB15" s="158"/>
      <c r="AC15" s="153">
        <f>SUM(([3]Budget!$BP$40-4900000)*AB15/AB$18)</f>
        <v>0</v>
      </c>
      <c r="AD15" s="153"/>
      <c r="AE15" s="151">
        <f t="shared" si="9"/>
        <v>0</v>
      </c>
      <c r="AF15" s="158"/>
      <c r="AG15" s="153"/>
      <c r="AH15" s="153"/>
      <c r="AI15" s="151">
        <f t="shared" si="10"/>
        <v>0</v>
      </c>
    </row>
    <row r="16" spans="1:40" ht="12" hidden="1" x14ac:dyDescent="0.2">
      <c r="B16" s="127" t="s">
        <v>254</v>
      </c>
      <c r="C16" s="151"/>
      <c r="D16" s="154"/>
      <c r="E16" s="153"/>
      <c r="F16" s="153"/>
      <c r="G16" s="151">
        <f>SUM(C16+D16-E16)</f>
        <v>0</v>
      </c>
      <c r="H16" s="155"/>
      <c r="I16" s="154"/>
      <c r="J16" s="153"/>
      <c r="K16" s="151">
        <f t="shared" si="1"/>
        <v>0</v>
      </c>
      <c r="L16" s="158"/>
      <c r="M16" s="153"/>
      <c r="N16" s="153"/>
      <c r="O16" s="151">
        <f t="shared" si="2"/>
        <v>0</v>
      </c>
      <c r="P16" s="155"/>
      <c r="Q16" s="154"/>
      <c r="R16" s="153"/>
      <c r="S16" s="151">
        <f t="shared" si="3"/>
        <v>0</v>
      </c>
      <c r="T16" s="158"/>
      <c r="U16" s="153">
        <f>SUM(([3]Budget!$BP$40-4900000)*T16/T$18)</f>
        <v>0</v>
      </c>
      <c r="V16" s="153"/>
      <c r="W16" s="151">
        <f t="shared" si="8"/>
        <v>0</v>
      </c>
      <c r="X16" s="155"/>
      <c r="Y16" s="154"/>
      <c r="Z16" s="153"/>
      <c r="AA16" s="151">
        <f t="shared" si="5"/>
        <v>0</v>
      </c>
      <c r="AB16" s="158"/>
      <c r="AC16" s="153">
        <f>SUM(([3]Budget!$BP$40-4900000)*AB16/AB$18)</f>
        <v>0</v>
      </c>
      <c r="AD16" s="153"/>
      <c r="AE16" s="151">
        <f t="shared" si="9"/>
        <v>0</v>
      </c>
      <c r="AF16" s="158"/>
      <c r="AG16" s="153"/>
      <c r="AH16" s="153"/>
      <c r="AI16" s="151">
        <f t="shared" si="10"/>
        <v>0</v>
      </c>
    </row>
    <row r="17" spans="1:35" ht="14.25" hidden="1" x14ac:dyDescent="0.35">
      <c r="B17" s="127" t="s">
        <v>186</v>
      </c>
      <c r="C17" s="159"/>
      <c r="D17" s="160">
        <f>SUM([3]Budget!AP37)</f>
        <v>0</v>
      </c>
      <c r="E17" s="161">
        <f>SUM([3]Budget!$AP$40*D17/D$18)</f>
        <v>0</v>
      </c>
      <c r="F17" s="161">
        <v>0</v>
      </c>
      <c r="G17" s="159">
        <f t="shared" si="0"/>
        <v>0</v>
      </c>
      <c r="H17" s="160">
        <f>SUM([3]Budget!BC37)</f>
        <v>0</v>
      </c>
      <c r="I17" s="161">
        <f>SUM([3]Budget!$BC$40*H17/H18)</f>
        <v>0</v>
      </c>
      <c r="J17" s="161">
        <v>0</v>
      </c>
      <c r="K17" s="159">
        <f t="shared" si="1"/>
        <v>0</v>
      </c>
      <c r="L17" s="161">
        <f>SUM([3]Budget!BP37)</f>
        <v>0</v>
      </c>
      <c r="M17" s="161"/>
      <c r="N17" s="161">
        <v>0</v>
      </c>
      <c r="O17" s="159">
        <f t="shared" si="2"/>
        <v>0</v>
      </c>
      <c r="P17" s="160">
        <f>SUM([3]Budget!BK37)</f>
        <v>0</v>
      </c>
      <c r="Q17" s="161">
        <f>SUM([3]Budget!$BC$40*P17/P18)</f>
        <v>0</v>
      </c>
      <c r="R17" s="161">
        <v>0</v>
      </c>
      <c r="S17" s="159">
        <f t="shared" si="3"/>
        <v>0</v>
      </c>
      <c r="T17" s="161">
        <f>SUM([3]Budget!BX37)</f>
        <v>0</v>
      </c>
      <c r="U17" s="161">
        <f>SUM([3]Budget!$BP$40*T17/T18)</f>
        <v>0</v>
      </c>
      <c r="V17" s="161">
        <v>0</v>
      </c>
      <c r="W17" s="159">
        <f t="shared" si="8"/>
        <v>0</v>
      </c>
      <c r="X17" s="160">
        <f>SUM([3]Budget!BS37)</f>
        <v>0</v>
      </c>
      <c r="Y17" s="161">
        <f>SUM([3]Budget!$BC$40*X17/X18)</f>
        <v>0</v>
      </c>
      <c r="Z17" s="161">
        <v>0</v>
      </c>
      <c r="AA17" s="159">
        <f t="shared" si="5"/>
        <v>0</v>
      </c>
      <c r="AB17" s="161">
        <f>SUM([3]Budget!CF37)</f>
        <v>0</v>
      </c>
      <c r="AC17" s="161">
        <f>SUM([3]Budget!$BP$40*AB17/AB18)</f>
        <v>0</v>
      </c>
      <c r="AD17" s="161">
        <v>0</v>
      </c>
      <c r="AE17" s="159">
        <f t="shared" si="9"/>
        <v>0</v>
      </c>
      <c r="AF17" s="161">
        <f>SUM([3]Budget!CJ37)</f>
        <v>0</v>
      </c>
      <c r="AG17" s="161"/>
      <c r="AH17" s="161">
        <v>0</v>
      </c>
      <c r="AI17" s="159">
        <f t="shared" si="10"/>
        <v>0</v>
      </c>
    </row>
    <row r="18" spans="1:35" s="131" customFormat="1" ht="12" x14ac:dyDescent="0.2">
      <c r="A18" s="162"/>
      <c r="B18" s="163"/>
      <c r="C18" s="164"/>
      <c r="D18" s="165">
        <f t="shared" ref="D18:O18" si="15">SUM(D8:D17)</f>
        <v>142000</v>
      </c>
      <c r="E18" s="153">
        <f>SUM(E8:E17)</f>
        <v>0</v>
      </c>
      <c r="F18" s="153">
        <f>SUM(F9:F17)</f>
        <v>0</v>
      </c>
      <c r="G18" s="166">
        <f t="shared" si="15"/>
        <v>142000</v>
      </c>
      <c r="H18" s="167">
        <f t="shared" si="15"/>
        <v>146000</v>
      </c>
      <c r="I18" s="153">
        <f t="shared" si="15"/>
        <v>0</v>
      </c>
      <c r="J18" s="153">
        <f t="shared" si="15"/>
        <v>0</v>
      </c>
      <c r="K18" s="166">
        <f t="shared" si="15"/>
        <v>288000</v>
      </c>
      <c r="L18" s="167">
        <f t="shared" si="15"/>
        <v>0</v>
      </c>
      <c r="M18" s="153">
        <f t="shared" si="15"/>
        <v>0</v>
      </c>
      <c r="N18" s="153">
        <f>SUM(N9:N17)</f>
        <v>0</v>
      </c>
      <c r="O18" s="166">
        <f t="shared" si="15"/>
        <v>288000</v>
      </c>
      <c r="P18" s="167">
        <f t="shared" ref="P18:U18" si="16">SUM(P8:P17)</f>
        <v>2138000</v>
      </c>
      <c r="Q18" s="153">
        <f t="shared" si="16"/>
        <v>0</v>
      </c>
      <c r="R18" s="153">
        <f t="shared" si="16"/>
        <v>0</v>
      </c>
      <c r="S18" s="166">
        <f t="shared" si="16"/>
        <v>2426000</v>
      </c>
      <c r="T18" s="167">
        <f t="shared" si="16"/>
        <v>4322000</v>
      </c>
      <c r="U18" s="153">
        <f t="shared" si="16"/>
        <v>0</v>
      </c>
      <c r="V18" s="153">
        <f>SUM(V9:V17)</f>
        <v>0</v>
      </c>
      <c r="W18" s="166">
        <f t="shared" ref="W18:AC18" si="17">SUM(W8:W17)</f>
        <v>6748000</v>
      </c>
      <c r="X18" s="167">
        <f t="shared" si="17"/>
        <v>2436000</v>
      </c>
      <c r="Y18" s="153">
        <f t="shared" si="17"/>
        <v>0</v>
      </c>
      <c r="Z18" s="153">
        <f t="shared" si="17"/>
        <v>0</v>
      </c>
      <c r="AA18" s="166">
        <f t="shared" si="17"/>
        <v>9184000</v>
      </c>
      <c r="AB18" s="167">
        <f t="shared" si="17"/>
        <v>286000</v>
      </c>
      <c r="AC18" s="153">
        <f t="shared" si="17"/>
        <v>0</v>
      </c>
      <c r="AD18" s="153">
        <f>SUM(AD9:AD17)</f>
        <v>0</v>
      </c>
      <c r="AE18" s="166">
        <f t="shared" ref="AE18:AG18" si="18">SUM(AE8:AE17)</f>
        <v>9470000</v>
      </c>
      <c r="AF18" s="167">
        <f t="shared" si="18"/>
        <v>0</v>
      </c>
      <c r="AG18" s="153">
        <f t="shared" si="18"/>
        <v>0</v>
      </c>
      <c r="AH18" s="153">
        <f>SUM(AH9:AH17)</f>
        <v>0</v>
      </c>
      <c r="AI18" s="166">
        <f t="shared" ref="AI18" si="19">SUM(AI8:AI17)</f>
        <v>9470000</v>
      </c>
    </row>
    <row r="19" spans="1:35" ht="9.75" customHeight="1" x14ac:dyDescent="0.2">
      <c r="A19" s="127"/>
      <c r="C19" s="151"/>
      <c r="D19" s="168"/>
      <c r="E19" s="169"/>
      <c r="F19" s="169"/>
      <c r="G19" s="151"/>
      <c r="H19" s="168"/>
      <c r="I19" s="169"/>
      <c r="J19" s="169"/>
      <c r="K19" s="151"/>
      <c r="L19" s="168"/>
      <c r="M19" s="169"/>
      <c r="N19" s="169"/>
      <c r="O19" s="151"/>
      <c r="P19" s="168"/>
      <c r="Q19" s="169"/>
      <c r="R19" s="169"/>
      <c r="S19" s="151"/>
      <c r="T19" s="168"/>
      <c r="U19" s="169"/>
      <c r="V19" s="169"/>
      <c r="W19" s="151"/>
      <c r="X19" s="168"/>
      <c r="Y19" s="169"/>
      <c r="Z19" s="169"/>
      <c r="AA19" s="151"/>
      <c r="AB19" s="168"/>
      <c r="AC19" s="169"/>
      <c r="AD19" s="169"/>
      <c r="AE19" s="151"/>
      <c r="AF19" s="168"/>
      <c r="AG19" s="169"/>
      <c r="AH19" s="169"/>
      <c r="AI19" s="151"/>
    </row>
    <row r="20" spans="1:35" s="131" customFormat="1" ht="12" x14ac:dyDescent="0.2">
      <c r="A20" s="162"/>
      <c r="B20" s="163"/>
      <c r="C20" s="170"/>
      <c r="D20" s="165"/>
      <c r="E20" s="171"/>
      <c r="F20" s="171"/>
      <c r="G20" s="164"/>
      <c r="H20" s="165"/>
      <c r="I20" s="171"/>
      <c r="J20" s="171"/>
      <c r="K20" s="164"/>
      <c r="L20" s="165"/>
      <c r="M20" s="171"/>
      <c r="N20" s="171"/>
      <c r="O20" s="164"/>
      <c r="P20" s="165"/>
      <c r="Q20" s="171"/>
      <c r="R20" s="171"/>
      <c r="S20" s="164"/>
      <c r="T20" s="165"/>
      <c r="U20" s="171"/>
      <c r="V20" s="171"/>
      <c r="W20" s="164"/>
      <c r="X20" s="165"/>
      <c r="Y20" s="171"/>
      <c r="Z20" s="171"/>
      <c r="AA20" s="164"/>
      <c r="AB20" s="165"/>
      <c r="AC20" s="171"/>
      <c r="AD20" s="171"/>
      <c r="AE20" s="164"/>
      <c r="AF20" s="165"/>
      <c r="AG20" s="171"/>
      <c r="AH20" s="171"/>
      <c r="AI20" s="164"/>
    </row>
    <row r="21" spans="1:35" ht="12" x14ac:dyDescent="0.2">
      <c r="A21" s="132"/>
      <c r="C21" s="172"/>
      <c r="D21" s="173"/>
      <c r="E21" s="174"/>
      <c r="F21" s="174"/>
      <c r="G21" s="172"/>
      <c r="H21" s="173"/>
      <c r="I21" s="174"/>
      <c r="J21" s="174"/>
      <c r="K21" s="172"/>
      <c r="L21" s="173"/>
      <c r="M21" s="174"/>
      <c r="N21" s="174"/>
      <c r="O21" s="172"/>
      <c r="P21" s="173"/>
      <c r="Q21" s="174"/>
      <c r="R21" s="174"/>
      <c r="S21" s="172"/>
      <c r="T21" s="173"/>
      <c r="U21" s="174"/>
      <c r="V21" s="174"/>
      <c r="W21" s="172"/>
      <c r="X21" s="173"/>
      <c r="Y21" s="174"/>
      <c r="Z21" s="174"/>
      <c r="AA21" s="172"/>
      <c r="AB21" s="173"/>
      <c r="AC21" s="174"/>
      <c r="AD21" s="174"/>
      <c r="AE21" s="172"/>
      <c r="AF21" s="173"/>
      <c r="AG21" s="174"/>
      <c r="AH21" s="174"/>
      <c r="AI21" s="172"/>
    </row>
    <row r="22" spans="1:35" ht="12" x14ac:dyDescent="0.2">
      <c r="A22" s="132"/>
      <c r="B22" s="175" t="s">
        <v>188</v>
      </c>
      <c r="C22" s="176"/>
      <c r="D22" s="176">
        <f>D18-D20</f>
        <v>142000</v>
      </c>
      <c r="E22" s="176"/>
      <c r="F22" s="176"/>
      <c r="G22" s="176"/>
      <c r="H22" s="176">
        <f>H18-H20</f>
        <v>146000</v>
      </c>
      <c r="I22" s="176"/>
      <c r="J22" s="176"/>
      <c r="K22" s="176"/>
      <c r="L22" s="176">
        <f>+L18-L20</f>
        <v>0</v>
      </c>
      <c r="M22" s="176"/>
      <c r="N22" s="176"/>
      <c r="O22" s="176"/>
      <c r="P22" s="176">
        <f>P18-P20</f>
        <v>2138000</v>
      </c>
      <c r="Q22" s="176"/>
      <c r="R22" s="176"/>
      <c r="S22" s="176"/>
      <c r="T22" s="176">
        <f>+T18-T20</f>
        <v>4322000</v>
      </c>
      <c r="U22" s="176"/>
      <c r="V22" s="176"/>
      <c r="W22" s="176"/>
      <c r="X22" s="176">
        <f>X18-X20</f>
        <v>2436000</v>
      </c>
      <c r="Y22" s="176"/>
      <c r="Z22" s="176"/>
      <c r="AA22" s="176"/>
      <c r="AB22" s="176">
        <f>+AB18-AB20</f>
        <v>286000</v>
      </c>
      <c r="AC22" s="176"/>
      <c r="AD22" s="176"/>
      <c r="AE22" s="176"/>
      <c r="AF22" s="176">
        <f>+AF18-AF20</f>
        <v>0</v>
      </c>
      <c r="AG22" s="176"/>
      <c r="AH22" s="176"/>
      <c r="AI22" s="176"/>
    </row>
    <row r="23" spans="1:35" ht="12" x14ac:dyDescent="0.2">
      <c r="A23" s="132"/>
      <c r="C23" s="177"/>
      <c r="D23" s="177"/>
      <c r="E23" s="177"/>
      <c r="F23" s="177"/>
      <c r="G23" s="177"/>
      <c r="H23" s="177"/>
      <c r="I23" s="177"/>
      <c r="J23" s="176"/>
      <c r="K23" s="176"/>
      <c r="L23" s="176"/>
      <c r="M23" s="177"/>
      <c r="N23" s="176"/>
      <c r="O23" s="176"/>
      <c r="P23" s="177"/>
      <c r="Q23" s="177"/>
      <c r="R23" s="176"/>
      <c r="S23" s="176"/>
      <c r="T23" s="176"/>
      <c r="U23" s="177"/>
      <c r="V23" s="176"/>
      <c r="W23" s="176"/>
      <c r="X23" s="177"/>
      <c r="Y23" s="177"/>
      <c r="Z23" s="176"/>
      <c r="AA23" s="176"/>
      <c r="AB23" s="176"/>
      <c r="AC23" s="177"/>
      <c r="AD23" s="176"/>
      <c r="AE23" s="176"/>
      <c r="AF23" s="176"/>
      <c r="AG23" s="177"/>
      <c r="AH23" s="176"/>
      <c r="AI23" s="176"/>
    </row>
    <row r="24" spans="1:35" ht="12" x14ac:dyDescent="0.2">
      <c r="A24" s="132"/>
      <c r="C24" s="128"/>
      <c r="F24" s="178"/>
      <c r="G24" s="176"/>
      <c r="H24" s="176"/>
      <c r="I24" s="179"/>
      <c r="J24" s="179"/>
      <c r="K24" s="180"/>
      <c r="L24" s="179"/>
      <c r="M24" s="181"/>
      <c r="N24" s="181"/>
      <c r="P24" s="176"/>
      <c r="Q24" s="179"/>
      <c r="R24" s="179"/>
      <c r="S24" s="180"/>
      <c r="T24" s="179"/>
      <c r="U24" s="181"/>
      <c r="V24" s="181"/>
      <c r="X24" s="176"/>
      <c r="Y24" s="179"/>
      <c r="Z24" s="179"/>
      <c r="AA24" s="180"/>
      <c r="AB24" s="179"/>
      <c r="AC24" s="181"/>
      <c r="AD24" s="181"/>
      <c r="AF24" s="179"/>
      <c r="AG24" s="181"/>
      <c r="AH24" s="181"/>
    </row>
    <row r="25" spans="1:35" ht="12" x14ac:dyDescent="0.2">
      <c r="A25" s="182" t="s">
        <v>189</v>
      </c>
      <c r="C25" s="183" t="s">
        <v>190</v>
      </c>
      <c r="D25" s="184">
        <f>+D5</f>
        <v>2023</v>
      </c>
      <c r="E25" s="184">
        <f>+D25+1</f>
        <v>2024</v>
      </c>
      <c r="F25" s="184">
        <f>+E25+1</f>
        <v>2025</v>
      </c>
      <c r="G25" s="184">
        <f t="shared" ref="G25:J25" si="20">+F25+1</f>
        <v>2026</v>
      </c>
      <c r="H25" s="184">
        <f t="shared" si="20"/>
        <v>2027</v>
      </c>
      <c r="I25" s="184">
        <f t="shared" si="20"/>
        <v>2028</v>
      </c>
      <c r="J25" s="184">
        <f t="shared" si="20"/>
        <v>2029</v>
      </c>
      <c r="K25" s="184">
        <f t="shared" ref="K25" si="21">+J25+1</f>
        <v>2030</v>
      </c>
      <c r="L25" s="185"/>
      <c r="P25" s="176"/>
      <c r="Q25" s="185"/>
      <c r="R25" s="185"/>
      <c r="S25" s="186"/>
      <c r="T25" s="185"/>
      <c r="X25" s="176"/>
      <c r="Y25" s="185"/>
      <c r="Z25" s="185"/>
      <c r="AA25" s="186"/>
      <c r="AB25" s="185"/>
      <c r="AF25" s="185"/>
    </row>
    <row r="26" spans="1:35" ht="12" x14ac:dyDescent="0.2">
      <c r="A26" s="132"/>
      <c r="C26" s="187"/>
      <c r="D26" s="188"/>
      <c r="E26" s="188"/>
      <c r="F26" s="188"/>
      <c r="G26" s="188"/>
      <c r="H26" s="188"/>
      <c r="I26" s="188"/>
      <c r="J26" s="188"/>
      <c r="K26" s="188"/>
      <c r="L26" s="189"/>
      <c r="P26" s="176"/>
      <c r="Q26" s="189"/>
      <c r="R26" s="189"/>
      <c r="S26" s="190"/>
      <c r="T26" s="189"/>
      <c r="X26" s="176"/>
      <c r="Y26" s="189"/>
      <c r="Z26" s="189"/>
      <c r="AA26" s="190"/>
      <c r="AB26" s="189"/>
      <c r="AF26" s="189"/>
    </row>
    <row r="27" spans="1:35" ht="12" hidden="1" x14ac:dyDescent="0.2">
      <c r="B27" s="127" t="str">
        <f>B9</f>
        <v>Production - BGS GENERATORS</v>
      </c>
      <c r="C27" s="191">
        <v>6.1499999999999999E-2</v>
      </c>
      <c r="D27" s="152">
        <f>SUM(C9*$C27)+SUM((D9-E9-F9)*$C27*0.5)</f>
        <v>0</v>
      </c>
      <c r="E27" s="152">
        <f>SUM(G9*$C27)+SUM((H9-I9-J9)*$C27*0.5)</f>
        <v>0</v>
      </c>
      <c r="F27" s="192">
        <f t="shared" ref="F27:F33" si="22">SUM(K9*$C27)+SUM((L9-M9-N9)*$C27*0.5)</f>
        <v>0</v>
      </c>
      <c r="G27" s="192">
        <f t="shared" ref="G27:G33" si="23">SUM(L9*$C27)+SUM((M9-N9-O9)*$C27*0.5)</f>
        <v>0</v>
      </c>
      <c r="H27" s="192">
        <f t="shared" ref="H27:H33" si="24">SUM(M9*$C27)+SUM((N9-O9-P9)*$C27*0.5)</f>
        <v>0</v>
      </c>
      <c r="I27" s="192">
        <f t="shared" ref="I27:I33" si="25">SUM(N9*$C27)+SUM((O9-P9-Q9)*$C27*0.5)</f>
        <v>0</v>
      </c>
      <c r="J27" s="192">
        <f t="shared" ref="J27:K33" si="26">SUM(O9*$C27)+SUM((P9-Q9-R9)*$C27*0.5)</f>
        <v>0</v>
      </c>
      <c r="K27" s="192">
        <f t="shared" si="26"/>
        <v>0</v>
      </c>
      <c r="L27" s="193"/>
      <c r="P27" s="176"/>
      <c r="Q27" s="189"/>
      <c r="R27" s="189"/>
      <c r="S27" s="180"/>
      <c r="T27" s="193"/>
      <c r="X27" s="176"/>
      <c r="Y27" s="189"/>
      <c r="Z27" s="189"/>
      <c r="AA27" s="180"/>
      <c r="AB27" s="193"/>
      <c r="AF27" s="193"/>
    </row>
    <row r="28" spans="1:35" ht="12" hidden="1" x14ac:dyDescent="0.2">
      <c r="B28" s="127" t="str">
        <f>B10</f>
        <v>Production - CT3 GENERATOR</v>
      </c>
      <c r="C28" s="191">
        <v>2.64E-2</v>
      </c>
      <c r="D28" s="152">
        <f>SUM(C10*$C28)+SUM((D10-E10-F10)*$C28*0.5)</f>
        <v>0</v>
      </c>
      <c r="E28" s="152">
        <f>SUM(G10*$C28)+SUM((H10-I10-J10)*$C28*0.5)</f>
        <v>0</v>
      </c>
      <c r="F28" s="192">
        <f t="shared" si="22"/>
        <v>0</v>
      </c>
      <c r="G28" s="192">
        <f t="shared" si="23"/>
        <v>0</v>
      </c>
      <c r="H28" s="192">
        <f t="shared" si="24"/>
        <v>0</v>
      </c>
      <c r="I28" s="192">
        <f t="shared" si="25"/>
        <v>0</v>
      </c>
      <c r="J28" s="192">
        <f t="shared" si="26"/>
        <v>0</v>
      </c>
      <c r="K28" s="192">
        <f t="shared" si="26"/>
        <v>0</v>
      </c>
      <c r="L28" s="193"/>
      <c r="P28" s="176"/>
      <c r="Q28" s="189"/>
      <c r="R28" s="189"/>
      <c r="S28" s="180"/>
      <c r="T28" s="193"/>
      <c r="X28" s="176"/>
      <c r="Y28" s="189"/>
      <c r="Z28" s="189"/>
      <c r="AA28" s="180"/>
      <c r="AB28" s="193"/>
      <c r="AF28" s="193"/>
    </row>
    <row r="29" spans="1:35" ht="12" hidden="1" x14ac:dyDescent="0.2">
      <c r="B29" s="127" t="str">
        <f>B11</f>
        <v>ECC</v>
      </c>
      <c r="C29" s="191">
        <v>3.2199999999999999E-2</v>
      </c>
      <c r="D29" s="152">
        <f>SUM(C11*$C29)+SUM((D11-E11-F11)*$C29*0.5)</f>
        <v>0</v>
      </c>
      <c r="E29" s="152">
        <f>SUM(G11*$C29)+SUM((H11-I11-J11)*$C29*0.5)</f>
        <v>0</v>
      </c>
      <c r="F29" s="192">
        <f t="shared" si="22"/>
        <v>0</v>
      </c>
      <c r="G29" s="192">
        <f t="shared" si="23"/>
        <v>0</v>
      </c>
      <c r="H29" s="192">
        <f t="shared" si="24"/>
        <v>0</v>
      </c>
      <c r="I29" s="192">
        <f t="shared" si="25"/>
        <v>0</v>
      </c>
      <c r="J29" s="192">
        <f t="shared" si="26"/>
        <v>0</v>
      </c>
      <c r="K29" s="192">
        <f t="shared" si="26"/>
        <v>0</v>
      </c>
      <c r="L29" s="193"/>
      <c r="P29" s="176"/>
      <c r="Q29" s="189"/>
      <c r="R29" s="189"/>
      <c r="S29" s="180"/>
      <c r="T29" s="193"/>
      <c r="X29" s="176"/>
      <c r="Y29" s="189"/>
      <c r="Z29" s="189"/>
      <c r="AA29" s="180"/>
      <c r="AB29" s="193"/>
      <c r="AF29" s="193"/>
    </row>
    <row r="30" spans="1:35" ht="12" x14ac:dyDescent="0.2">
      <c r="B30" s="127" t="str">
        <f>B12</f>
        <v>Transmission Plant</v>
      </c>
      <c r="C30" s="191">
        <v>2.64E-2</v>
      </c>
      <c r="D30" s="152">
        <f>SUM(C$12*$C30)+SUM((D$12-E$12-F$12)*$C30*0.5)</f>
        <v>1874.4</v>
      </c>
      <c r="E30" s="152">
        <f>SUM(G$12*$C30)+SUM((H$12-I$12-J$12)*$C30*0.5)</f>
        <v>5676</v>
      </c>
      <c r="F30" s="192">
        <f>SUM(K$12*$C30)+SUM((L$12-M$12-N$12)*$C30*0.5)</f>
        <v>7603.2</v>
      </c>
      <c r="G30" s="192">
        <f>SUM(O$12*$C30)+SUM((P$12-Q$12-R$12)*$C30*0.5)</f>
        <v>35824.799999999996</v>
      </c>
      <c r="H30" s="192">
        <f>SUM(S$12*$C30)+SUM((T$12-U$12-V$12)*$C30*0.5)</f>
        <v>121096.8</v>
      </c>
      <c r="I30" s="192">
        <f>SUM(W$12*$C30)+SUM((X$12-Y$12-Z$12)*$C30*0.5)</f>
        <v>210302.40000000002</v>
      </c>
      <c r="J30" s="192">
        <f>SUM(AA$12*$C30)+SUM((AB$12-AC$12-AD$12)*$C30*0.5)</f>
        <v>246232.80000000002</v>
      </c>
      <c r="K30" s="192">
        <f>SUM(AE$12*$C30)+SUM((AF$12-AG$12-AH$12)*$C30*0.5)</f>
        <v>250008</v>
      </c>
      <c r="L30" s="193"/>
      <c r="O30" s="178"/>
      <c r="P30" s="176"/>
      <c r="Q30" s="189"/>
      <c r="R30" s="189"/>
      <c r="S30" s="180"/>
      <c r="T30" s="193"/>
      <c r="W30" s="178"/>
      <c r="X30" s="176"/>
      <c r="Y30" s="189"/>
      <c r="Z30" s="189"/>
      <c r="AA30" s="180"/>
      <c r="AB30" s="193"/>
      <c r="AE30" s="178"/>
      <c r="AF30" s="193"/>
      <c r="AI30" s="178"/>
    </row>
    <row r="31" spans="1:35" ht="12" hidden="1" x14ac:dyDescent="0.2">
      <c r="B31" s="127" t="str">
        <f>B13</f>
        <v>Distribution Plant</v>
      </c>
      <c r="C31" s="191">
        <v>3.8709200946182798E-2</v>
      </c>
      <c r="D31" s="152">
        <f>SUM(C13*$C31)+SUM((D13-E13-F13)*$C31*0.5)</f>
        <v>0</v>
      </c>
      <c r="E31" s="152">
        <f>SUM(G13*$C31)+SUM((H13-I13-J13)*$C31*0.5)</f>
        <v>0</v>
      </c>
      <c r="F31" s="192">
        <f t="shared" si="22"/>
        <v>0</v>
      </c>
      <c r="G31" s="192">
        <f t="shared" si="23"/>
        <v>0</v>
      </c>
      <c r="H31" s="192">
        <f t="shared" si="24"/>
        <v>0</v>
      </c>
      <c r="I31" s="192">
        <f t="shared" si="25"/>
        <v>0</v>
      </c>
      <c r="J31" s="192">
        <f t="shared" si="26"/>
        <v>0</v>
      </c>
      <c r="K31" s="192">
        <f t="shared" si="26"/>
        <v>0</v>
      </c>
      <c r="L31" s="193"/>
      <c r="O31" s="178"/>
      <c r="P31" s="176"/>
      <c r="Q31" s="189"/>
      <c r="R31" s="189"/>
      <c r="S31" s="180"/>
      <c r="T31" s="193"/>
      <c r="W31" s="178"/>
      <c r="X31" s="176"/>
      <c r="Y31" s="189"/>
      <c r="Z31" s="189"/>
      <c r="AA31" s="180"/>
      <c r="AB31" s="193"/>
      <c r="AE31" s="178"/>
      <c r="AF31" s="193"/>
      <c r="AI31" s="178"/>
    </row>
    <row r="32" spans="1:35" ht="12" hidden="1" x14ac:dyDescent="0.2">
      <c r="B32" s="127" t="s">
        <v>184</v>
      </c>
      <c r="C32" s="191">
        <v>6.8900000000000003E-2</v>
      </c>
      <c r="D32" s="152">
        <f>(SUM(C14*$C32)+SUM((D14-E14-F14)*$C32*0.5))</f>
        <v>0</v>
      </c>
      <c r="E32" s="152">
        <f>(SUM(G14*$C32)+SUM((H14-I14-J14)*$C32*0.5))</f>
        <v>0</v>
      </c>
      <c r="F32" s="192">
        <f t="shared" si="22"/>
        <v>0</v>
      </c>
      <c r="G32" s="192">
        <f t="shared" si="23"/>
        <v>0</v>
      </c>
      <c r="H32" s="192">
        <f t="shared" si="24"/>
        <v>0</v>
      </c>
      <c r="I32" s="192">
        <f t="shared" si="25"/>
        <v>0</v>
      </c>
      <c r="J32" s="192">
        <f t="shared" si="26"/>
        <v>0</v>
      </c>
      <c r="K32" s="192">
        <f t="shared" si="26"/>
        <v>0</v>
      </c>
      <c r="L32" s="193"/>
      <c r="P32" s="176"/>
      <c r="Q32" s="189"/>
      <c r="R32" s="189"/>
      <c r="S32" s="180"/>
      <c r="T32" s="193"/>
      <c r="X32" s="176"/>
      <c r="Y32" s="189"/>
      <c r="Z32" s="189"/>
      <c r="AA32" s="180"/>
      <c r="AB32" s="193"/>
      <c r="AF32" s="193"/>
    </row>
    <row r="33" spans="1:35" ht="12" hidden="1" x14ac:dyDescent="0.2">
      <c r="B33" s="127" t="s">
        <v>185</v>
      </c>
      <c r="C33" s="191">
        <v>3.183902176774079E-2</v>
      </c>
      <c r="D33" s="152">
        <f>SUM(C15*$C33)+SUM((D15-E15-F15)*$C33*0.5)</f>
        <v>0</v>
      </c>
      <c r="E33" s="152">
        <f>SUM(G15*$C33)+SUM((H15-I15-J15)*$C33*0.5)</f>
        <v>0</v>
      </c>
      <c r="F33" s="192">
        <f t="shared" si="22"/>
        <v>0</v>
      </c>
      <c r="G33" s="192">
        <f t="shared" si="23"/>
        <v>0</v>
      </c>
      <c r="H33" s="192">
        <f t="shared" si="24"/>
        <v>0</v>
      </c>
      <c r="I33" s="192">
        <f t="shared" si="25"/>
        <v>0</v>
      </c>
      <c r="J33" s="192">
        <f t="shared" si="26"/>
        <v>0</v>
      </c>
      <c r="K33" s="192">
        <f t="shared" si="26"/>
        <v>0</v>
      </c>
      <c r="L33" s="193"/>
      <c r="O33" s="178"/>
      <c r="P33" s="176"/>
      <c r="Q33" s="189"/>
      <c r="R33" s="189"/>
      <c r="S33" s="193"/>
      <c r="T33" s="193"/>
      <c r="W33" s="178"/>
      <c r="X33" s="176"/>
      <c r="Y33" s="189"/>
      <c r="Z33" s="189"/>
      <c r="AA33" s="193"/>
      <c r="AB33" s="193"/>
      <c r="AE33" s="178"/>
      <c r="AF33" s="193"/>
      <c r="AI33" s="178"/>
    </row>
    <row r="34" spans="1:35" ht="15.75" hidden="1" customHeight="1" x14ac:dyDescent="0.2">
      <c r="B34" s="127" t="s">
        <v>191</v>
      </c>
      <c r="C34" s="191">
        <v>0.13219278468704529</v>
      </c>
      <c r="D34" s="152">
        <f>SUM(C16*$C34)+SUM((D16-E16-F16)*$C34*0.5)</f>
        <v>0</v>
      </c>
      <c r="E34" s="152">
        <f>SUM(G16-F16)*$C34+SUM((H16+F16-I16-J16)*$C34*0.5)</f>
        <v>0</v>
      </c>
      <c r="F34" s="192">
        <f>SUM(K16-J16)*$C34+SUM((L16-M16-N16+J16)*$C34*0.5)</f>
        <v>0</v>
      </c>
      <c r="G34" s="192">
        <f t="shared" ref="G34:K34" si="27">SUM(L16-K16)*$C34+SUM((M16-N16-O16+K16)*$C34*0.5)</f>
        <v>0</v>
      </c>
      <c r="H34" s="192">
        <f t="shared" si="27"/>
        <v>0</v>
      </c>
      <c r="I34" s="192">
        <f t="shared" si="27"/>
        <v>0</v>
      </c>
      <c r="J34" s="192">
        <f t="shared" si="27"/>
        <v>0</v>
      </c>
      <c r="K34" s="192">
        <f t="shared" si="27"/>
        <v>0</v>
      </c>
      <c r="L34" s="194"/>
      <c r="P34" s="176"/>
      <c r="Q34" s="189"/>
      <c r="R34" s="189"/>
      <c r="S34" s="194"/>
      <c r="T34" s="194"/>
      <c r="X34" s="176"/>
      <c r="Y34" s="189"/>
      <c r="Z34" s="189"/>
      <c r="AA34" s="194"/>
      <c r="AB34" s="194"/>
      <c r="AF34" s="194"/>
    </row>
    <row r="35" spans="1:35" ht="14.25" hidden="1" x14ac:dyDescent="0.35">
      <c r="B35" s="127" t="s">
        <v>186</v>
      </c>
      <c r="C35" s="191">
        <v>0</v>
      </c>
      <c r="D35" s="195">
        <f>SUM(C17*$C35)+SUM((D17-E17)*$C35*0.05)</f>
        <v>0</v>
      </c>
      <c r="E35" s="195">
        <f>SUM(G17*$C35)+SUM((H17-I17)*$C35*0.5)</f>
        <v>0</v>
      </c>
      <c r="F35" s="196">
        <f>SUM(K17*$C35)+SUM((L17-M17)*$C35*0.05)</f>
        <v>0</v>
      </c>
      <c r="G35" s="196">
        <f t="shared" ref="G35:K35" si="28">SUM(L17*$C35)+SUM((M17-N17)*$C35*0.05)</f>
        <v>0</v>
      </c>
      <c r="H35" s="196">
        <f t="shared" si="28"/>
        <v>0</v>
      </c>
      <c r="I35" s="196">
        <f t="shared" si="28"/>
        <v>0</v>
      </c>
      <c r="J35" s="196">
        <f t="shared" si="28"/>
        <v>0</v>
      </c>
      <c r="K35" s="196">
        <f t="shared" si="28"/>
        <v>0</v>
      </c>
      <c r="L35" s="197"/>
      <c r="P35" s="176"/>
      <c r="Q35" s="189"/>
      <c r="R35" s="189"/>
      <c r="S35" s="197"/>
      <c r="T35" s="197"/>
      <c r="X35" s="176"/>
      <c r="Y35" s="189"/>
      <c r="Z35" s="189"/>
      <c r="AA35" s="197"/>
      <c r="AB35" s="197"/>
      <c r="AF35" s="197"/>
    </row>
    <row r="36" spans="1:35" ht="12" hidden="1" x14ac:dyDescent="0.2">
      <c r="A36" s="132"/>
      <c r="C36" s="187"/>
      <c r="D36" s="198">
        <f>SUM(D27:D35)</f>
        <v>1874.4</v>
      </c>
      <c r="E36" s="198">
        <f>SUM(E27:E35)</f>
        <v>5676</v>
      </c>
      <c r="F36" s="198">
        <f>SUM(F27:F35)</f>
        <v>7603.2</v>
      </c>
      <c r="G36" s="198">
        <f t="shared" ref="G36:K36" si="29">SUM(G27:G35)</f>
        <v>35824.799999999996</v>
      </c>
      <c r="H36" s="198">
        <f t="shared" si="29"/>
        <v>121096.8</v>
      </c>
      <c r="I36" s="198">
        <f t="shared" si="29"/>
        <v>210302.40000000002</v>
      </c>
      <c r="J36" s="198">
        <f t="shared" si="29"/>
        <v>246232.80000000002</v>
      </c>
      <c r="K36" s="198">
        <f t="shared" si="29"/>
        <v>250008</v>
      </c>
      <c r="L36" s="199"/>
      <c r="P36" s="176"/>
      <c r="Q36" s="189"/>
      <c r="R36" s="189"/>
      <c r="S36" s="199"/>
      <c r="T36" s="199"/>
      <c r="X36" s="176"/>
      <c r="Y36" s="189"/>
      <c r="Z36" s="189"/>
      <c r="AA36" s="199"/>
      <c r="AB36" s="199"/>
      <c r="AF36" s="199"/>
    </row>
    <row r="37" spans="1:35" ht="12" x14ac:dyDescent="0.2">
      <c r="A37" s="132"/>
      <c r="C37" s="187"/>
      <c r="D37" s="200"/>
      <c r="E37" s="200"/>
      <c r="F37" s="200"/>
      <c r="G37" s="200"/>
      <c r="H37" s="200"/>
      <c r="I37" s="200"/>
      <c r="J37" s="200"/>
      <c r="K37" s="200"/>
      <c r="L37" s="201"/>
      <c r="M37" s="202"/>
      <c r="N37" s="202"/>
      <c r="O37" s="202"/>
      <c r="P37" s="176"/>
      <c r="Q37" s="189"/>
      <c r="R37" s="189"/>
      <c r="S37" s="131"/>
      <c r="T37" s="201"/>
      <c r="U37" s="202"/>
      <c r="V37" s="202"/>
      <c r="W37" s="202"/>
      <c r="X37" s="176"/>
      <c r="Y37" s="189"/>
      <c r="Z37" s="189"/>
      <c r="AA37" s="131"/>
      <c r="AB37" s="201"/>
      <c r="AC37" s="202"/>
      <c r="AD37" s="202"/>
      <c r="AE37" s="202"/>
      <c r="AF37" s="201"/>
      <c r="AG37" s="202"/>
      <c r="AH37" s="202"/>
      <c r="AI37" s="202"/>
    </row>
    <row r="38" spans="1:35" ht="14.25" x14ac:dyDescent="0.35">
      <c r="A38" s="132" t="s">
        <v>187</v>
      </c>
      <c r="C38" s="187"/>
      <c r="D38" s="203">
        <f>-SUM(C20*$C38)-((D20-E20-F20)*$C38*0.5)</f>
        <v>0</v>
      </c>
      <c r="E38" s="203">
        <f>-SUM(G20-F20)*$C38-((H20+F20-I20-J20)*$C38*0.5)</f>
        <v>0</v>
      </c>
      <c r="F38" s="203">
        <f>-SUM(K20-J20)*$C38-((L20+J20-M20-N20)*$C38*0.5)</f>
        <v>0</v>
      </c>
      <c r="G38" s="203">
        <f t="shared" ref="G38:K38" si="30">-SUM(L20-K20)*$C38-((M20+K20-N20-O20)*$C38*0.5)</f>
        <v>0</v>
      </c>
      <c r="H38" s="203">
        <f t="shared" si="30"/>
        <v>0</v>
      </c>
      <c r="I38" s="203">
        <f t="shared" si="30"/>
        <v>0</v>
      </c>
      <c r="J38" s="203">
        <f t="shared" si="30"/>
        <v>0</v>
      </c>
      <c r="K38" s="203">
        <f t="shared" si="30"/>
        <v>0</v>
      </c>
      <c r="L38" s="202"/>
      <c r="M38" s="202"/>
      <c r="N38" s="202"/>
      <c r="O38" s="202"/>
      <c r="P38" s="176"/>
      <c r="Q38" s="189"/>
      <c r="R38" s="189"/>
      <c r="S38" s="131"/>
      <c r="T38" s="202"/>
      <c r="U38" s="202"/>
      <c r="V38" s="202"/>
      <c r="W38" s="202"/>
      <c r="X38" s="176"/>
      <c r="Y38" s="189"/>
      <c r="Z38" s="189"/>
      <c r="AA38" s="131"/>
      <c r="AB38" s="202"/>
      <c r="AC38" s="202"/>
      <c r="AD38" s="202"/>
      <c r="AE38" s="202"/>
      <c r="AF38" s="202"/>
      <c r="AG38" s="202"/>
      <c r="AH38" s="202"/>
      <c r="AI38" s="202"/>
    </row>
    <row r="39" spans="1:35" ht="12" x14ac:dyDescent="0.2">
      <c r="A39" s="132"/>
      <c r="C39" s="187"/>
      <c r="D39" s="200"/>
      <c r="E39" s="200"/>
      <c r="F39" s="200"/>
      <c r="G39" s="200"/>
      <c r="H39" s="200"/>
      <c r="I39" s="200"/>
      <c r="J39" s="200"/>
      <c r="K39" s="200"/>
      <c r="L39" s="204"/>
      <c r="M39" s="204"/>
      <c r="N39" s="204"/>
      <c r="O39" s="204"/>
      <c r="P39" s="176"/>
      <c r="Q39" s="189"/>
      <c r="R39" s="189"/>
      <c r="S39" s="204"/>
      <c r="T39" s="204"/>
      <c r="U39" s="204"/>
      <c r="V39" s="204"/>
      <c r="W39" s="204"/>
      <c r="X39" s="176"/>
      <c r="Y39" s="189"/>
      <c r="Z39" s="189"/>
      <c r="AA39" s="204"/>
      <c r="AB39" s="204"/>
      <c r="AC39" s="204"/>
      <c r="AD39" s="204"/>
      <c r="AE39" s="204"/>
      <c r="AF39" s="204"/>
      <c r="AG39" s="204"/>
      <c r="AH39" s="204"/>
      <c r="AI39" s="204"/>
    </row>
    <row r="40" spans="1:35" ht="57.75" customHeight="1" x14ac:dyDescent="0.35">
      <c r="A40" s="132" t="s">
        <v>192</v>
      </c>
      <c r="C40" s="205"/>
      <c r="D40" s="206">
        <f t="shared" ref="D40:E40" si="31">SUM(D36+D38)</f>
        <v>1874.4</v>
      </c>
      <c r="E40" s="206">
        <f t="shared" si="31"/>
        <v>5676</v>
      </c>
      <c r="F40" s="206">
        <f>SUM(F36+F38)</f>
        <v>7603.2</v>
      </c>
      <c r="G40" s="206">
        <f t="shared" ref="G40:J40" si="32">SUM(G36+G38)</f>
        <v>35824.799999999996</v>
      </c>
      <c r="H40" s="206">
        <f t="shared" si="32"/>
        <v>121096.8</v>
      </c>
      <c r="I40" s="206">
        <f t="shared" si="32"/>
        <v>210302.40000000002</v>
      </c>
      <c r="J40" s="206">
        <f t="shared" si="32"/>
        <v>246232.80000000002</v>
      </c>
      <c r="K40" s="206">
        <f t="shared" ref="K40" si="33">SUM(K36+K38)</f>
        <v>250008</v>
      </c>
      <c r="AE40" s="207"/>
      <c r="AI40" s="207"/>
    </row>
    <row r="41" spans="1:35" ht="12" x14ac:dyDescent="0.2">
      <c r="A41" s="132"/>
      <c r="C41" s="205"/>
      <c r="D41" s="200"/>
      <c r="E41" s="200"/>
      <c r="F41" s="200"/>
      <c r="G41" s="200"/>
      <c r="H41" s="200"/>
      <c r="I41" s="200"/>
      <c r="J41" s="200"/>
      <c r="K41" s="200"/>
      <c r="L41" s="178"/>
      <c r="AC41" s="178"/>
      <c r="AD41" s="178"/>
      <c r="AH41" s="178"/>
    </row>
    <row r="42" spans="1:35" ht="12" x14ac:dyDescent="0.2">
      <c r="A42" s="132" t="s">
        <v>193</v>
      </c>
      <c r="C42" s="208"/>
      <c r="D42" s="209">
        <f>SUM(D36/SUM(G8:G16))</f>
        <v>1.32E-2</v>
      </c>
      <c r="E42" s="209">
        <f>SUM(E36/SUM(K8:K16))</f>
        <v>1.9708333333333335E-2</v>
      </c>
      <c r="F42" s="209">
        <f>SUM(F36/SUM(O8:O16))</f>
        <v>2.64E-2</v>
      </c>
      <c r="G42" s="209">
        <f>SUM(G36/SUM(S8:S16))</f>
        <v>1.4767023907666941E-2</v>
      </c>
      <c r="H42" s="209">
        <f>SUM(H36/SUM(W8:W16))</f>
        <v>1.794558387670421E-2</v>
      </c>
      <c r="I42" s="209">
        <f>SUM(I36/SUM(AA8:AA16))</f>
        <v>2.289878048780488E-2</v>
      </c>
      <c r="J42" s="209">
        <f>SUM(J36/SUM(AE8:AE16))</f>
        <v>2.6001351636747626E-2</v>
      </c>
      <c r="K42" s="209">
        <f>SUM(K36/SUM(AI8:AI16))</f>
        <v>2.64E-2</v>
      </c>
      <c r="AC42" s="210"/>
    </row>
    <row r="43" spans="1:35" ht="12" x14ac:dyDescent="0.2">
      <c r="A43" s="132"/>
      <c r="C43" s="211"/>
      <c r="D43" s="211"/>
      <c r="E43" s="211"/>
      <c r="F43" s="211"/>
      <c r="G43" s="211"/>
      <c r="H43" s="211"/>
      <c r="I43" s="211"/>
      <c r="J43" s="211"/>
      <c r="K43" s="211"/>
      <c r="AC43" s="210"/>
    </row>
    <row r="44" spans="1:35" ht="12" x14ac:dyDescent="0.2">
      <c r="A44" s="132"/>
      <c r="C44" s="128"/>
      <c r="D44" s="128"/>
    </row>
    <row r="45" spans="1:35" ht="14.25" x14ac:dyDescent="0.35">
      <c r="A45" s="182" t="s">
        <v>194</v>
      </c>
      <c r="B45" s="212"/>
      <c r="C45" s="213"/>
      <c r="D45" s="214">
        <f>D40</f>
        <v>1874.4</v>
      </c>
      <c r="E45" s="214">
        <f t="shared" ref="E45:F45" si="34">E40</f>
        <v>5676</v>
      </c>
      <c r="F45" s="214">
        <f t="shared" si="34"/>
        <v>7603.2</v>
      </c>
      <c r="G45" s="214">
        <f t="shared" ref="G45:J45" si="35">G40</f>
        <v>35824.799999999996</v>
      </c>
      <c r="H45" s="214">
        <f t="shared" si="35"/>
        <v>121096.8</v>
      </c>
      <c r="I45" s="214">
        <f t="shared" si="35"/>
        <v>210302.40000000002</v>
      </c>
      <c r="J45" s="214">
        <f t="shared" si="35"/>
        <v>246232.80000000002</v>
      </c>
      <c r="K45" s="214">
        <f t="shared" ref="K45" si="36">K40</f>
        <v>250008</v>
      </c>
      <c r="L45" s="210"/>
      <c r="AC45" s="178"/>
      <c r="AD45" s="210"/>
      <c r="AE45" s="207"/>
      <c r="AH45" s="210"/>
      <c r="AI45" s="207"/>
    </row>
    <row r="47" spans="1:35" ht="13.5" x14ac:dyDescent="0.35">
      <c r="B47" s="216" t="s">
        <v>198</v>
      </c>
      <c r="K47" s="215">
        <f>SUM(D45:K45)</f>
        <v>878618.4</v>
      </c>
    </row>
    <row r="48" spans="1:35" x14ac:dyDescent="0.2">
      <c r="B48" s="216"/>
    </row>
    <row r="49" spans="2:12" ht="34.5" customHeight="1" x14ac:dyDescent="0.35">
      <c r="B49" s="216" t="s">
        <v>255</v>
      </c>
      <c r="D49" s="228">
        <f>+D22-D45</f>
        <v>140125.6</v>
      </c>
      <c r="E49" s="228">
        <f>+D22+H22-D45-E45</f>
        <v>280449.59999999998</v>
      </c>
      <c r="F49" s="228">
        <f>+D22+H22+L22-D45-E45-F45</f>
        <v>272846.39999999997</v>
      </c>
      <c r="G49" s="228">
        <f>+D22+H22+L22+P22-D45-E45-F45-G45</f>
        <v>2375021.6</v>
      </c>
      <c r="H49" s="228">
        <f>+W18-D45-E45-F45-G45-H45</f>
        <v>6575924.7999999998</v>
      </c>
      <c r="I49" s="228">
        <f>+AA18-SUM(D45:I45)</f>
        <v>8801622.4000000004</v>
      </c>
      <c r="J49" s="228">
        <f>+AE18-SUM(D45:J45)</f>
        <v>8841389.5999999996</v>
      </c>
      <c r="K49" s="214">
        <f>AI18-K47</f>
        <v>8591381.5999999996</v>
      </c>
      <c r="L49" s="226"/>
    </row>
    <row r="52" spans="2:12" x14ac:dyDescent="0.2">
      <c r="B52" s="217" t="s">
        <v>199</v>
      </c>
      <c r="C52" s="218">
        <v>0.08</v>
      </c>
      <c r="D52" s="219">
        <f>SUM(C$12*$C52)+SUM((D$12-E$12-F$12)*$C52*150%)</f>
        <v>17040</v>
      </c>
      <c r="E52" s="219">
        <f>SUM((G$12-D52)*$C52)+SUM((H$12-I$12-J$12)*$C52)</f>
        <v>21676.800000000003</v>
      </c>
      <c r="F52" s="219">
        <f>SUM((K$12-D52-E52)*$C52)+SUM((L$12-M$12-N$12)*$C52)</f>
        <v>19942.656000000003</v>
      </c>
      <c r="G52" s="219">
        <f>SUM((O$12-D52-E52-F52)*$C52)+SUM((P$12-Q$12-R$12)*$C52)</f>
        <v>189387.24351999999</v>
      </c>
      <c r="H52" s="219">
        <f>((S$12-D52-E52-F52-G52)*$C52)+((T$12-U$12-V$12)*$C52)</f>
        <v>519996.26403840003</v>
      </c>
      <c r="I52" s="219">
        <f>SUM((W$12-D52-E52-F52-G52-H52)*$C52)+SUM((X$12-Y$12-Z$12)*$C52*0.5)</f>
        <v>575836.56291532796</v>
      </c>
      <c r="J52" s="219">
        <f>SUM((AA$12-D52-E52-F52-G52-H52-I52)*$C52)+SUM((AB$12-AC$12-AD$12)*$C52*0.5)</f>
        <v>638649.63788210182</v>
      </c>
      <c r="K52" s="219">
        <f>SUM((AE$12-D52-E52-F52-G52-H52-I52-J52)*$C52)+SUM((AF$12-AG$12-AH$12)*$C52*0.5)</f>
        <v>598997.66685153369</v>
      </c>
    </row>
    <row r="54" spans="2:12" ht="13.5" x14ac:dyDescent="0.35">
      <c r="B54" s="216" t="s">
        <v>215</v>
      </c>
      <c r="K54" s="214">
        <f>AI18-SUM(D52:K52)</f>
        <v>6888473.1687926371</v>
      </c>
    </row>
    <row r="56" spans="2:12" x14ac:dyDescent="0.2">
      <c r="B56" s="128" t="s">
        <v>256</v>
      </c>
      <c r="D56" s="226">
        <f>+D52-D45</f>
        <v>15165.6</v>
      </c>
      <c r="E56" s="226">
        <f t="shared" ref="E56:K56" si="37">+E52-E45</f>
        <v>16000.800000000003</v>
      </c>
      <c r="F56" s="226">
        <f t="shared" si="37"/>
        <v>12339.456000000002</v>
      </c>
      <c r="G56" s="226">
        <f t="shared" si="37"/>
        <v>153562.44352</v>
      </c>
      <c r="H56" s="226">
        <f t="shared" si="37"/>
        <v>398899.46403840004</v>
      </c>
      <c r="I56" s="226">
        <f t="shared" si="37"/>
        <v>365534.16291532794</v>
      </c>
      <c r="J56" s="226">
        <f t="shared" si="37"/>
        <v>392416.83788210177</v>
      </c>
      <c r="K56" s="226">
        <f t="shared" si="37"/>
        <v>348989.66685153369</v>
      </c>
    </row>
    <row r="58" spans="2:12" x14ac:dyDescent="0.2">
      <c r="B58" s="128" t="s">
        <v>257</v>
      </c>
      <c r="D58" s="226">
        <f>+D56</f>
        <v>15165.6</v>
      </c>
      <c r="E58" s="226">
        <f>+D58+E56</f>
        <v>31166.400000000001</v>
      </c>
      <c r="F58" s="226">
        <f t="shared" ref="F58:K58" si="38">+E58+F56</f>
        <v>43505.856</v>
      </c>
      <c r="G58" s="226">
        <f t="shared" si="38"/>
        <v>197068.29952</v>
      </c>
      <c r="H58" s="226">
        <f t="shared" si="38"/>
        <v>595967.7635584001</v>
      </c>
      <c r="I58" s="226">
        <f t="shared" si="38"/>
        <v>961501.92647372803</v>
      </c>
      <c r="J58" s="226">
        <f t="shared" si="38"/>
        <v>1353918.7643558299</v>
      </c>
      <c r="K58" s="226">
        <f t="shared" si="38"/>
        <v>1702908.4312073635</v>
      </c>
    </row>
    <row r="60" spans="2:12" x14ac:dyDescent="0.2">
      <c r="B60" s="128" t="s">
        <v>258</v>
      </c>
      <c r="D60" s="229">
        <v>0.31</v>
      </c>
      <c r="E60" s="229">
        <v>0.31</v>
      </c>
      <c r="F60" s="229">
        <v>0.31</v>
      </c>
      <c r="G60" s="229">
        <v>0.31</v>
      </c>
      <c r="H60" s="229">
        <v>0.31</v>
      </c>
      <c r="I60" s="229">
        <v>0.31</v>
      </c>
      <c r="J60" s="229">
        <v>0.31</v>
      </c>
      <c r="K60" s="229">
        <v>0.31</v>
      </c>
    </row>
    <row r="62" spans="2:12" x14ac:dyDescent="0.2">
      <c r="B62" s="128" t="s">
        <v>259</v>
      </c>
      <c r="D62" s="227">
        <f>+D58*D60</f>
        <v>4701.3360000000002</v>
      </c>
      <c r="E62" s="227">
        <f t="shared" ref="E62:K62" si="39">+E58*E60</f>
        <v>9661.5840000000007</v>
      </c>
      <c r="F62" s="227">
        <f t="shared" si="39"/>
        <v>13486.815360000001</v>
      </c>
      <c r="G62" s="227">
        <f t="shared" si="39"/>
        <v>61091.172851199997</v>
      </c>
      <c r="H62" s="227">
        <f t="shared" si="39"/>
        <v>184750.00670310404</v>
      </c>
      <c r="I62" s="227">
        <f t="shared" si="39"/>
        <v>298065.59720685572</v>
      </c>
      <c r="J62" s="227">
        <f t="shared" si="39"/>
        <v>419714.81695030729</v>
      </c>
      <c r="K62" s="227">
        <f t="shared" si="39"/>
        <v>527901.61367428268</v>
      </c>
    </row>
    <row r="64" spans="2:12" x14ac:dyDescent="0.2">
      <c r="B64" s="128" t="s">
        <v>260</v>
      </c>
      <c r="D64" s="230">
        <f>+D49-D62</f>
        <v>135424.264</v>
      </c>
      <c r="E64" s="230">
        <f t="shared" ref="E64:K64" si="40">+E49-E62</f>
        <v>270788.016</v>
      </c>
      <c r="F64" s="230">
        <f t="shared" si="40"/>
        <v>259359.58463999996</v>
      </c>
      <c r="G64" s="230">
        <f t="shared" si="40"/>
        <v>2313930.4271487999</v>
      </c>
      <c r="H64" s="230">
        <f t="shared" si="40"/>
        <v>6391174.7932968959</v>
      </c>
      <c r="I64" s="230">
        <f t="shared" si="40"/>
        <v>8503556.8027931452</v>
      </c>
      <c r="J64" s="230">
        <f t="shared" si="40"/>
        <v>8421674.7830496915</v>
      </c>
      <c r="K64" s="230">
        <f t="shared" si="40"/>
        <v>8063479.9863257166</v>
      </c>
    </row>
  </sheetData>
  <pageMargins left="0.7" right="0.7" top="0.75" bottom="0.75" header="0.3" footer="0.3"/>
  <pageSetup orientation="portrait" horizontalDpi="204" verticalDpi="196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showRuler="0" topLeftCell="C10" zoomScaleNormal="100" workbookViewId="0">
      <selection activeCell="C29" sqref="C29"/>
    </sheetView>
  </sheetViews>
  <sheetFormatPr defaultRowHeight="15" x14ac:dyDescent="0.25"/>
  <cols>
    <col min="1" max="1" width="3" hidden="1" customWidth="1"/>
    <col min="2" max="2" width="3.5703125" hidden="1" customWidth="1"/>
    <col min="3" max="3" width="83.5703125" style="13" customWidth="1"/>
    <col min="4" max="4" width="20.42578125" style="78" bestFit="1" customWidth="1"/>
    <col min="5" max="5" width="12.28515625" style="13" bestFit="1" customWidth="1"/>
    <col min="6" max="6" width="7.5703125" customWidth="1"/>
    <col min="7" max="7" width="10.5703125" bestFit="1" customWidth="1"/>
  </cols>
  <sheetData>
    <row r="1" spans="1:6" ht="21" customHeight="1" x14ac:dyDescent="0.25">
      <c r="A1" s="1"/>
      <c r="B1" s="1"/>
      <c r="C1" s="231" t="s">
        <v>165</v>
      </c>
      <c r="D1" s="231"/>
      <c r="E1" s="231"/>
    </row>
    <row r="2" spans="1:6" ht="25.15" customHeight="1" x14ac:dyDescent="0.25">
      <c r="A2" s="2"/>
      <c r="B2" s="3" t="s">
        <v>0</v>
      </c>
      <c r="C2" s="59" t="s">
        <v>87</v>
      </c>
      <c r="D2" s="67" t="s">
        <v>123</v>
      </c>
      <c r="E2" s="60" t="s">
        <v>83</v>
      </c>
    </row>
    <row r="3" spans="1:6" x14ac:dyDescent="0.25">
      <c r="A3" s="2" t="s">
        <v>1</v>
      </c>
      <c r="B3" s="4"/>
      <c r="C3" s="25" t="s">
        <v>11</v>
      </c>
      <c r="D3" s="69"/>
      <c r="E3" s="26"/>
    </row>
    <row r="4" spans="1:6" x14ac:dyDescent="0.25">
      <c r="A4" s="2" t="s">
        <v>2</v>
      </c>
      <c r="B4" s="4"/>
      <c r="C4" s="27" t="s">
        <v>196</v>
      </c>
      <c r="D4" s="73" t="s">
        <v>195</v>
      </c>
      <c r="E4" s="103">
        <v>9470</v>
      </c>
    </row>
    <row r="5" spans="1:6" ht="16.5" x14ac:dyDescent="0.35">
      <c r="A5" s="2" t="s">
        <v>3</v>
      </c>
      <c r="B5" s="4"/>
      <c r="C5" s="27" t="s">
        <v>75</v>
      </c>
      <c r="D5" s="73" t="s">
        <v>166</v>
      </c>
      <c r="E5" s="29">
        <f>-E4*0</f>
        <v>0</v>
      </c>
      <c r="F5" s="11"/>
    </row>
    <row r="6" spans="1:6" x14ac:dyDescent="0.25">
      <c r="A6" s="2" t="s">
        <v>37</v>
      </c>
      <c r="B6" s="4"/>
      <c r="C6" s="27" t="s">
        <v>82</v>
      </c>
      <c r="D6" s="73" t="s">
        <v>89</v>
      </c>
      <c r="E6" s="30">
        <f>SUM(E4:E5)</f>
        <v>9470</v>
      </c>
    </row>
    <row r="7" spans="1:6" x14ac:dyDescent="0.25">
      <c r="A7" s="2" t="s">
        <v>4</v>
      </c>
      <c r="B7" s="4"/>
      <c r="C7" s="27"/>
      <c r="D7" s="73"/>
      <c r="E7" s="28"/>
    </row>
    <row r="8" spans="1:6" x14ac:dyDescent="0.25">
      <c r="A8" s="2" t="s">
        <v>5</v>
      </c>
      <c r="B8" s="4"/>
      <c r="C8" s="27" t="s">
        <v>67</v>
      </c>
      <c r="D8" s="73" t="s">
        <v>90</v>
      </c>
      <c r="E8" s="31">
        <v>2.64E-2</v>
      </c>
    </row>
    <row r="9" spans="1:6" x14ac:dyDescent="0.25">
      <c r="A9" s="2" t="s">
        <v>6</v>
      </c>
      <c r="B9" s="4"/>
      <c r="C9" s="27" t="s">
        <v>197</v>
      </c>
      <c r="D9" s="73" t="s">
        <v>91</v>
      </c>
      <c r="E9" s="30">
        <f>E6*E8</f>
        <v>250.00800000000001</v>
      </c>
    </row>
    <row r="10" spans="1:6" x14ac:dyDescent="0.25">
      <c r="A10" s="2" t="s">
        <v>7</v>
      </c>
      <c r="B10" s="4"/>
      <c r="C10" s="27"/>
      <c r="D10" s="73"/>
      <c r="E10" s="28"/>
    </row>
    <row r="11" spans="1:6" x14ac:dyDescent="0.25">
      <c r="A11" s="2" t="s">
        <v>8</v>
      </c>
      <c r="B11" s="4"/>
      <c r="C11" s="25" t="s">
        <v>68</v>
      </c>
      <c r="D11" s="69"/>
      <c r="E11" s="26"/>
    </row>
    <row r="12" spans="1:6" x14ac:dyDescent="0.25">
      <c r="A12" s="2" t="s">
        <v>9</v>
      </c>
      <c r="B12" s="4"/>
      <c r="C12" s="45" t="s">
        <v>69</v>
      </c>
      <c r="D12" s="81" t="s">
        <v>92</v>
      </c>
      <c r="E12" s="103">
        <f>+E4</f>
        <v>9470</v>
      </c>
    </row>
    <row r="13" spans="1:6" ht="16.5" x14ac:dyDescent="0.35">
      <c r="A13" s="2" t="s">
        <v>10</v>
      </c>
      <c r="B13" s="4"/>
      <c r="C13" s="27" t="s">
        <v>155</v>
      </c>
      <c r="D13" s="73" t="s">
        <v>93</v>
      </c>
      <c r="E13" s="29">
        <v>0</v>
      </c>
    </row>
    <row r="14" spans="1:6" x14ac:dyDescent="0.25">
      <c r="A14" s="2" t="s">
        <v>12</v>
      </c>
      <c r="B14" s="4"/>
      <c r="C14" s="27" t="s">
        <v>85</v>
      </c>
      <c r="D14" s="73" t="s">
        <v>94</v>
      </c>
      <c r="E14" s="30">
        <f>SUM(E12:E13)</f>
        <v>9470</v>
      </c>
    </row>
    <row r="15" spans="1:6" x14ac:dyDescent="0.25">
      <c r="A15" s="2" t="s">
        <v>13</v>
      </c>
      <c r="B15" s="4"/>
      <c r="C15" s="32"/>
      <c r="D15" s="74"/>
      <c r="E15" s="33"/>
    </row>
    <row r="16" spans="1:6" x14ac:dyDescent="0.25">
      <c r="A16" s="2" t="s">
        <v>14</v>
      </c>
      <c r="B16" s="4"/>
      <c r="C16" s="25" t="s">
        <v>17</v>
      </c>
      <c r="D16" s="69"/>
      <c r="E16" s="26"/>
    </row>
    <row r="17" spans="1:11" x14ac:dyDescent="0.25">
      <c r="A17" s="2" t="s">
        <v>15</v>
      </c>
      <c r="B17" s="4"/>
      <c r="C17" s="27" t="s">
        <v>70</v>
      </c>
      <c r="D17" s="73" t="s">
        <v>125</v>
      </c>
      <c r="E17" s="28">
        <f>-E12/(1-17%)*17%</f>
        <v>-1939.6385542168678</v>
      </c>
      <c r="H17" s="10"/>
      <c r="I17" s="10"/>
      <c r="J17" s="10"/>
      <c r="K17" s="10"/>
    </row>
    <row r="18" spans="1:11" ht="16.5" x14ac:dyDescent="0.35">
      <c r="A18" s="2" t="s">
        <v>16</v>
      </c>
      <c r="B18" s="4"/>
      <c r="C18" s="27" t="s">
        <v>201</v>
      </c>
      <c r="D18" s="73" t="s">
        <v>95</v>
      </c>
      <c r="E18" s="29">
        <f>'Annual Depreciation and CCA'!K47/1000</f>
        <v>878.61840000000007</v>
      </c>
    </row>
    <row r="19" spans="1:11" x14ac:dyDescent="0.25">
      <c r="A19" s="2" t="s">
        <v>18</v>
      </c>
      <c r="B19" s="4"/>
      <c r="C19" s="27" t="s">
        <v>86</v>
      </c>
      <c r="D19" s="73" t="s">
        <v>96</v>
      </c>
      <c r="E19" s="30">
        <f>SUM(E17:E18)</f>
        <v>-1061.0201542168677</v>
      </c>
    </row>
    <row r="20" spans="1:11" x14ac:dyDescent="0.25">
      <c r="A20" s="2" t="s">
        <v>19</v>
      </c>
      <c r="B20" s="4"/>
      <c r="C20" s="27"/>
      <c r="D20" s="73"/>
      <c r="E20" s="24"/>
    </row>
    <row r="21" spans="1:11" x14ac:dyDescent="0.25">
      <c r="A21" s="2" t="s">
        <v>20</v>
      </c>
      <c r="B21" s="4"/>
      <c r="C21" s="104" t="s">
        <v>130</v>
      </c>
      <c r="D21" s="105" t="s">
        <v>132</v>
      </c>
      <c r="E21" s="106">
        <f>E6-E19</f>
        <v>10531.020154216867</v>
      </c>
    </row>
    <row r="22" spans="1:11" x14ac:dyDescent="0.25">
      <c r="A22" s="2" t="s">
        <v>21</v>
      </c>
      <c r="B22" s="4"/>
      <c r="C22" s="32"/>
      <c r="D22" s="74"/>
      <c r="E22" s="33"/>
    </row>
    <row r="23" spans="1:11" x14ac:dyDescent="0.25">
      <c r="A23" s="2" t="s">
        <v>22</v>
      </c>
      <c r="B23" s="4"/>
      <c r="C23" s="84" t="s">
        <v>58</v>
      </c>
      <c r="D23" s="69"/>
      <c r="E23" s="34"/>
      <c r="H23" s="10"/>
    </row>
    <row r="24" spans="1:11" x14ac:dyDescent="0.25">
      <c r="A24" s="2" t="s">
        <v>23</v>
      </c>
      <c r="B24" s="4"/>
      <c r="C24" s="90" t="s">
        <v>156</v>
      </c>
      <c r="D24" s="91" t="s">
        <v>93</v>
      </c>
      <c r="E24" s="92">
        <f>+E13</f>
        <v>0</v>
      </c>
    </row>
    <row r="25" spans="1:11" x14ac:dyDescent="0.25">
      <c r="A25" s="2" t="s">
        <v>24</v>
      </c>
      <c r="B25" s="4"/>
      <c r="C25" s="32"/>
      <c r="D25" s="74"/>
      <c r="E25" s="33"/>
    </row>
    <row r="26" spans="1:11" x14ac:dyDescent="0.25">
      <c r="A26" s="2" t="s">
        <v>25</v>
      </c>
      <c r="B26" s="4"/>
      <c r="C26" s="25" t="s">
        <v>59</v>
      </c>
      <c r="D26" s="69"/>
      <c r="E26" s="26"/>
    </row>
    <row r="27" spans="1:11" x14ac:dyDescent="0.25">
      <c r="A27" s="2" t="s">
        <v>26</v>
      </c>
      <c r="B27" s="4"/>
      <c r="C27" s="27" t="s">
        <v>84</v>
      </c>
      <c r="D27" s="73" t="s">
        <v>93</v>
      </c>
      <c r="E27" s="30">
        <f>+E24</f>
        <v>0</v>
      </c>
    </row>
    <row r="28" spans="1:11" x14ac:dyDescent="0.25">
      <c r="A28" s="2" t="s">
        <v>27</v>
      </c>
      <c r="B28" s="4"/>
      <c r="C28" s="27" t="s">
        <v>286</v>
      </c>
      <c r="D28" s="73" t="s">
        <v>97</v>
      </c>
      <c r="E28" s="31">
        <v>0</v>
      </c>
    </row>
    <row r="29" spans="1:11" x14ac:dyDescent="0.25">
      <c r="A29" s="2" t="s">
        <v>28</v>
      </c>
      <c r="B29" s="4"/>
      <c r="C29" s="15" t="s">
        <v>60</v>
      </c>
      <c r="D29" s="68" t="s">
        <v>98</v>
      </c>
      <c r="E29" s="16">
        <f>E27*E28</f>
        <v>0</v>
      </c>
    </row>
    <row r="30" spans="1:11" x14ac:dyDescent="0.25">
      <c r="A30" s="2"/>
      <c r="B30" s="4"/>
      <c r="C30" s="15"/>
      <c r="D30" s="68"/>
      <c r="E30" s="16"/>
    </row>
    <row r="31" spans="1:11" x14ac:dyDescent="0.25">
      <c r="A31" s="2"/>
      <c r="B31" s="4"/>
      <c r="C31" s="104" t="s">
        <v>129</v>
      </c>
      <c r="D31" s="105" t="s">
        <v>131</v>
      </c>
      <c r="E31" s="106">
        <f>+E27-E29</f>
        <v>0</v>
      </c>
    </row>
    <row r="32" spans="1:11" x14ac:dyDescent="0.25">
      <c r="A32" s="2" t="s">
        <v>29</v>
      </c>
      <c r="B32" s="4"/>
      <c r="C32" s="18"/>
      <c r="D32" s="75"/>
      <c r="E32" s="19"/>
    </row>
    <row r="33" spans="1:6" x14ac:dyDescent="0.25">
      <c r="A33" s="2" t="s">
        <v>30</v>
      </c>
      <c r="B33" s="4"/>
      <c r="C33" s="25" t="s">
        <v>206</v>
      </c>
      <c r="D33" s="69" t="s">
        <v>133</v>
      </c>
      <c r="E33" s="35">
        <f>E9+E29</f>
        <v>250.00800000000001</v>
      </c>
    </row>
    <row r="34" spans="1:6" x14ac:dyDescent="0.25">
      <c r="A34" s="2"/>
      <c r="B34" s="4"/>
      <c r="C34" s="104"/>
      <c r="D34" s="105"/>
      <c r="E34" s="106"/>
    </row>
    <row r="35" spans="1:6" x14ac:dyDescent="0.25">
      <c r="A35" s="2"/>
      <c r="B35" s="1"/>
      <c r="C35" s="15"/>
      <c r="D35" s="68"/>
      <c r="E35" s="17"/>
    </row>
    <row r="36" spans="1:6" x14ac:dyDescent="0.25">
      <c r="A36" s="2"/>
      <c r="B36" s="1"/>
      <c r="C36" s="112" t="s">
        <v>168</v>
      </c>
      <c r="D36" s="95"/>
      <c r="E36" s="96"/>
      <c r="F36" s="64"/>
    </row>
    <row r="37" spans="1:6" x14ac:dyDescent="0.25">
      <c r="A37" s="2"/>
      <c r="B37" s="1"/>
      <c r="C37" s="21" t="s">
        <v>167</v>
      </c>
      <c r="D37" s="76"/>
      <c r="E37" s="17"/>
    </row>
    <row r="38" spans="1:6" x14ac:dyDescent="0.25">
      <c r="A38" s="2"/>
      <c r="B38" s="1"/>
      <c r="C38" s="21" t="s">
        <v>126</v>
      </c>
      <c r="D38" s="76"/>
      <c r="E38" s="19"/>
    </row>
    <row r="39" spans="1:6" x14ac:dyDescent="0.25">
      <c r="C39" s="21" t="s">
        <v>169</v>
      </c>
      <c r="E39" s="19"/>
    </row>
    <row r="40" spans="1:6" x14ac:dyDescent="0.25">
      <c r="A40" s="2"/>
      <c r="B40" s="1"/>
      <c r="C40" s="113"/>
      <c r="D40" s="114"/>
      <c r="E40" s="23"/>
    </row>
    <row r="41" spans="1:6" x14ac:dyDescent="0.25">
      <c r="A41" s="2"/>
      <c r="B41" s="1"/>
    </row>
    <row r="42" spans="1:6" x14ac:dyDescent="0.25">
      <c r="A42" s="2"/>
      <c r="B42" s="1"/>
    </row>
    <row r="43" spans="1:6" x14ac:dyDescent="0.25">
      <c r="A43" s="2"/>
      <c r="B43" s="1"/>
    </row>
    <row r="44" spans="1:6" x14ac:dyDescent="0.25">
      <c r="A44" s="2"/>
      <c r="B44" s="1"/>
    </row>
    <row r="45" spans="1:6" x14ac:dyDescent="0.25">
      <c r="A45" s="2"/>
      <c r="B45" s="1"/>
    </row>
    <row r="46" spans="1:6" x14ac:dyDescent="0.25">
      <c r="A46" s="2"/>
      <c r="B46" s="1"/>
    </row>
    <row r="47" spans="1:6" x14ac:dyDescent="0.25">
      <c r="A47" s="2"/>
      <c r="B47" s="1"/>
    </row>
    <row r="48" spans="1:6" x14ac:dyDescent="0.25">
      <c r="A48" s="2"/>
      <c r="B48" s="1"/>
    </row>
    <row r="49" spans="1:2" x14ac:dyDescent="0.25">
      <c r="A49" s="2"/>
      <c r="B49" s="1"/>
    </row>
    <row r="50" spans="1:2" x14ac:dyDescent="0.25">
      <c r="A50" s="2"/>
      <c r="B50" s="1"/>
    </row>
    <row r="51" spans="1:2" x14ac:dyDescent="0.25">
      <c r="A51" s="2"/>
      <c r="B51" s="1"/>
    </row>
    <row r="52" spans="1:2" x14ac:dyDescent="0.25">
      <c r="A52" s="2"/>
      <c r="B52" s="1"/>
    </row>
    <row r="53" spans="1:2" x14ac:dyDescent="0.25">
      <c r="A53" s="2"/>
      <c r="B53" s="1"/>
    </row>
    <row r="54" spans="1:2" x14ac:dyDescent="0.25">
      <c r="A54" s="2"/>
    </row>
  </sheetData>
  <mergeCells count="1">
    <mergeCell ref="C1:E1"/>
  </mergeCells>
  <printOptions horizontalCentered="1"/>
  <pageMargins left="0.7" right="0.2" top="0.75" bottom="0.5" header="0.3" footer="0.3"/>
  <pageSetup scale="83" orientation="portrait" r:id="rId1"/>
  <headerFooter>
    <oddHeader>&amp;R&amp;"Arial,Bold"Appendix D</oddHeader>
    <oddFooter>&amp;C&amp;"Arial,Regular"Page &amp;P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3"/>
  <sheetViews>
    <sheetView showWhiteSpace="0" topLeftCell="C1" zoomScaleNormal="100" workbookViewId="0">
      <selection activeCell="E32" sqref="E32"/>
    </sheetView>
  </sheetViews>
  <sheetFormatPr defaultRowHeight="15" x14ac:dyDescent="0.25"/>
  <cols>
    <col min="1" max="1" width="3.28515625" hidden="1" customWidth="1"/>
    <col min="2" max="2" width="3.28515625" style="1" hidden="1" customWidth="1"/>
    <col min="3" max="3" width="79.140625" bestFit="1" customWidth="1"/>
    <col min="4" max="4" width="22.42578125" style="79" bestFit="1" customWidth="1"/>
    <col min="5" max="5" width="13.42578125" customWidth="1"/>
    <col min="6" max="6" width="15.7109375" bestFit="1" customWidth="1"/>
    <col min="7" max="7" width="11.5703125" bestFit="1" customWidth="1"/>
  </cols>
  <sheetData>
    <row r="1" spans="1:7" ht="21" customHeight="1" x14ac:dyDescent="0.25">
      <c r="B1" s="5" t="s">
        <v>42</v>
      </c>
      <c r="C1" s="232" t="s">
        <v>165</v>
      </c>
      <c r="D1" s="232"/>
      <c r="E1" s="232"/>
    </row>
    <row r="2" spans="1:7" ht="25.15" customHeight="1" x14ac:dyDescent="0.25">
      <c r="A2" s="2" t="s">
        <v>1</v>
      </c>
      <c r="B2" s="4"/>
      <c r="C2" s="59" t="s">
        <v>78</v>
      </c>
      <c r="D2" s="67" t="s">
        <v>123</v>
      </c>
      <c r="E2" s="60" t="str">
        <f>'2030 Depreciation'!E2</f>
        <v>Annual</v>
      </c>
    </row>
    <row r="3" spans="1:7" x14ac:dyDescent="0.25">
      <c r="A3" s="2" t="s">
        <v>2</v>
      </c>
      <c r="B3" s="4"/>
      <c r="C3" s="25" t="s">
        <v>54</v>
      </c>
      <c r="D3" s="69"/>
      <c r="E3" s="34"/>
    </row>
    <row r="4" spans="1:7" x14ac:dyDescent="0.25">
      <c r="A4" s="2" t="s">
        <v>37</v>
      </c>
      <c r="B4" s="7"/>
      <c r="C4" s="15" t="str">
        <f>+'2030 Depreciation'!C4</f>
        <v xml:space="preserve">  Capital Investment per Table 1 of Application, Proposed 2023  - 2029 Capital Expenditures </v>
      </c>
      <c r="D4" s="73" t="s">
        <v>195</v>
      </c>
      <c r="E4" s="38">
        <f>+'2030 Depreciation'!E4</f>
        <v>9470</v>
      </c>
    </row>
    <row r="5" spans="1:7" x14ac:dyDescent="0.25">
      <c r="A5" s="2" t="s">
        <v>6</v>
      </c>
      <c r="B5" s="4"/>
      <c r="C5" s="15"/>
      <c r="D5" s="68"/>
      <c r="E5" s="38"/>
      <c r="G5" s="9"/>
    </row>
    <row r="6" spans="1:7" ht="16.5" x14ac:dyDescent="0.35">
      <c r="A6" s="2" t="s">
        <v>9</v>
      </c>
      <c r="B6" s="4"/>
      <c r="C6" s="15" t="s">
        <v>200</v>
      </c>
      <c r="D6" s="68" t="s">
        <v>99</v>
      </c>
      <c r="E6" s="37">
        <f>SUM('Annual Depreciation and CCA'!D52:K52)/1000</f>
        <v>2581.5268312073636</v>
      </c>
    </row>
    <row r="7" spans="1:7" x14ac:dyDescent="0.25">
      <c r="A7" s="2" t="s">
        <v>10</v>
      </c>
      <c r="B7" s="4"/>
      <c r="C7" s="15"/>
      <c r="D7" s="68"/>
      <c r="E7" s="14"/>
    </row>
    <row r="8" spans="1:7" x14ac:dyDescent="0.25">
      <c r="A8" s="2" t="s">
        <v>12</v>
      </c>
      <c r="B8" s="4"/>
      <c r="C8" s="15" t="s">
        <v>43</v>
      </c>
      <c r="D8" s="68" t="s">
        <v>207</v>
      </c>
      <c r="E8" s="36">
        <f>+E4-E6</f>
        <v>6888.473168792636</v>
      </c>
    </row>
    <row r="9" spans="1:7" x14ac:dyDescent="0.25">
      <c r="A9" s="2" t="s">
        <v>13</v>
      </c>
      <c r="B9" s="4"/>
      <c r="C9" s="15"/>
      <c r="D9" s="68"/>
      <c r="E9" s="14"/>
    </row>
    <row r="10" spans="1:7" x14ac:dyDescent="0.25">
      <c r="A10" s="2" t="s">
        <v>14</v>
      </c>
      <c r="B10" s="4"/>
      <c r="C10" s="25" t="s">
        <v>36</v>
      </c>
      <c r="D10" s="69"/>
      <c r="E10" s="26"/>
    </row>
    <row r="11" spans="1:7" x14ac:dyDescent="0.25">
      <c r="A11" s="2" t="s">
        <v>15</v>
      </c>
      <c r="B11" s="4"/>
      <c r="C11" s="15" t="str">
        <f>C6</f>
        <v>CCA Deductions 2023-2030</v>
      </c>
      <c r="D11" s="68" t="s">
        <v>100</v>
      </c>
      <c r="E11" s="36">
        <f>E6</f>
        <v>2581.5268312073636</v>
      </c>
    </row>
    <row r="12" spans="1:7" ht="16.5" x14ac:dyDescent="0.35">
      <c r="A12" s="2" t="s">
        <v>16</v>
      </c>
      <c r="B12" s="4"/>
      <c r="C12" s="15" t="s">
        <v>253</v>
      </c>
      <c r="D12" s="68" t="s">
        <v>151</v>
      </c>
      <c r="E12" s="39">
        <f>'2030 Depreciation'!E18</f>
        <v>878.61840000000007</v>
      </c>
    </row>
    <row r="13" spans="1:7" x14ac:dyDescent="0.25">
      <c r="A13" s="2" t="s">
        <v>18</v>
      </c>
      <c r="B13" s="4"/>
      <c r="C13" s="15" t="s">
        <v>55</v>
      </c>
      <c r="D13" s="68" t="s">
        <v>101</v>
      </c>
      <c r="E13" s="40">
        <f>E11-E12</f>
        <v>1702.9084312073635</v>
      </c>
    </row>
    <row r="14" spans="1:7" x14ac:dyDescent="0.25">
      <c r="A14" s="2" t="s">
        <v>19</v>
      </c>
      <c r="B14" s="4"/>
      <c r="C14" s="15" t="s">
        <v>51</v>
      </c>
      <c r="D14" s="68" t="s">
        <v>102</v>
      </c>
      <c r="E14" s="41">
        <v>0.31</v>
      </c>
    </row>
    <row r="15" spans="1:7" x14ac:dyDescent="0.25">
      <c r="A15" s="2" t="s">
        <v>20</v>
      </c>
      <c r="B15" s="4"/>
      <c r="C15" s="15" t="s">
        <v>209</v>
      </c>
      <c r="D15" s="68" t="s">
        <v>103</v>
      </c>
      <c r="E15" s="40">
        <f>ROUND((IF(E13&gt;0,E13*E14,0)),0)</f>
        <v>528</v>
      </c>
    </row>
    <row r="16" spans="1:7" x14ac:dyDescent="0.25">
      <c r="A16" s="2" t="s">
        <v>25</v>
      </c>
      <c r="B16" s="4"/>
      <c r="C16" s="15"/>
      <c r="D16" s="68"/>
      <c r="E16" s="14"/>
    </row>
    <row r="17" spans="1:6" x14ac:dyDescent="0.25">
      <c r="A17" s="2" t="s">
        <v>26</v>
      </c>
      <c r="B17" s="4"/>
      <c r="C17" s="25" t="s">
        <v>80</v>
      </c>
      <c r="D17" s="69"/>
      <c r="E17" s="26"/>
    </row>
    <row r="18" spans="1:6" x14ac:dyDescent="0.25">
      <c r="A18" s="2" t="s">
        <v>27</v>
      </c>
      <c r="B18" s="4"/>
      <c r="C18" s="15" t="s">
        <v>57</v>
      </c>
      <c r="D18" s="68" t="s">
        <v>152</v>
      </c>
      <c r="E18" s="36">
        <f>'2030 Rate Base &amp; Cost Capital'!E12</f>
        <v>689</v>
      </c>
    </row>
    <row r="19" spans="1:6" x14ac:dyDescent="0.25">
      <c r="A19" s="2" t="s">
        <v>28</v>
      </c>
      <c r="B19" s="4"/>
      <c r="C19" s="15"/>
      <c r="D19" s="68"/>
      <c r="E19" s="38"/>
    </row>
    <row r="20" spans="1:6" x14ac:dyDescent="0.25">
      <c r="A20" s="2" t="s">
        <v>29</v>
      </c>
      <c r="B20" s="4"/>
      <c r="C20" s="15" t="s">
        <v>63</v>
      </c>
      <c r="D20" s="68" t="s">
        <v>153</v>
      </c>
      <c r="E20" s="38">
        <f>(+'2030 Rate Base &amp; Cost Capital'!E11)/(1-'2030 Income Taxes'!E14)</f>
        <v>573.91304347826087</v>
      </c>
    </row>
    <row r="21" spans="1:6" ht="16.5" x14ac:dyDescent="0.35">
      <c r="A21" s="2" t="s">
        <v>30</v>
      </c>
      <c r="B21" s="4"/>
      <c r="C21" s="83" t="s">
        <v>64</v>
      </c>
      <c r="D21" s="68" t="s">
        <v>154</v>
      </c>
      <c r="E21" s="37">
        <f>-'2030 Rate Base &amp; Cost Capital'!E10</f>
        <v>-293</v>
      </c>
    </row>
    <row r="22" spans="1:6" x14ac:dyDescent="0.25">
      <c r="A22" s="2" t="s">
        <v>31</v>
      </c>
      <c r="B22" s="4"/>
      <c r="C22" s="48"/>
      <c r="D22" s="66" t="s">
        <v>109</v>
      </c>
      <c r="E22" s="89">
        <f>ROUND((SUM(E20:E21)),0)</f>
        <v>281</v>
      </c>
    </row>
    <row r="23" spans="1:6" x14ac:dyDescent="0.25">
      <c r="A23" s="2" t="s">
        <v>32</v>
      </c>
      <c r="B23" s="4"/>
      <c r="C23" s="18"/>
      <c r="D23" s="75"/>
      <c r="E23" s="19"/>
    </row>
    <row r="24" spans="1:6" x14ac:dyDescent="0.25">
      <c r="A24" s="2" t="s">
        <v>33</v>
      </c>
      <c r="B24" s="4"/>
      <c r="C24" s="25" t="s">
        <v>210</v>
      </c>
      <c r="D24" s="69"/>
      <c r="E24" s="26"/>
    </row>
    <row r="25" spans="1:6" x14ac:dyDescent="0.25">
      <c r="A25" s="2" t="s">
        <v>34</v>
      </c>
      <c r="C25" s="15" t="s">
        <v>57</v>
      </c>
      <c r="D25" s="68" t="s">
        <v>107</v>
      </c>
      <c r="E25" s="36">
        <f>E22</f>
        <v>281</v>
      </c>
      <c r="F25" s="220"/>
    </row>
    <row r="26" spans="1:6" x14ac:dyDescent="0.25">
      <c r="A26" s="2" t="s">
        <v>35</v>
      </c>
      <c r="B26" s="8"/>
      <c r="C26" s="15" t="s">
        <v>52</v>
      </c>
      <c r="D26" s="68" t="s">
        <v>95</v>
      </c>
      <c r="E26" s="38">
        <f>'2030 Depreciation'!E33</f>
        <v>250.00800000000001</v>
      </c>
      <c r="F26" s="220"/>
    </row>
    <row r="27" spans="1:6" ht="16.5" x14ac:dyDescent="0.35">
      <c r="A27" s="2" t="s">
        <v>44</v>
      </c>
      <c r="B27" s="2"/>
      <c r="C27" s="15" t="s">
        <v>73</v>
      </c>
      <c r="D27" s="68" t="s">
        <v>100</v>
      </c>
      <c r="E27" s="37">
        <f>-'Annual Depreciation and CCA'!K52/1000</f>
        <v>-598.99766685153372</v>
      </c>
      <c r="F27" s="220"/>
    </row>
    <row r="28" spans="1:6" x14ac:dyDescent="0.25">
      <c r="A28" s="2" t="s">
        <v>45</v>
      </c>
      <c r="C28" s="15"/>
      <c r="D28" s="68" t="s">
        <v>110</v>
      </c>
      <c r="E28" s="38">
        <f>SUM(E25:E27)</f>
        <v>-67.989666851533684</v>
      </c>
    </row>
    <row r="29" spans="1:6" x14ac:dyDescent="0.25">
      <c r="A29" s="2" t="s">
        <v>46</v>
      </c>
      <c r="C29" s="15" t="s">
        <v>53</v>
      </c>
      <c r="D29" s="68" t="s">
        <v>102</v>
      </c>
      <c r="E29" s="41">
        <v>0.31</v>
      </c>
    </row>
    <row r="30" spans="1:6" x14ac:dyDescent="0.25">
      <c r="A30" s="2" t="s">
        <v>47</v>
      </c>
      <c r="C30" s="15" t="s">
        <v>211</v>
      </c>
      <c r="D30" s="68" t="s">
        <v>111</v>
      </c>
      <c r="E30" s="38">
        <f>E28*E29</f>
        <v>-21.076796723975441</v>
      </c>
    </row>
    <row r="31" spans="1:6" ht="16.5" x14ac:dyDescent="0.35">
      <c r="A31" s="2" t="s">
        <v>48</v>
      </c>
      <c r="C31" s="15" t="s">
        <v>208</v>
      </c>
      <c r="D31" s="68" t="s">
        <v>104</v>
      </c>
      <c r="E31" s="37">
        <f>(-E26-E27)*E29</f>
        <v>108.18679672397545</v>
      </c>
    </row>
    <row r="32" spans="1:6" x14ac:dyDescent="0.25">
      <c r="A32" s="2" t="s">
        <v>49</v>
      </c>
      <c r="C32" s="25" t="s">
        <v>76</v>
      </c>
      <c r="D32" s="69" t="s">
        <v>112</v>
      </c>
      <c r="E32" s="56">
        <f>SUM(E30:E31)</f>
        <v>87.110000000000014</v>
      </c>
    </row>
    <row r="33" spans="3:5" x14ac:dyDescent="0.25">
      <c r="C33" s="22"/>
      <c r="D33" s="77"/>
      <c r="E33" s="23"/>
    </row>
  </sheetData>
  <mergeCells count="1">
    <mergeCell ref="C1:E1"/>
  </mergeCells>
  <printOptions horizontalCentered="1"/>
  <pageMargins left="0.2" right="0.7" top="0.75" bottom="0.5" header="0.3" footer="0.3"/>
  <pageSetup orientation="portrait" r:id="rId1"/>
  <headerFooter>
    <oddHeader>&amp;R&amp;"Arial,Bold"&amp;10Appendix D</oddHeader>
    <oddFooter>&amp;C&amp;"Arial,Regular"Page &amp;P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6"/>
  <sheetViews>
    <sheetView showWhiteSpace="0" topLeftCell="C1" zoomScaleNormal="100" workbookViewId="0">
      <selection activeCell="E6" sqref="E6"/>
    </sheetView>
  </sheetViews>
  <sheetFormatPr defaultRowHeight="15" x14ac:dyDescent="0.25"/>
  <cols>
    <col min="1" max="1" width="3" hidden="1" customWidth="1"/>
    <col min="2" max="2" width="3.5703125" hidden="1" customWidth="1"/>
    <col min="3" max="3" width="62.140625" customWidth="1"/>
    <col min="4" max="4" width="20.7109375" style="79" customWidth="1"/>
    <col min="5" max="5" width="17" customWidth="1"/>
  </cols>
  <sheetData>
    <row r="1" spans="1:5" ht="21" customHeight="1" x14ac:dyDescent="0.25">
      <c r="C1" s="232" t="s">
        <v>165</v>
      </c>
      <c r="D1" s="232"/>
      <c r="E1" s="232"/>
    </row>
    <row r="2" spans="1:5" ht="25.15" customHeight="1" x14ac:dyDescent="0.25">
      <c r="A2" s="2"/>
      <c r="B2" s="5" t="s">
        <v>0</v>
      </c>
      <c r="C2" s="59" t="s">
        <v>81</v>
      </c>
      <c r="D2" s="67" t="s">
        <v>123</v>
      </c>
      <c r="E2" s="60" t="str">
        <f>'2030 Depreciation'!E2</f>
        <v>Annual</v>
      </c>
    </row>
    <row r="3" spans="1:5" x14ac:dyDescent="0.25">
      <c r="A3" s="2" t="s">
        <v>1</v>
      </c>
      <c r="B3" s="4"/>
      <c r="C3" s="15" t="s">
        <v>74</v>
      </c>
      <c r="D3" s="68" t="s">
        <v>124</v>
      </c>
      <c r="E3" s="36">
        <f>ROUND(('2030 Depreciation'!E21),0)</f>
        <v>10531</v>
      </c>
    </row>
    <row r="4" spans="1:5" x14ac:dyDescent="0.25">
      <c r="A4" s="2"/>
      <c r="B4" s="4"/>
      <c r="C4" s="15" t="s">
        <v>134</v>
      </c>
      <c r="D4" s="68" t="s">
        <v>135</v>
      </c>
      <c r="E4" s="49">
        <f>ROUND((+'2030 Depreciation'!E31),0)</f>
        <v>0</v>
      </c>
    </row>
    <row r="5" spans="1:5" ht="16.5" x14ac:dyDescent="0.35">
      <c r="A5" s="2" t="s">
        <v>3</v>
      </c>
      <c r="B5" s="4"/>
      <c r="C5" s="15" t="s">
        <v>36</v>
      </c>
      <c r="D5" s="68" t="s">
        <v>136</v>
      </c>
      <c r="E5" s="42">
        <f>ROUND((-'2030 Income Taxes'!E15),0)</f>
        <v>-528</v>
      </c>
    </row>
    <row r="6" spans="1:5" x14ac:dyDescent="0.25">
      <c r="A6" s="2" t="s">
        <v>37</v>
      </c>
      <c r="B6" s="4"/>
      <c r="C6" s="20" t="s">
        <v>88</v>
      </c>
      <c r="D6" s="80" t="s">
        <v>137</v>
      </c>
      <c r="E6" s="43">
        <f>SUM(E3:E5)</f>
        <v>10003</v>
      </c>
    </row>
    <row r="7" spans="1:5" x14ac:dyDescent="0.25">
      <c r="A7" s="2" t="s">
        <v>4</v>
      </c>
      <c r="B7" s="4"/>
      <c r="C7" s="15"/>
      <c r="D7" s="68"/>
      <c r="E7" s="14"/>
    </row>
    <row r="8" spans="1:5" x14ac:dyDescent="0.25">
      <c r="A8" s="2" t="s">
        <v>5</v>
      </c>
      <c r="B8" s="4"/>
      <c r="C8" s="25" t="s">
        <v>267</v>
      </c>
      <c r="D8" s="69" t="s">
        <v>147</v>
      </c>
      <c r="E8" s="44">
        <f>E6/$E28</f>
        <v>2.1750238637277861E-2</v>
      </c>
    </row>
    <row r="9" spans="1:5" x14ac:dyDescent="0.25">
      <c r="A9" s="2" t="s">
        <v>6</v>
      </c>
      <c r="B9" s="4"/>
      <c r="C9" s="18"/>
      <c r="D9" s="75"/>
      <c r="E9" s="14"/>
    </row>
    <row r="10" spans="1:5" x14ac:dyDescent="0.25">
      <c r="A10" s="2" t="s">
        <v>7</v>
      </c>
      <c r="B10" s="4"/>
      <c r="C10" s="15" t="s">
        <v>61</v>
      </c>
      <c r="D10" s="68" t="s">
        <v>138</v>
      </c>
      <c r="E10" s="36">
        <f>ROUND((E$6*E24),0)</f>
        <v>293</v>
      </c>
    </row>
    <row r="11" spans="1:5" ht="16.5" x14ac:dyDescent="0.35">
      <c r="A11" s="2" t="s">
        <v>8</v>
      </c>
      <c r="B11" s="4"/>
      <c r="C11" s="15" t="s">
        <v>62</v>
      </c>
      <c r="D11" s="68" t="s">
        <v>139</v>
      </c>
      <c r="E11" s="37">
        <f>ROUND((E$6*E25),0)</f>
        <v>396</v>
      </c>
    </row>
    <row r="12" spans="1:5" x14ac:dyDescent="0.25">
      <c r="A12" s="2" t="s">
        <v>9</v>
      </c>
      <c r="B12" s="4"/>
      <c r="C12" s="45" t="s">
        <v>72</v>
      </c>
      <c r="D12" s="81" t="s">
        <v>140</v>
      </c>
      <c r="E12" s="36">
        <f>SUM(E10:E11)</f>
        <v>689</v>
      </c>
    </row>
    <row r="13" spans="1:5" x14ac:dyDescent="0.25">
      <c r="A13" s="2" t="s">
        <v>10</v>
      </c>
      <c r="B13" s="4"/>
      <c r="C13" s="15"/>
      <c r="D13" s="68"/>
      <c r="E13" s="38"/>
    </row>
    <row r="14" spans="1:5" x14ac:dyDescent="0.25">
      <c r="A14" s="2" t="s">
        <v>12</v>
      </c>
      <c r="B14" s="4"/>
      <c r="C14" s="25" t="s">
        <v>127</v>
      </c>
      <c r="D14" s="69"/>
      <c r="E14" s="26"/>
    </row>
    <row r="15" spans="1:5" x14ac:dyDescent="0.25">
      <c r="A15" s="2" t="s">
        <v>13</v>
      </c>
      <c r="B15" s="4"/>
      <c r="C15" s="15" t="s">
        <v>38</v>
      </c>
      <c r="D15" s="68" t="s">
        <v>105</v>
      </c>
      <c r="E15" s="107">
        <v>0.59960000000000002</v>
      </c>
    </row>
    <row r="16" spans="1:5" x14ac:dyDescent="0.25">
      <c r="A16" s="2" t="s">
        <v>14</v>
      </c>
      <c r="B16" s="4"/>
      <c r="C16" s="15" t="s">
        <v>39</v>
      </c>
      <c r="D16" s="68" t="s">
        <v>106</v>
      </c>
      <c r="E16" s="107">
        <v>0.40039999999999998</v>
      </c>
    </row>
    <row r="17" spans="1:5" x14ac:dyDescent="0.25">
      <c r="A17" s="2" t="s">
        <v>15</v>
      </c>
      <c r="B17" s="4"/>
      <c r="C17" s="15"/>
      <c r="D17" s="68"/>
      <c r="E17" s="24"/>
    </row>
    <row r="18" spans="1:5" x14ac:dyDescent="0.25">
      <c r="A18" s="2" t="s">
        <v>16</v>
      </c>
      <c r="B18" s="4"/>
      <c r="C18" s="15" t="s">
        <v>40</v>
      </c>
      <c r="D18" s="68" t="s">
        <v>97</v>
      </c>
      <c r="E18" s="63">
        <v>4.9099999999999998E-2</v>
      </c>
    </row>
    <row r="19" spans="1:5" x14ac:dyDescent="0.25">
      <c r="A19" s="2" t="s">
        <v>18</v>
      </c>
      <c r="B19" s="4"/>
      <c r="C19" s="15" t="s">
        <v>41</v>
      </c>
      <c r="D19" s="68" t="s">
        <v>107</v>
      </c>
      <c r="E19" s="63">
        <v>9.9500000000000005E-2</v>
      </c>
    </row>
    <row r="20" spans="1:5" x14ac:dyDescent="0.25">
      <c r="A20" s="2" t="s">
        <v>19</v>
      </c>
      <c r="B20" s="4"/>
      <c r="C20" s="15"/>
      <c r="D20" s="68"/>
      <c r="E20" s="14"/>
    </row>
    <row r="21" spans="1:5" x14ac:dyDescent="0.25">
      <c r="A21" s="2" t="s">
        <v>20</v>
      </c>
      <c r="B21" s="4"/>
      <c r="C21" s="15" t="s">
        <v>158</v>
      </c>
      <c r="D21" s="68" t="s">
        <v>108</v>
      </c>
      <c r="E21" s="38">
        <f>+[2]RateBase!$E$167</f>
        <v>468293900</v>
      </c>
    </row>
    <row r="22" spans="1:5" x14ac:dyDescent="0.25">
      <c r="A22" s="2" t="s">
        <v>21</v>
      </c>
      <c r="B22" s="4"/>
      <c r="C22" s="15" t="s">
        <v>163</v>
      </c>
      <c r="D22" s="68" t="s">
        <v>141</v>
      </c>
      <c r="E22" s="38">
        <f>+[2]RateBase!$E$168</f>
        <v>471022500</v>
      </c>
    </row>
    <row r="23" spans="1:5" x14ac:dyDescent="0.25">
      <c r="A23" s="2" t="s">
        <v>22</v>
      </c>
      <c r="B23" s="4"/>
      <c r="C23" s="15"/>
      <c r="D23" s="68"/>
      <c r="E23" s="14"/>
    </row>
    <row r="24" spans="1:5" x14ac:dyDescent="0.25">
      <c r="A24" s="2"/>
      <c r="B24" s="1"/>
      <c r="C24" s="15" t="s">
        <v>65</v>
      </c>
      <c r="D24" s="68" t="s">
        <v>142</v>
      </c>
      <c r="E24" s="46">
        <f>E15*E18*E21/E22</f>
        <v>2.9269814078529157E-2</v>
      </c>
    </row>
    <row r="25" spans="1:5" x14ac:dyDescent="0.25">
      <c r="A25" s="2"/>
      <c r="B25" s="1"/>
      <c r="C25" s="15" t="s">
        <v>66</v>
      </c>
      <c r="D25" s="68" t="s">
        <v>143</v>
      </c>
      <c r="E25" s="47">
        <f>E16*E19*E21/E22</f>
        <v>3.9609010858759404E-2</v>
      </c>
    </row>
    <row r="26" spans="1:5" x14ac:dyDescent="0.25">
      <c r="A26" s="2"/>
      <c r="B26" s="1"/>
      <c r="C26" s="15" t="s">
        <v>157</v>
      </c>
      <c r="D26" s="68" t="s">
        <v>145</v>
      </c>
      <c r="E26" s="46">
        <f>SUM(E24:E25)</f>
        <v>6.8878824937288557E-2</v>
      </c>
    </row>
    <row r="27" spans="1:5" x14ac:dyDescent="0.25">
      <c r="A27" s="2"/>
      <c r="B27" s="1"/>
      <c r="C27" s="83"/>
      <c r="D27" s="75"/>
      <c r="E27" s="19"/>
    </row>
    <row r="28" spans="1:5" x14ac:dyDescent="0.25">
      <c r="A28" s="2"/>
      <c r="B28" s="1"/>
      <c r="C28" s="25" t="s">
        <v>265</v>
      </c>
      <c r="D28" s="69" t="s">
        <v>144</v>
      </c>
      <c r="E28" s="56">
        <v>459903</v>
      </c>
    </row>
    <row r="29" spans="1:5" x14ac:dyDescent="0.25">
      <c r="A29" s="2"/>
      <c r="B29" s="1"/>
      <c r="C29" s="111" t="s">
        <v>164</v>
      </c>
      <c r="D29" s="87"/>
      <c r="E29" s="88"/>
    </row>
    <row r="30" spans="1:5" x14ac:dyDescent="0.25">
      <c r="A30" s="2"/>
      <c r="B30" s="1"/>
    </row>
    <row r="31" spans="1:5" x14ac:dyDescent="0.25">
      <c r="A31" s="2"/>
      <c r="B31" s="1"/>
    </row>
    <row r="32" spans="1:5" x14ac:dyDescent="0.25">
      <c r="A32" s="2"/>
      <c r="B32" s="1"/>
    </row>
    <row r="33" spans="1:2" x14ac:dyDescent="0.25">
      <c r="A33" s="2"/>
      <c r="B33" s="1"/>
    </row>
    <row r="34" spans="1:2" x14ac:dyDescent="0.25">
      <c r="A34" s="2"/>
      <c r="B34" s="1"/>
    </row>
    <row r="35" spans="1:2" x14ac:dyDescent="0.25">
      <c r="A35" s="2"/>
      <c r="B35" s="1"/>
    </row>
    <row r="36" spans="1:2" x14ac:dyDescent="0.25">
      <c r="A36" s="2"/>
    </row>
  </sheetData>
  <mergeCells count="1">
    <mergeCell ref="C1:E1"/>
  </mergeCells>
  <printOptions horizontalCentered="1"/>
  <pageMargins left="0.7" right="0.2" top="0.75" bottom="0.5" header="0.3" footer="0.3"/>
  <pageSetup scale="96" orientation="portrait" r:id="rId1"/>
  <headerFooter>
    <oddHeader>&amp;R&amp;"Arial,Bold"&amp;10Appendix D</oddHeader>
    <oddFooter>&amp;C&amp;"Arial,Regular"Page &amp;P of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7"/>
  <sheetViews>
    <sheetView topLeftCell="C1" zoomScaleNormal="100" workbookViewId="0">
      <selection activeCell="C17" sqref="C17"/>
    </sheetView>
  </sheetViews>
  <sheetFormatPr defaultColWidth="9.140625" defaultRowHeight="12.75" x14ac:dyDescent="0.2"/>
  <cols>
    <col min="1" max="1" width="2.42578125" style="1" hidden="1" customWidth="1"/>
    <col min="2" max="2" width="3.5703125" style="1" hidden="1" customWidth="1"/>
    <col min="3" max="3" width="56" style="1" bestFit="1" customWidth="1"/>
    <col min="4" max="4" width="16.85546875" style="4" bestFit="1" customWidth="1"/>
    <col min="5" max="5" width="12.28515625" style="1" bestFit="1" customWidth="1"/>
    <col min="6" max="6" width="10.5703125" style="1" bestFit="1" customWidth="1"/>
    <col min="7" max="16384" width="9.140625" style="1"/>
  </cols>
  <sheetData>
    <row r="1" spans="1:11" ht="21" customHeight="1" x14ac:dyDescent="0.2">
      <c r="C1" s="232" t="s">
        <v>165</v>
      </c>
      <c r="D1" s="232"/>
      <c r="E1" s="232"/>
    </row>
    <row r="2" spans="1:11" ht="25.15" customHeight="1" x14ac:dyDescent="0.2">
      <c r="A2" s="2"/>
      <c r="B2" s="5" t="s">
        <v>0</v>
      </c>
      <c r="C2" s="61" t="s">
        <v>204</v>
      </c>
      <c r="D2" s="67" t="s">
        <v>123</v>
      </c>
      <c r="E2" s="60" t="str">
        <f>'2030 Depreciation'!E2</f>
        <v>Annual</v>
      </c>
    </row>
    <row r="3" spans="1:11" ht="14.45" customHeight="1" x14ac:dyDescent="0.2">
      <c r="A3" s="2" t="s">
        <v>1</v>
      </c>
      <c r="B3" s="4"/>
      <c r="C3" s="15" t="s">
        <v>50</v>
      </c>
      <c r="D3" s="68" t="s">
        <v>148</v>
      </c>
      <c r="E3" s="36">
        <f>'2030 Depreciation'!E33</f>
        <v>250.00800000000001</v>
      </c>
    </row>
    <row r="4" spans="1:11" ht="14.45" customHeight="1" x14ac:dyDescent="0.2">
      <c r="A4" s="2" t="s">
        <v>2</v>
      </c>
      <c r="B4" s="4"/>
      <c r="C4" s="45" t="s">
        <v>61</v>
      </c>
      <c r="D4" s="81" t="s">
        <v>149</v>
      </c>
      <c r="E4" s="49">
        <f>'2030 Rate Base &amp; Cost Capital'!E10</f>
        <v>293</v>
      </c>
    </row>
    <row r="5" spans="1:11" ht="14.45" customHeight="1" x14ac:dyDescent="0.2">
      <c r="A5" s="2" t="s">
        <v>3</v>
      </c>
      <c r="B5" s="4"/>
      <c r="C5" s="45" t="s">
        <v>77</v>
      </c>
      <c r="D5" s="81" t="s">
        <v>150</v>
      </c>
      <c r="E5" s="49">
        <f>'2030 Rate Base &amp; Cost Capital'!E11</f>
        <v>396</v>
      </c>
    </row>
    <row r="6" spans="1:11" ht="14.45" customHeight="1" x14ac:dyDescent="0.35">
      <c r="A6" s="2" t="s">
        <v>37</v>
      </c>
      <c r="B6" s="4"/>
      <c r="C6" s="15" t="s">
        <v>56</v>
      </c>
      <c r="D6" s="68" t="s">
        <v>113</v>
      </c>
      <c r="E6" s="37">
        <f>'2030 Income Taxes'!E32</f>
        <v>87.110000000000014</v>
      </c>
    </row>
    <row r="7" spans="1:11" ht="14.45" customHeight="1" x14ac:dyDescent="0.2">
      <c r="A7" s="2" t="s">
        <v>4</v>
      </c>
      <c r="B7" s="4"/>
      <c r="C7" s="25" t="s">
        <v>146</v>
      </c>
      <c r="D7" s="69" t="s">
        <v>114</v>
      </c>
      <c r="E7" s="56">
        <f>SUM(E3:E6)+0.3</f>
        <v>1026.4179999999999</v>
      </c>
    </row>
    <row r="8" spans="1:11" ht="14.45" customHeight="1" x14ac:dyDescent="0.2">
      <c r="A8" s="2" t="s">
        <v>5</v>
      </c>
      <c r="B8" s="4"/>
      <c r="C8" s="15"/>
      <c r="D8" s="68"/>
      <c r="E8" s="14"/>
    </row>
    <row r="9" spans="1:11" ht="14.45" customHeight="1" x14ac:dyDescent="0.2">
      <c r="A9" s="2" t="s">
        <v>6</v>
      </c>
      <c r="B9" s="4"/>
      <c r="C9" s="20" t="s">
        <v>205</v>
      </c>
      <c r="D9" s="80" t="s">
        <v>115</v>
      </c>
      <c r="E9" s="65">
        <f>E7/$E11</f>
        <v>4.1179269506050001E-3</v>
      </c>
      <c r="G9" s="6"/>
      <c r="H9" s="6"/>
      <c r="I9" s="6"/>
      <c r="J9" s="6"/>
      <c r="K9" s="6"/>
    </row>
    <row r="10" spans="1:11" ht="14.45" customHeight="1" x14ac:dyDescent="0.2">
      <c r="A10" s="2" t="s">
        <v>7</v>
      </c>
      <c r="B10" s="4"/>
      <c r="C10" s="15"/>
      <c r="D10" s="68"/>
      <c r="E10" s="14"/>
    </row>
    <row r="11" spans="1:11" ht="14.45" customHeight="1" x14ac:dyDescent="0.2">
      <c r="A11" s="2" t="s">
        <v>8</v>
      </c>
      <c r="C11" s="20" t="s">
        <v>160</v>
      </c>
      <c r="D11" s="80" t="s">
        <v>102</v>
      </c>
      <c r="E11" s="43">
        <v>249256</v>
      </c>
    </row>
    <row r="12" spans="1:11" x14ac:dyDescent="0.2">
      <c r="A12" s="2"/>
      <c r="C12" s="85"/>
      <c r="D12" s="86"/>
      <c r="E12" s="93"/>
    </row>
    <row r="13" spans="1:11" x14ac:dyDescent="0.2">
      <c r="C13" s="99"/>
      <c r="D13" s="100"/>
      <c r="E13" s="99"/>
    </row>
    <row r="14" spans="1:11" s="221" customFormat="1" ht="30" x14ac:dyDescent="0.25">
      <c r="C14" s="224" t="s">
        <v>216</v>
      </c>
      <c r="D14" s="222">
        <v>0.80500000000000005</v>
      </c>
      <c r="E14" s="223">
        <f>+E7*D14</f>
        <v>826.26648999999998</v>
      </c>
    </row>
    <row r="16" spans="1:11" x14ac:dyDescent="0.2">
      <c r="C16" s="225" t="s">
        <v>159</v>
      </c>
    </row>
    <row r="17" spans="3:3" x14ac:dyDescent="0.2">
      <c r="C17" s="1" t="s">
        <v>217</v>
      </c>
    </row>
  </sheetData>
  <mergeCells count="1">
    <mergeCell ref="C1:E1"/>
  </mergeCells>
  <printOptions horizontalCentered="1"/>
  <pageMargins left="0.7" right="0.2" top="0.75" bottom="0.5" header="0.3" footer="0.3"/>
  <pageSetup orientation="portrait" r:id="rId1"/>
  <headerFooter>
    <oddHeader>&amp;R&amp;"Arial,Bold"&amp;10Appendix D</oddHeader>
    <oddFooter>&amp;C&amp;"Arial,Regular"Page &amp;P of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6"/>
  <sheetViews>
    <sheetView topLeftCell="C1" zoomScaleNormal="100" workbookViewId="0">
      <selection activeCell="C24" sqref="C24"/>
    </sheetView>
  </sheetViews>
  <sheetFormatPr defaultColWidth="9.140625" defaultRowHeight="12.75" x14ac:dyDescent="0.2"/>
  <cols>
    <col min="1" max="2" width="3.5703125" style="12" hidden="1" customWidth="1"/>
    <col min="3" max="3" width="54.7109375" style="12" customWidth="1"/>
    <col min="4" max="4" width="35.85546875" style="72" customWidth="1"/>
    <col min="5" max="5" width="14.140625" style="12" customWidth="1"/>
    <col min="6" max="16384" width="9.140625" style="12"/>
  </cols>
  <sheetData>
    <row r="1" spans="1:11" ht="21" customHeight="1" x14ac:dyDescent="0.2">
      <c r="C1" s="232" t="s">
        <v>165</v>
      </c>
      <c r="D1" s="232"/>
      <c r="E1" s="232"/>
    </row>
    <row r="2" spans="1:11" ht="25.15" customHeight="1" x14ac:dyDescent="0.2">
      <c r="A2" s="51"/>
      <c r="B2" s="52" t="s">
        <v>0</v>
      </c>
      <c r="C2" s="59" t="s">
        <v>79</v>
      </c>
      <c r="D2" s="67" t="s">
        <v>123</v>
      </c>
      <c r="E2" s="60" t="str">
        <f>'2030 Depreciation'!E2</f>
        <v>Annual</v>
      </c>
    </row>
    <row r="3" spans="1:11" x14ac:dyDescent="0.2">
      <c r="C3" s="15"/>
      <c r="D3" s="68"/>
      <c r="E3" s="14"/>
    </row>
    <row r="4" spans="1:11" x14ac:dyDescent="0.2">
      <c r="A4" s="12">
        <v>1</v>
      </c>
      <c r="C4" s="15" t="s">
        <v>71</v>
      </c>
      <c r="D4" s="68" t="s">
        <v>116</v>
      </c>
      <c r="E4" s="36">
        <f>'2030 Revenue Requirement'!E14*1000</f>
        <v>826266.49</v>
      </c>
    </row>
    <row r="5" spans="1:11" x14ac:dyDescent="0.2">
      <c r="A5" s="12">
        <v>2</v>
      </c>
      <c r="C5" s="15" t="s">
        <v>202</v>
      </c>
      <c r="D5" s="68" t="s">
        <v>99</v>
      </c>
      <c r="E5" s="38">
        <f>ROUND('[1]5 Year Plan'!$R$15*1000,-3)</f>
        <v>1552349000</v>
      </c>
    </row>
    <row r="6" spans="1:11" x14ac:dyDescent="0.2">
      <c r="A6" s="12">
        <v>3</v>
      </c>
      <c r="C6" s="15"/>
      <c r="D6" s="68"/>
      <c r="E6" s="14"/>
    </row>
    <row r="7" spans="1:11" x14ac:dyDescent="0.2">
      <c r="A7" s="12">
        <v>4</v>
      </c>
      <c r="C7" s="25" t="s">
        <v>128</v>
      </c>
      <c r="D7" s="69" t="s">
        <v>117</v>
      </c>
      <c r="E7" s="102">
        <f>ROUND(E4/E5,5)</f>
        <v>5.2999999999999998E-4</v>
      </c>
    </row>
    <row r="8" spans="1:11" x14ac:dyDescent="0.2">
      <c r="A8" s="12">
        <v>5</v>
      </c>
      <c r="C8" s="15"/>
      <c r="D8" s="68"/>
      <c r="E8" s="14"/>
    </row>
    <row r="9" spans="1:11" ht="25.5" x14ac:dyDescent="0.2">
      <c r="A9" s="12">
        <v>6</v>
      </c>
      <c r="C9" s="57" t="s">
        <v>161</v>
      </c>
      <c r="D9" s="70" t="s">
        <v>118</v>
      </c>
      <c r="E9" s="58">
        <f>E7*650*12</f>
        <v>4.1339999999999995</v>
      </c>
    </row>
    <row r="10" spans="1:11" x14ac:dyDescent="0.2">
      <c r="A10" s="12">
        <v>7</v>
      </c>
      <c r="C10" s="53"/>
      <c r="D10" s="71"/>
      <c r="E10" s="54"/>
    </row>
    <row r="11" spans="1:11" ht="25.5" x14ac:dyDescent="0.2">
      <c r="A11" s="12">
        <v>8</v>
      </c>
      <c r="C11" s="53" t="s">
        <v>212</v>
      </c>
      <c r="D11" s="71" t="s">
        <v>121</v>
      </c>
      <c r="E11" s="46">
        <f>E9/$E18</f>
        <v>2.7253489092671089E-3</v>
      </c>
      <c r="H11" s="55"/>
      <c r="I11" s="55"/>
      <c r="J11" s="55"/>
      <c r="K11" s="55"/>
    </row>
    <row r="12" spans="1:11" ht="25.5" x14ac:dyDescent="0.2">
      <c r="A12" s="12">
        <v>9</v>
      </c>
      <c r="C12" s="53" t="s">
        <v>213</v>
      </c>
      <c r="D12" s="71" t="s">
        <v>122</v>
      </c>
      <c r="E12" s="46">
        <f>E9/$E20</f>
        <v>2.7769754210133875E-3</v>
      </c>
      <c r="H12" s="55"/>
      <c r="I12" s="55"/>
      <c r="J12" s="55"/>
      <c r="K12" s="55"/>
    </row>
    <row r="13" spans="1:11" x14ac:dyDescent="0.2">
      <c r="A13" s="12">
        <v>10</v>
      </c>
      <c r="C13" s="15"/>
      <c r="D13" s="68"/>
      <c r="E13" s="14"/>
    </row>
    <row r="14" spans="1:11" ht="25.5" x14ac:dyDescent="0.2">
      <c r="A14" s="12">
        <v>11</v>
      </c>
      <c r="C14" s="57" t="s">
        <v>162</v>
      </c>
      <c r="D14" s="70" t="s">
        <v>119</v>
      </c>
      <c r="E14" s="58">
        <f>E7*10000*12</f>
        <v>63.599999999999994</v>
      </c>
      <c r="G14" s="82"/>
    </row>
    <row r="15" spans="1:11" ht="9.75" customHeight="1" x14ac:dyDescent="0.2">
      <c r="C15" s="108"/>
      <c r="D15" s="109"/>
      <c r="E15" s="110"/>
      <c r="G15" s="82"/>
    </row>
    <row r="16" spans="1:11" ht="25.5" x14ac:dyDescent="0.2">
      <c r="A16" s="12">
        <v>12</v>
      </c>
      <c r="C16" s="53" t="s">
        <v>214</v>
      </c>
      <c r="D16" s="71" t="s">
        <v>120</v>
      </c>
      <c r="E16" s="46">
        <f>E14/$E22</f>
        <v>2.6740328704229258E-3</v>
      </c>
      <c r="H16" s="55"/>
      <c r="I16" s="55"/>
      <c r="J16" s="55"/>
      <c r="K16" s="55"/>
    </row>
    <row r="17" spans="1:5" x14ac:dyDescent="0.2">
      <c r="A17" s="12">
        <v>13</v>
      </c>
      <c r="C17" s="15"/>
      <c r="D17" s="68"/>
      <c r="E17" s="14"/>
    </row>
    <row r="18" spans="1:5" ht="38.25" x14ac:dyDescent="0.2">
      <c r="A18" s="12">
        <v>14</v>
      </c>
      <c r="C18" s="53" t="s">
        <v>275</v>
      </c>
      <c r="D18" s="71" t="s">
        <v>105</v>
      </c>
      <c r="E18" s="62">
        <v>1516.87</v>
      </c>
    </row>
    <row r="19" spans="1:5" ht="7.5" customHeight="1" x14ac:dyDescent="0.2">
      <c r="A19" s="12">
        <v>15</v>
      </c>
      <c r="C19" s="15"/>
      <c r="D19" s="68"/>
      <c r="E19" s="14"/>
    </row>
    <row r="20" spans="1:5" ht="38.25" x14ac:dyDescent="0.2">
      <c r="A20" s="12">
        <v>16</v>
      </c>
      <c r="C20" s="53" t="s">
        <v>276</v>
      </c>
      <c r="D20" s="71" t="s">
        <v>106</v>
      </c>
      <c r="E20" s="54">
        <v>1488.67</v>
      </c>
    </row>
    <row r="21" spans="1:5" ht="7.5" customHeight="1" x14ac:dyDescent="0.2">
      <c r="A21" s="12">
        <v>17</v>
      </c>
      <c r="C21" s="15"/>
      <c r="D21" s="68"/>
      <c r="E21" s="14"/>
    </row>
    <row r="22" spans="1:5" ht="38.25" x14ac:dyDescent="0.2">
      <c r="A22" s="12">
        <v>18</v>
      </c>
      <c r="C22" s="53" t="s">
        <v>277</v>
      </c>
      <c r="D22" s="71" t="s">
        <v>97</v>
      </c>
      <c r="E22" s="62">
        <v>23784.3</v>
      </c>
    </row>
    <row r="23" spans="1:5" x14ac:dyDescent="0.2">
      <c r="C23" s="15"/>
      <c r="D23" s="68"/>
      <c r="E23" s="14"/>
    </row>
    <row r="24" spans="1:5" x14ac:dyDescent="0.2">
      <c r="C24" s="94" t="s">
        <v>203</v>
      </c>
      <c r="D24" s="98"/>
      <c r="E24" s="101"/>
    </row>
    <row r="25" spans="1:5" x14ac:dyDescent="0.2">
      <c r="C25" s="48"/>
      <c r="D25" s="66"/>
      <c r="E25" s="50"/>
    </row>
    <row r="26" spans="1:5" x14ac:dyDescent="0.2">
      <c r="C26" s="97"/>
      <c r="D26" s="98"/>
      <c r="E26" s="97"/>
    </row>
  </sheetData>
  <mergeCells count="1">
    <mergeCell ref="C1:E1"/>
  </mergeCells>
  <printOptions horizontalCentered="1"/>
  <pageMargins left="0.7" right="0.2" top="0.75" bottom="0.5" header="0.3" footer="0.3"/>
  <pageSetup scale="92" orientation="portrait" r:id="rId1"/>
  <headerFooter>
    <oddHeader>&amp;R&amp;"Arial,Bold"&amp;10Appendix D</oddHeader>
    <oddFooter>&amp;C&amp;"Arial,Regular"Page &amp;P of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pport Document" ma:contentTypeID="0x01010087DDA8BE470AFE4993BEDB69BC0B40F60204008ED646A0F676D44299F4CFCF69A57B76" ma:contentTypeVersion="1" ma:contentTypeDescription="" ma:contentTypeScope="" ma:versionID="8df41919a11eb5603495b83bcb7e50c8">
  <xsd:schema xmlns:xsd="http://www.w3.org/2001/XMLSchema" xmlns:xs="http://www.w3.org/2001/XMLSchema" xmlns:p="http://schemas.microsoft.com/office/2006/metadata/properties" xmlns:ns2="bb9f5cce-8978-4b57-8055-abe6ee7aa763" xmlns:ns4="http://schemas.microsoft.com/sharepoint/v4" targetNamespace="http://schemas.microsoft.com/office/2006/metadata/properties" ma:root="true" ma:fieldsID="ac91c86d9785daf55e2a266f924ee993" ns2:_="" ns4:_="">
    <xsd:import namespace="bb9f5cce-8978-4b57-8055-abe6ee7aa76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Support_x0020_Status" minOccurs="0"/>
                <xsd:element ref="ns2:Support_x0020_Document_x0020_Type" minOccurs="0"/>
                <xsd:element ref="ns2:Notes1" minOccurs="0"/>
                <xsd:element ref="ns2:Support_x0020_Published_x0020_Document_x0020_Type" minOccurs="0"/>
                <xsd:element ref="ns2:TopicTaxHTField0" minOccurs="0"/>
                <xsd:element ref="ns2:TaxCatchAll" minOccurs="0"/>
                <xsd:element ref="ns2:TaxCatchAllLabel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Support_x0020_Status" ma:index="3" nillable="true" ma:displayName="Support Status" ma:format="Dropdown" ma:internalName="Support_x0020_Status">
      <xsd:simpleType>
        <xsd:restriction base="dms:Choice">
          <xsd:enumeration value="Draft"/>
          <xsd:enumeration value="Final"/>
        </xsd:restriction>
      </xsd:simpleType>
    </xsd:element>
    <xsd:element name="Support_x0020_Document_x0020_Type" ma:index="4" nillable="true" ma:displayName="Support Document Type" ma:format="Dropdown" ma:internalName="Support_x0020_Document_x0020_Type0">
      <xsd:simpleType>
        <xsd:restriction base="dms:Choice">
          <xsd:enumeration value="QA"/>
          <xsd:enumeration value="Work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Support_x0020_Published_x0020_Document_x0020_Type" ma:index="7" nillable="true" ma:displayName="Support Published Document Type" ma:format="Dropdown" ma:internalName="Support_x0020_Published_x0020_Document_x0020_Type0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TopicTaxHTField0" ma:index="13" nillable="true" ma:taxonomy="true" ma:internalName="TopicTaxHTField0" ma:taxonomyFieldName="Topic" ma:displayName="Topic" ma:default="" ma:fieldId="{558ad66f-b089-4a3a-8feb-a9e41c7aed94}" ma:sspId="54dc7821-0d06-4c55-90f8-b86f231f40bc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Capital Budget</TermName>
          <TermId xmlns="http://schemas.microsoft.com/office/infopath/2007/PartnerControls">15af5c68-45dc-4e11-9226-78ef5575ef40</TermId>
        </TermInfo>
      </Terms>
    </TopicTaxHTField0>
    <Support_x0020_Published_x0020_Document_x0020_Type xmlns="bb9f5cce-8978-4b57-8055-abe6ee7aa763" xsi:nil="true"/>
    <Support_x0020_Status xmlns="bb9f5cce-8978-4b57-8055-abe6ee7aa763" xsi:nil="true"/>
    <TaxCatchAll xmlns="bb9f5cce-8978-4b57-8055-abe6ee7aa763"/>
    <Support_x0020_Document_x0020_Type xmlns="bb9f5cce-8978-4b57-8055-abe6ee7aa763" xsi:nil="true"/>
    <Project xmlns="bb9f5cce-8978-4b57-8055-abe6ee7aa763">2015 NP Capital Budget Application</Projec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B83127-A4CD-41DE-B31E-DE7C4D383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A3A58E-1CEC-48D4-801D-E8A90FB99826}">
  <ds:schemaRefs>
    <ds:schemaRef ds:uri="http://purl.org/dc/elements/1.1/"/>
    <ds:schemaRef ds:uri="http://schemas.microsoft.com/office/2006/documentManagement/types"/>
    <ds:schemaRef ds:uri="http://schemas.microsoft.com/sharepoint/v4"/>
    <ds:schemaRef ds:uri="http://purl.org/dc/terms/"/>
    <ds:schemaRef ds:uri="http://schemas.openxmlformats.org/package/2006/metadata/core-properties"/>
    <ds:schemaRef ds:uri="bb9f5cce-8978-4b57-8055-abe6ee7aa763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1AD408-CA0E-4AD2-A5D1-FD4AB058C3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2023 - 2030 Annual Impact</vt:lpstr>
      <vt:lpstr>OATT Rate Impact</vt:lpstr>
      <vt:lpstr>Annual Depreciation and CCA</vt:lpstr>
      <vt:lpstr>2030 Depreciation</vt:lpstr>
      <vt:lpstr>2030 Income Taxes</vt:lpstr>
      <vt:lpstr>2030 Rate Base &amp; Cost Capital</vt:lpstr>
      <vt:lpstr>2030 Revenue Requirement</vt:lpstr>
      <vt:lpstr>2030 Distribution Rate Impact</vt:lpstr>
      <vt:lpstr>'OATT Rate Impact'!_ftnref1</vt:lpstr>
      <vt:lpstr>'2030 Depreciation'!Print_Area</vt:lpstr>
      <vt:lpstr>'2030 Distribution Rate Impact'!Print_Area</vt:lpstr>
      <vt:lpstr>'2030 Income Taxes'!Print_Area</vt:lpstr>
      <vt:lpstr>'2030 Rate Base &amp; Cost Capital'!Print_Area</vt:lpstr>
      <vt:lpstr>'2030 Revenue Requirement'!Print_Area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bmcdonal</dc:creator>
  <cp:lastModifiedBy>Crockett, Gloria</cp:lastModifiedBy>
  <cp:lastPrinted>2022-08-13T11:12:43Z</cp:lastPrinted>
  <dcterms:created xsi:type="dcterms:W3CDTF">2011-08-08T16:27:12Z</dcterms:created>
  <dcterms:modified xsi:type="dcterms:W3CDTF">2022-08-30T13:12:57Z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0x01010087DDA8BE470AFE4993BEDB69BC0B40F60204008ED646A0F676D44299F4CFCF69A57B76</vt:lpwstr>
  </property>
  <property fmtid="{D5CDD505-2E9C-101B-9397-08002B2CF9AE}" pid="3" name="Topic">
    <vt:lpwstr>53</vt:lpwstr>
  </property>
</Properties>
</file>