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defaultThemeVersion="124226"/>
  <mc:AlternateContent xmlns:mc="http://schemas.openxmlformats.org/markup-compatibility/2006">
    <mc:Choice Requires="x15">
      <x15ac:absPath xmlns:x15ac="http://schemas.microsoft.com/office/spreadsheetml/2010/11/ac" url="\\mercury\users\FIN\Regulation\Applications and Filings\Rate Applications\2022\Application\Electronic Files\"/>
    </mc:Choice>
  </mc:AlternateContent>
  <xr:revisionPtr revIDLastSave="0" documentId="13_ncr:1_{AC99AC71-EA3F-474E-8EDB-D2051A13B964}" xr6:coauthVersionLast="36" xr6:coauthVersionMax="36" xr10:uidLastSave="{00000000-0000-0000-0000-000000000000}"/>
  <bookViews>
    <workbookView xWindow="-1005" yWindow="345" windowWidth="19320" windowHeight="7215" tabRatio="939" xr2:uid="{00000000-000D-0000-FFFF-FFFF00000000}"/>
  </bookViews>
  <sheets>
    <sheet name="Chart 3-1" sheetId="31" r:id="rId1"/>
    <sheet name="Tables Section 3.2.2" sheetId="23" r:id="rId2"/>
    <sheet name="Tables Section 4" sheetId="4" r:id="rId3"/>
    <sheet name="Tables Section 5.1 - 5.2" sheetId="25" r:id="rId4"/>
    <sheet name="Section 5.3 Reg Deferrals" sheetId="29" r:id="rId5"/>
    <sheet name="Section 6" sheetId="28" r:id="rId6"/>
    <sheet name="Section 7.2 Proposed Rates" sheetId="19" r:id="rId7"/>
    <sheet name="Section 7.3 Customer Impact" sheetId="18" r:id="rId8"/>
    <sheet name="Energy Supply" sheetId="7" r:id="rId9"/>
    <sheet name="T &amp; D" sheetId="6" r:id="rId10"/>
    <sheet name="General" sheetId="5" r:id="rId11"/>
    <sheet name="Other Revenue &amp; Costs" sheetId="17" r:id="rId12"/>
    <sheet name="ROE, Capital Structure, Divds" sheetId="9" r:id="rId13"/>
    <sheet name="ECAM Account" sheetId="20" r:id="rId14"/>
    <sheet name="Other Reg Def" sheetId="1" r:id="rId15"/>
    <sheet name="Rate Base" sheetId="16" r:id="rId16"/>
    <sheet name="Energy Sales &amp; Revenue" sheetId="10" r:id="rId17"/>
  </sheets>
  <definedNames>
    <definedName name="_ftn1" localSheetId="1">'Tables Section 3.2.2'!$A$28</definedName>
    <definedName name="_ftn2" localSheetId="1">'Tables Section 3.2.2'!$A$29</definedName>
    <definedName name="_ftn3" localSheetId="1">'Tables Section 3.2.2'!$A$30</definedName>
    <definedName name="_ftn4" localSheetId="1">'Tables Section 3.2.2'!$A$31</definedName>
    <definedName name="_ftnref1" localSheetId="1">'Tables Section 3.2.2'!$A$20</definedName>
    <definedName name="_ftnref2" localSheetId="1">'Tables Section 3.2.2'!$B$21</definedName>
    <definedName name="_ftnref3" localSheetId="1">'Tables Section 3.2.2'!$A$22</definedName>
    <definedName name="_ftnref4" localSheetId="1">'Tables Section 3.2.2'!$A$24</definedName>
    <definedName name="Index" localSheetId="0">#REF!</definedName>
    <definedName name="Index" localSheetId="3">#REF!</definedName>
    <definedName name="Index">#REF!</definedName>
  </definedNames>
  <calcPr calcId="191029"/>
</workbook>
</file>

<file path=xl/calcChain.xml><?xml version="1.0" encoding="utf-8"?>
<calcChain xmlns="http://schemas.openxmlformats.org/spreadsheetml/2006/main">
  <c r="C76" i="29" l="1"/>
  <c r="C138" i="25"/>
  <c r="D138" i="25"/>
  <c r="E138" i="25"/>
  <c r="F138" i="25"/>
  <c r="G138" i="25"/>
  <c r="B138" i="25"/>
  <c r="B127" i="25"/>
  <c r="B7" i="25" l="1"/>
  <c r="A59" i="31" l="1"/>
  <c r="I124" i="7" l="1"/>
  <c r="F124" i="7" l="1"/>
  <c r="G124" i="7"/>
  <c r="H124" i="7"/>
  <c r="E124" i="7"/>
  <c r="E123" i="7"/>
  <c r="I126" i="7" l="1"/>
  <c r="G5" i="20" s="1"/>
  <c r="A125" i="7"/>
  <c r="H126" i="7" l="1"/>
  <c r="F5" i="20" s="1"/>
  <c r="B20" i="10"/>
  <c r="A67" i="31" l="1"/>
  <c r="P8" i="31" l="1"/>
  <c r="O8" i="31"/>
  <c r="L36" i="31"/>
  <c r="J36" i="31"/>
  <c r="C126" i="29" l="1"/>
  <c r="C117" i="29" l="1"/>
  <c r="D108" i="29" l="1"/>
  <c r="D106" i="29"/>
  <c r="D107" i="29"/>
  <c r="E83" i="1"/>
  <c r="D83" i="1"/>
  <c r="E82" i="1"/>
  <c r="C82" i="1"/>
  <c r="C81" i="1"/>
  <c r="C79" i="1"/>
  <c r="C78" i="1"/>
  <c r="C77" i="1"/>
  <c r="C76" i="1"/>
  <c r="C75" i="1"/>
  <c r="C74" i="1"/>
  <c r="C73" i="1"/>
  <c r="C72" i="1"/>
  <c r="C71" i="1"/>
  <c r="C70" i="1"/>
  <c r="C69" i="1"/>
  <c r="C67" i="1"/>
  <c r="C66" i="1"/>
  <c r="C65" i="1"/>
  <c r="C64" i="1"/>
  <c r="C63" i="1"/>
  <c r="C62" i="1"/>
  <c r="C61" i="1"/>
  <c r="D60" i="1"/>
  <c r="C60" i="1"/>
  <c r="C59" i="1"/>
  <c r="C58" i="1"/>
  <c r="C57" i="1"/>
  <c r="E56" i="1"/>
  <c r="C56" i="1"/>
  <c r="F56" i="1" s="1"/>
  <c r="F57" i="1" s="1"/>
  <c r="F58" i="1" s="1"/>
  <c r="F59" i="1" s="1"/>
  <c r="F60" i="1" l="1"/>
  <c r="D109" i="29"/>
  <c r="B108" i="29"/>
  <c r="B107" i="29"/>
  <c r="C107" i="29" s="1"/>
  <c r="B83" i="1"/>
  <c r="C68" i="1"/>
  <c r="C80" i="1"/>
  <c r="C108" i="29" s="1"/>
  <c r="B106" i="29"/>
  <c r="C106" i="29" s="1"/>
  <c r="E106" i="29" s="1"/>
  <c r="F61" i="1"/>
  <c r="F62" i="1" s="1"/>
  <c r="F63" i="1" s="1"/>
  <c r="F64" i="1" s="1"/>
  <c r="F65" i="1" s="1"/>
  <c r="F66" i="1" s="1"/>
  <c r="F67" i="1" s="1"/>
  <c r="F68" i="1" l="1"/>
  <c r="F69" i="1" s="1"/>
  <c r="F70" i="1" s="1"/>
  <c r="F71" i="1" s="1"/>
  <c r="F72" i="1" s="1"/>
  <c r="F73" i="1" s="1"/>
  <c r="F74" i="1" s="1"/>
  <c r="F75" i="1" s="1"/>
  <c r="F76" i="1" s="1"/>
  <c r="F77" i="1" s="1"/>
  <c r="F78" i="1" s="1"/>
  <c r="F79" i="1" s="1"/>
  <c r="F80" i="1" s="1"/>
  <c r="F81" i="1" s="1"/>
  <c r="F82" i="1" s="1"/>
  <c r="E107" i="29"/>
  <c r="C83" i="1"/>
  <c r="F83" i="1" s="1"/>
  <c r="B109" i="29"/>
  <c r="C109" i="29"/>
  <c r="E109" i="29" s="1"/>
  <c r="E108" i="29" l="1"/>
  <c r="B42" i="1"/>
  <c r="C79" i="29"/>
  <c r="C77" i="29"/>
  <c r="C75" i="29"/>
  <c r="C7" i="1"/>
  <c r="C9" i="1" s="1"/>
  <c r="C18" i="1" s="1"/>
  <c r="H20" i="1"/>
  <c r="C88" i="29"/>
  <c r="H21" i="1"/>
  <c r="H22" i="1"/>
  <c r="H23" i="1"/>
  <c r="H24" i="1"/>
  <c r="H25" i="1"/>
  <c r="H26" i="1"/>
  <c r="H27" i="1"/>
  <c r="H28" i="1"/>
  <c r="H29" i="1"/>
  <c r="H30" i="1"/>
  <c r="H31" i="1"/>
  <c r="E33" i="1"/>
  <c r="H34" i="1"/>
  <c r="H35" i="1"/>
  <c r="C78" i="29" l="1"/>
  <c r="C80" i="29" s="1"/>
  <c r="C85" i="29" s="1"/>
  <c r="C23" i="1"/>
  <c r="C90" i="29" s="1"/>
  <c r="F20" i="1"/>
  <c r="C19" i="1"/>
  <c r="C86" i="29" s="1"/>
  <c r="L20" i="1" l="1"/>
  <c r="I20" i="1"/>
  <c r="F21" i="1" s="1"/>
  <c r="I21" i="1" l="1"/>
  <c r="L21" i="1"/>
  <c r="F22" i="1" l="1"/>
  <c r="L22" i="1" s="1"/>
  <c r="I22" i="1" l="1"/>
  <c r="F23" i="1" s="1"/>
  <c r="L23" i="1" l="1"/>
  <c r="I23" i="1"/>
  <c r="F24" i="1"/>
  <c r="L24" i="1" l="1"/>
  <c r="I24" i="1"/>
  <c r="F25" i="1" l="1"/>
  <c r="I25" i="1" s="1"/>
  <c r="L25" i="1" l="1"/>
  <c r="F26" i="1" s="1"/>
  <c r="I26" i="1" l="1"/>
  <c r="L26" i="1"/>
  <c r="F27" i="1" l="1"/>
  <c r="L27" i="1" l="1"/>
  <c r="C20" i="1" s="1"/>
  <c r="I27" i="1"/>
  <c r="C22" i="1" l="1"/>
  <c r="C87" i="29"/>
  <c r="C89" i="29" s="1"/>
  <c r="F28" i="1"/>
  <c r="I28" i="1" s="1"/>
  <c r="F29" i="1" s="1"/>
  <c r="I29" i="1" s="1"/>
  <c r="F30" i="1" s="1"/>
  <c r="I30" i="1" s="1"/>
  <c r="F31" i="1" s="1"/>
  <c r="I31" i="1" s="1"/>
  <c r="F32" i="1" s="1"/>
  <c r="F34" i="1" s="1"/>
  <c r="I34" i="1" s="1"/>
  <c r="L34" i="1" l="1"/>
  <c r="C24" i="1" s="1"/>
  <c r="C25" i="1" l="1"/>
  <c r="B44" i="1" s="1"/>
  <c r="B45" i="1" s="1"/>
  <c r="C98" i="29" s="1"/>
  <c r="C91" i="29"/>
  <c r="C92" i="29" s="1"/>
  <c r="F35" i="1"/>
  <c r="I35" i="1" s="1"/>
  <c r="A61" i="29" l="1"/>
  <c r="B61" i="29"/>
  <c r="A62" i="29"/>
  <c r="B62" i="29"/>
  <c r="A63" i="29"/>
  <c r="B63" i="29"/>
  <c r="A64" i="29"/>
  <c r="B64" i="29"/>
  <c r="A65" i="29"/>
  <c r="B65" i="29"/>
  <c r="A66" i="29"/>
  <c r="B66" i="29"/>
  <c r="A67" i="29"/>
  <c r="B67" i="29"/>
  <c r="C67" i="29"/>
  <c r="A68" i="29"/>
  <c r="B68" i="29"/>
  <c r="A69" i="29"/>
  <c r="B69" i="29"/>
  <c r="A70" i="29"/>
  <c r="B70" i="29"/>
  <c r="M27" i="19"/>
  <c r="L27" i="19"/>
  <c r="L21" i="19"/>
  <c r="H49" i="4" l="1"/>
  <c r="G49" i="4"/>
  <c r="F49" i="4"/>
  <c r="E49" i="4"/>
  <c r="E116" i="25"/>
  <c r="C57" i="28"/>
  <c r="D57" i="28"/>
  <c r="E57" i="28"/>
  <c r="B57" i="28"/>
  <c r="B59" i="28" s="1"/>
  <c r="C56" i="28" s="1"/>
  <c r="C59" i="28" l="1"/>
  <c r="D56" i="28" s="1"/>
  <c r="D59" i="28" s="1"/>
  <c r="E56" i="28" s="1"/>
  <c r="E59" i="28" s="1"/>
  <c r="C33" i="28" l="1"/>
  <c r="D33" i="28"/>
  <c r="E33" i="28"/>
  <c r="B33" i="28"/>
  <c r="B10" i="16"/>
  <c r="B45" i="16" l="1"/>
  <c r="C45" i="16"/>
  <c r="C175" i="25"/>
  <c r="C177" i="25" s="1"/>
  <c r="D175" i="25"/>
  <c r="C176" i="25"/>
  <c r="D176" i="25"/>
  <c r="D177" i="25" s="1"/>
  <c r="B176" i="25"/>
  <c r="B175" i="25"/>
  <c r="B168" i="25"/>
  <c r="C167" i="25"/>
  <c r="D167" i="25"/>
  <c r="B167" i="25"/>
  <c r="B160" i="25"/>
  <c r="B153" i="25"/>
  <c r="C153" i="25" l="1"/>
  <c r="B177" i="25"/>
  <c r="B169" i="25"/>
  <c r="C160" i="25"/>
  <c r="A66" i="17" l="1"/>
  <c r="A67" i="17"/>
  <c r="A68" i="17"/>
  <c r="A69" i="17"/>
  <c r="A70" i="17"/>
  <c r="A71" i="17"/>
  <c r="A72" i="17"/>
  <c r="C73" i="17"/>
  <c r="B44" i="16" s="1"/>
  <c r="D73" i="17"/>
  <c r="C44" i="16" s="1"/>
  <c r="C136" i="25"/>
  <c r="D136" i="25"/>
  <c r="E136" i="25"/>
  <c r="F136" i="25"/>
  <c r="G136" i="25"/>
  <c r="H136" i="25"/>
  <c r="H138" i="25"/>
  <c r="C139" i="25"/>
  <c r="D139" i="25"/>
  <c r="E139" i="25"/>
  <c r="F139" i="25"/>
  <c r="G139" i="25"/>
  <c r="H139" i="25"/>
  <c r="C140" i="25"/>
  <c r="D140" i="25"/>
  <c r="E140" i="25"/>
  <c r="F140" i="25"/>
  <c r="G140" i="25"/>
  <c r="H140" i="25"/>
  <c r="D141" i="25"/>
  <c r="E141" i="25"/>
  <c r="F141" i="25"/>
  <c r="G141" i="25"/>
  <c r="H141" i="25"/>
  <c r="C143" i="25"/>
  <c r="D143" i="25"/>
  <c r="E143" i="25"/>
  <c r="C144" i="25"/>
  <c r="D144" i="25"/>
  <c r="E144" i="25"/>
  <c r="F144" i="25"/>
  <c r="G144" i="25"/>
  <c r="H144" i="25"/>
  <c r="C145" i="25"/>
  <c r="D145" i="25"/>
  <c r="E145" i="25"/>
  <c r="F145" i="25"/>
  <c r="G145" i="25"/>
  <c r="H145" i="25"/>
  <c r="B137" i="25"/>
  <c r="B139" i="25"/>
  <c r="B140" i="25"/>
  <c r="B141" i="25"/>
  <c r="B142" i="25"/>
  <c r="B143" i="25"/>
  <c r="B144" i="25"/>
  <c r="B145" i="25"/>
  <c r="B136" i="25"/>
  <c r="C51" i="17"/>
  <c r="C137" i="25" s="1"/>
  <c r="D51" i="17"/>
  <c r="D137" i="25" s="1"/>
  <c r="E51" i="17"/>
  <c r="E137" i="25" s="1"/>
  <c r="F51" i="17"/>
  <c r="F137" i="25" s="1"/>
  <c r="G51" i="17"/>
  <c r="H51" i="17" s="1"/>
  <c r="H137" i="25" s="1"/>
  <c r="C55" i="17"/>
  <c r="C56" i="17"/>
  <c r="D56" i="17" s="1"/>
  <c r="E142" i="25"/>
  <c r="F142" i="25"/>
  <c r="H142" i="25"/>
  <c r="F57" i="17"/>
  <c r="G57" i="17" s="1"/>
  <c r="B60" i="17"/>
  <c r="B40" i="17" s="1"/>
  <c r="B126" i="25" s="1"/>
  <c r="B129" i="25"/>
  <c r="H129" i="25"/>
  <c r="G129" i="25"/>
  <c r="F129" i="25"/>
  <c r="E129" i="25"/>
  <c r="D129" i="25"/>
  <c r="C129" i="25"/>
  <c r="C60" i="17" l="1"/>
  <c r="C40" i="17" s="1"/>
  <c r="C126" i="25" s="1"/>
  <c r="E60" i="17"/>
  <c r="E40" i="17" s="1"/>
  <c r="E126" i="25" s="1"/>
  <c r="D60" i="17"/>
  <c r="D40" i="17" s="1"/>
  <c r="D126" i="25" s="1"/>
  <c r="H57" i="17"/>
  <c r="G143" i="25"/>
  <c r="C142" i="25"/>
  <c r="F73" i="17"/>
  <c r="E44" i="16" s="1"/>
  <c r="F143" i="25"/>
  <c r="F146" i="25" s="1"/>
  <c r="C141" i="25"/>
  <c r="G137" i="25"/>
  <c r="G60" i="17"/>
  <c r="G40" i="17" s="1"/>
  <c r="G126" i="25" s="1"/>
  <c r="D142" i="25"/>
  <c r="I73" i="17"/>
  <c r="H44" i="16" s="1"/>
  <c r="H73" i="17"/>
  <c r="G44" i="16" s="1"/>
  <c r="E73" i="17"/>
  <c r="D44" i="16" s="1"/>
  <c r="G73" i="17"/>
  <c r="F44" i="16" s="1"/>
  <c r="G142" i="25"/>
  <c r="E146" i="25"/>
  <c r="F60" i="17"/>
  <c r="F40" i="17" s="1"/>
  <c r="F126" i="25" s="1"/>
  <c r="B146" i="25"/>
  <c r="D146" i="25"/>
  <c r="C127" i="25"/>
  <c r="C116" i="25"/>
  <c r="D116" i="25"/>
  <c r="C117" i="25"/>
  <c r="D117" i="25"/>
  <c r="E117" i="25"/>
  <c r="C118" i="25"/>
  <c r="D118" i="25"/>
  <c r="C119" i="25"/>
  <c r="D119" i="25"/>
  <c r="E119" i="25"/>
  <c r="F119" i="25"/>
  <c r="G119" i="25"/>
  <c r="H119" i="25"/>
  <c r="B119" i="25"/>
  <c r="B118" i="25"/>
  <c r="B117" i="25"/>
  <c r="B116" i="25"/>
  <c r="B115" i="25"/>
  <c r="F123" i="7"/>
  <c r="G123" i="7" l="1"/>
  <c r="G126" i="7" s="1"/>
  <c r="E5" i="20" s="1"/>
  <c r="E62" i="29" s="1"/>
  <c r="F117" i="25"/>
  <c r="H116" i="25"/>
  <c r="H117" i="25"/>
  <c r="H118" i="25"/>
  <c r="G118" i="25"/>
  <c r="G117" i="25"/>
  <c r="E118" i="25"/>
  <c r="F118" i="25"/>
  <c r="G146" i="25"/>
  <c r="C146" i="25"/>
  <c r="G116" i="25"/>
  <c r="H60" i="17"/>
  <c r="H40" i="17" s="1"/>
  <c r="H126" i="25" s="1"/>
  <c r="H143" i="25"/>
  <c r="H146" i="25" s="1"/>
  <c r="F116" i="25"/>
  <c r="B120" i="25"/>
  <c r="B34" i="17"/>
  <c r="B43" i="16" s="1"/>
  <c r="C35" i="29" l="1"/>
  <c r="C29" i="17"/>
  <c r="G107" i="25"/>
  <c r="H107" i="25"/>
  <c r="B107" i="25"/>
  <c r="B108" i="25"/>
  <c r="B106" i="25"/>
  <c r="H108" i="25"/>
  <c r="G108" i="25"/>
  <c r="F108" i="25"/>
  <c r="E108" i="25"/>
  <c r="D108" i="25"/>
  <c r="C108" i="25"/>
  <c r="D107" i="25"/>
  <c r="C107" i="25"/>
  <c r="H106" i="25"/>
  <c r="G106" i="25"/>
  <c r="F106" i="25"/>
  <c r="E106" i="25"/>
  <c r="D106" i="25"/>
  <c r="C106" i="25"/>
  <c r="C90" i="25"/>
  <c r="C91" i="25"/>
  <c r="C92" i="25"/>
  <c r="C93" i="25"/>
  <c r="C94" i="25"/>
  <c r="C95" i="25"/>
  <c r="B97" i="25"/>
  <c r="B96" i="25"/>
  <c r="B90" i="25"/>
  <c r="B41" i="25"/>
  <c r="C41" i="25"/>
  <c r="B42" i="25"/>
  <c r="C42" i="25"/>
  <c r="B43" i="25"/>
  <c r="C43" i="25"/>
  <c r="B44" i="25"/>
  <c r="C44" i="25"/>
  <c r="B45" i="25"/>
  <c r="C45" i="25"/>
  <c r="B52" i="25"/>
  <c r="C52" i="25"/>
  <c r="B53" i="25"/>
  <c r="C53" i="25"/>
  <c r="B54" i="25"/>
  <c r="C54" i="25"/>
  <c r="B55" i="25"/>
  <c r="C55" i="25"/>
  <c r="E55" i="25"/>
  <c r="F55" i="25"/>
  <c r="G55" i="25"/>
  <c r="H55" i="25"/>
  <c r="B56" i="25"/>
  <c r="C56" i="25"/>
  <c r="E56" i="25"/>
  <c r="F56" i="25"/>
  <c r="G56" i="25"/>
  <c r="H56" i="25"/>
  <c r="B57" i="25"/>
  <c r="C57" i="25"/>
  <c r="B58" i="25"/>
  <c r="C58" i="25"/>
  <c r="E58" i="25"/>
  <c r="F58" i="25"/>
  <c r="G58" i="25"/>
  <c r="H58" i="25"/>
  <c r="B59" i="25"/>
  <c r="C59" i="25"/>
  <c r="B66" i="25"/>
  <c r="C66" i="25"/>
  <c r="B67" i="25"/>
  <c r="C67" i="25"/>
  <c r="B69" i="25"/>
  <c r="C69" i="25"/>
  <c r="B70" i="25"/>
  <c r="C70" i="25"/>
  <c r="B71" i="25"/>
  <c r="C71" i="25"/>
  <c r="B72" i="25"/>
  <c r="C72" i="25"/>
  <c r="B73" i="25"/>
  <c r="C73" i="25"/>
  <c r="C74" i="25"/>
  <c r="B81" i="25"/>
  <c r="C81" i="25"/>
  <c r="B82" i="25"/>
  <c r="C82" i="25"/>
  <c r="B83" i="25"/>
  <c r="C83" i="25"/>
  <c r="D17" i="25"/>
  <c r="C17" i="7"/>
  <c r="C17" i="25" s="1"/>
  <c r="C13" i="25"/>
  <c r="C14" i="25"/>
  <c r="C18" i="25"/>
  <c r="C21" i="25"/>
  <c r="C22" i="25"/>
  <c r="C24" i="25"/>
  <c r="D24" i="25"/>
  <c r="B24" i="25"/>
  <c r="B22" i="25"/>
  <c r="B21" i="25"/>
  <c r="B20" i="25"/>
  <c r="B19" i="25"/>
  <c r="B18" i="25"/>
  <c r="B17" i="25"/>
  <c r="B16" i="25"/>
  <c r="B15" i="25"/>
  <c r="B14" i="25"/>
  <c r="B13" i="25"/>
  <c r="C44" i="4"/>
  <c r="C48" i="4" s="1"/>
  <c r="C51" i="4" s="1"/>
  <c r="D44" i="4"/>
  <c r="D48" i="4" s="1"/>
  <c r="D51" i="4" s="1"/>
  <c r="E44" i="4"/>
  <c r="E48" i="4" s="1"/>
  <c r="E51" i="4" s="1"/>
  <c r="F44" i="4"/>
  <c r="G44" i="4"/>
  <c r="H44" i="4"/>
  <c r="B44" i="4"/>
  <c r="B48" i="4" s="1"/>
  <c r="B51" i="4" s="1"/>
  <c r="C6" i="4"/>
  <c r="D6" i="4" s="1"/>
  <c r="E6" i="4" s="1"/>
  <c r="F6" i="4" s="1"/>
  <c r="G6" i="4" s="1"/>
  <c r="A19" i="4"/>
  <c r="A20" i="4"/>
  <c r="A21" i="4"/>
  <c r="A18" i="4"/>
  <c r="F19" i="4"/>
  <c r="E19" i="4"/>
  <c r="C9" i="4"/>
  <c r="B9" i="4"/>
  <c r="B84" i="25" l="1"/>
  <c r="B35" i="25" s="1"/>
  <c r="E4" i="17"/>
  <c r="E4" i="10" s="1"/>
  <c r="D4" i="25"/>
  <c r="D12" i="25" s="1"/>
  <c r="C20" i="4"/>
  <c r="G19" i="4"/>
  <c r="G48" i="4"/>
  <c r="G51" i="4" s="1"/>
  <c r="H6" i="4"/>
  <c r="C4" i="28"/>
  <c r="H48" i="4"/>
  <c r="H51" i="4" s="1"/>
  <c r="C4" i="25"/>
  <c r="F4" i="17"/>
  <c r="F4" i="10" s="1"/>
  <c r="F48" i="4"/>
  <c r="F51" i="4" s="1"/>
  <c r="E4" i="25"/>
  <c r="D4" i="17"/>
  <c r="D4" i="10" s="1"/>
  <c r="F4" i="25"/>
  <c r="F12" i="25" s="1"/>
  <c r="C4" i="17"/>
  <c r="C4" i="10" s="1"/>
  <c r="B4" i="17"/>
  <c r="B4" i="10" s="1"/>
  <c r="B4" i="25"/>
  <c r="B12" i="25" s="1"/>
  <c r="C115" i="25"/>
  <c r="C120" i="25" s="1"/>
  <c r="C34" i="17"/>
  <c r="C43" i="16" s="1"/>
  <c r="D115" i="25"/>
  <c r="D120" i="25" s="1"/>
  <c r="D34" i="17"/>
  <c r="C84" i="25"/>
  <c r="C35" i="25" s="1"/>
  <c r="C60" i="25"/>
  <c r="C33" i="25" s="1"/>
  <c r="C46" i="25"/>
  <c r="C32" i="25" s="1"/>
  <c r="B60" i="25"/>
  <c r="B33" i="25" s="1"/>
  <c r="B46" i="25"/>
  <c r="B32" i="25" s="1"/>
  <c r="I19" i="4"/>
  <c r="C19" i="4"/>
  <c r="H19" i="4"/>
  <c r="D19" i="4"/>
  <c r="D43" i="16" l="1"/>
  <c r="B19" i="31"/>
  <c r="E12" i="25"/>
  <c r="I6" i="4"/>
  <c r="D4" i="28"/>
  <c r="G4" i="17"/>
  <c r="G4" i="10" s="1"/>
  <c r="G4" i="25"/>
  <c r="C12" i="25"/>
  <c r="B15" i="4"/>
  <c r="B59" i="31" l="1"/>
  <c r="G12" i="25"/>
  <c r="E4" i="28"/>
  <c r="H4" i="17"/>
  <c r="H4" i="10" s="1"/>
  <c r="H4" i="25"/>
  <c r="H12" i="25" l="1"/>
  <c r="G62" i="29" l="1"/>
  <c r="E35" i="29"/>
  <c r="F62" i="29"/>
  <c r="D35" i="29"/>
  <c r="G17" i="20"/>
  <c r="F17" i="20"/>
  <c r="E17" i="20"/>
  <c r="D17" i="20" s="1"/>
  <c r="C17" i="20" s="1"/>
  <c r="F18" i="20" l="1"/>
  <c r="G18" i="20"/>
  <c r="E18" i="20"/>
  <c r="B95" i="25" l="1"/>
  <c r="B94" i="25"/>
  <c r="B93" i="25"/>
  <c r="B92" i="25"/>
  <c r="B91" i="25"/>
  <c r="B98" i="25" l="1"/>
  <c r="C33" i="4" s="1"/>
  <c r="G72" i="18"/>
  <c r="H72" i="18"/>
  <c r="I72" i="18"/>
  <c r="F72" i="18"/>
  <c r="F125" i="18" s="1"/>
  <c r="A68" i="16" l="1"/>
  <c r="A65" i="16"/>
  <c r="F68" i="25" l="1"/>
  <c r="G68" i="25" l="1"/>
  <c r="G81" i="25" l="1"/>
  <c r="F81" i="25"/>
  <c r="H57" i="25" l="1"/>
  <c r="G57" i="25"/>
  <c r="F57" i="25"/>
  <c r="E57" i="25"/>
  <c r="H54" i="25"/>
  <c r="G54" i="25"/>
  <c r="F54" i="25"/>
  <c r="E54" i="25"/>
  <c r="H53" i="25"/>
  <c r="G53" i="25"/>
  <c r="F53" i="25"/>
  <c r="E53" i="25"/>
  <c r="C20" i="28" l="1"/>
  <c r="D20" i="28"/>
  <c r="E20" i="28"/>
  <c r="B20" i="28"/>
  <c r="C19" i="28" l="1"/>
  <c r="D19" i="28"/>
  <c r="E19" i="28"/>
  <c r="B19" i="28"/>
  <c r="B16" i="16" l="1"/>
  <c r="B28" i="16" s="1"/>
  <c r="F120" i="7" l="1"/>
  <c r="H81" i="25" l="1"/>
  <c r="E81" i="25"/>
  <c r="C23" i="7" l="1"/>
  <c r="B23" i="7"/>
  <c r="B23" i="25" l="1"/>
  <c r="C23" i="25"/>
  <c r="F23" i="25" l="1"/>
  <c r="H22" i="25"/>
  <c r="E32" i="29" s="1"/>
  <c r="E22" i="25"/>
  <c r="F22" i="25"/>
  <c r="C32" i="29" s="1"/>
  <c r="H23" i="25"/>
  <c r="G22" i="25"/>
  <c r="D32" i="29" s="1"/>
  <c r="D22" i="25"/>
  <c r="E23" i="25"/>
  <c r="G23" i="25"/>
  <c r="D23" i="25"/>
  <c r="C21" i="4"/>
  <c r="I125" i="18" l="1"/>
  <c r="D10" i="16" l="1"/>
  <c r="E58" i="16"/>
  <c r="E65" i="16"/>
  <c r="E68" i="16" s="1"/>
  <c r="F65" i="16" s="1"/>
  <c r="F68" i="16" s="1"/>
  <c r="G65" i="16" s="1"/>
  <c r="G68" i="16" s="1"/>
  <c r="H65" i="16" s="1"/>
  <c r="H68" i="16" s="1"/>
  <c r="H82" i="25"/>
  <c r="G82" i="25"/>
  <c r="E82" i="25"/>
  <c r="D96" i="25"/>
  <c r="D94" i="25"/>
  <c r="D91" i="25"/>
  <c r="D82" i="25"/>
  <c r="D81" i="25"/>
  <c r="D74" i="25"/>
  <c r="D73" i="25"/>
  <c r="D72" i="25"/>
  <c r="D71" i="25"/>
  <c r="D70" i="25"/>
  <c r="D69" i="25"/>
  <c r="D68" i="25"/>
  <c r="D67" i="25"/>
  <c r="D66" i="25"/>
  <c r="D59" i="25"/>
  <c r="D58" i="25"/>
  <c r="D57" i="25"/>
  <c r="D54" i="25"/>
  <c r="D53" i="25"/>
  <c r="D45" i="25"/>
  <c r="D44" i="25"/>
  <c r="D43" i="25"/>
  <c r="D42" i="25"/>
  <c r="D41" i="25"/>
  <c r="D46" i="25" l="1"/>
  <c r="D32" i="25" s="1"/>
  <c r="D75" i="25"/>
  <c r="D34" i="25" s="1"/>
  <c r="G18" i="25"/>
  <c r="F18" i="25"/>
  <c r="H18" i="25"/>
  <c r="E111" i="7"/>
  <c r="E121" i="7"/>
  <c r="E120" i="7"/>
  <c r="D13" i="25"/>
  <c r="E126" i="7" l="1"/>
  <c r="C5" i="20" s="1"/>
  <c r="D14" i="25"/>
  <c r="D18" i="25"/>
  <c r="D15" i="25"/>
  <c r="D19" i="25"/>
  <c r="D20" i="25"/>
  <c r="D16" i="25"/>
  <c r="D21" i="25"/>
  <c r="C28" i="5" l="1"/>
  <c r="H7" i="25" l="1"/>
  <c r="E37" i="29" s="1"/>
  <c r="G7" i="25"/>
  <c r="D37" i="29" s="1"/>
  <c r="F7" i="25"/>
  <c r="C37" i="29" s="1"/>
  <c r="E7" i="25"/>
  <c r="C5" i="29" l="1"/>
  <c r="C7" i="29" s="1"/>
  <c r="D19" i="20"/>
  <c r="D21" i="20" s="1"/>
  <c r="E19" i="20"/>
  <c r="E21" i="20" s="1"/>
  <c r="E22" i="20" s="1"/>
  <c r="E7" i="20" s="1"/>
  <c r="E64" i="29" s="1"/>
  <c r="F19" i="20"/>
  <c r="F21" i="20" s="1"/>
  <c r="F22" i="20" s="1"/>
  <c r="F7" i="20" s="1"/>
  <c r="F64" i="29" s="1"/>
  <c r="G19" i="20"/>
  <c r="G21" i="20" s="1"/>
  <c r="G22" i="20" s="1"/>
  <c r="G7" i="20" s="1"/>
  <c r="G64" i="29" s="1"/>
  <c r="E17" i="28"/>
  <c r="E26" i="28"/>
  <c r="E18" i="28"/>
  <c r="E15" i="28"/>
  <c r="H13" i="25"/>
  <c r="E26" i="29" s="1"/>
  <c r="E30" i="29" l="1"/>
  <c r="H15" i="25"/>
  <c r="H24" i="25"/>
  <c r="E33" i="29" s="1"/>
  <c r="H16" i="25"/>
  <c r="H14" i="25"/>
  <c r="E27" i="29" s="1"/>
  <c r="H17" i="25"/>
  <c r="E28" i="29" l="1"/>
  <c r="H15" i="17"/>
  <c r="H11" i="10"/>
  <c r="E85" i="28"/>
  <c r="E86" i="28"/>
  <c r="E87" i="28"/>
  <c r="E88" i="28"/>
  <c r="E89" i="28"/>
  <c r="E90" i="28"/>
  <c r="I24" i="4"/>
  <c r="H9" i="4"/>
  <c r="J24" i="4"/>
  <c r="J23" i="4"/>
  <c r="H30" i="10"/>
  <c r="H7" i="10" s="1"/>
  <c r="H4" i="7"/>
  <c r="H40" i="25" s="1"/>
  <c r="I15" i="4" l="1"/>
  <c r="H5" i="25" s="1"/>
  <c r="H6" i="25" s="1"/>
  <c r="H20" i="10"/>
  <c r="E91" i="28"/>
  <c r="H31" i="25"/>
  <c r="H51" i="25"/>
  <c r="H65" i="25" s="1"/>
  <c r="H80" i="25" s="1"/>
  <c r="H89" i="25" s="1"/>
  <c r="H103" i="25" s="1"/>
  <c r="H114" i="25" s="1"/>
  <c r="H125" i="25" s="1"/>
  <c r="H135" i="25" s="1"/>
  <c r="H152" i="25" s="1"/>
  <c r="H104" i="25"/>
  <c r="H29" i="10"/>
  <c r="H6" i="10" s="1"/>
  <c r="I9" i="4"/>
  <c r="I20" i="4" s="1"/>
  <c r="H12" i="7"/>
  <c r="H14" i="6"/>
  <c r="H4" i="6" s="1"/>
  <c r="H33" i="10"/>
  <c r="H10" i="10" s="1"/>
  <c r="J21" i="4"/>
  <c r="H32" i="10"/>
  <c r="H9" i="10" s="1"/>
  <c r="I22" i="4"/>
  <c r="H31" i="10"/>
  <c r="H8" i="10" s="1"/>
  <c r="I23" i="4"/>
  <c r="I25" i="4"/>
  <c r="H43" i="10"/>
  <c r="I21" i="4"/>
  <c r="H166" i="25" l="1"/>
  <c r="H174" i="25" s="1"/>
  <c r="H159" i="25"/>
  <c r="H5" i="7"/>
  <c r="H6" i="7" s="1"/>
  <c r="H27" i="10"/>
  <c r="H25" i="6"/>
  <c r="H39" i="6" s="1"/>
  <c r="H54" i="6" s="1"/>
  <c r="H3" i="5"/>
  <c r="H28" i="17" s="1"/>
  <c r="H33" i="7"/>
  <c r="G3" i="20"/>
  <c r="G60" i="29" s="1"/>
  <c r="H12" i="10"/>
  <c r="H35" i="10"/>
  <c r="F6" i="31" l="1"/>
  <c r="H45" i="7"/>
  <c r="H58" i="7" s="1"/>
  <c r="H71" i="7" s="1"/>
  <c r="I97" i="7" s="1"/>
  <c r="H23" i="9"/>
  <c r="H22" i="5"/>
  <c r="H125" i="18"/>
  <c r="L5" i="31" l="1"/>
  <c r="F57" i="31"/>
  <c r="F20" i="10"/>
  <c r="G20" i="10"/>
  <c r="E20" i="10"/>
  <c r="H15" i="9"/>
  <c r="H6" i="16"/>
  <c r="L8" i="19"/>
  <c r="M8" i="19" l="1"/>
  <c r="H39" i="17"/>
  <c r="H49" i="17"/>
  <c r="H37" i="16"/>
  <c r="H57" i="16" s="1"/>
  <c r="H30" i="9"/>
  <c r="G22" i="19"/>
  <c r="L11" i="19"/>
  <c r="L10" i="19"/>
  <c r="L9" i="19"/>
  <c r="L7" i="19"/>
  <c r="L6" i="19"/>
  <c r="L5" i="19"/>
  <c r="M5" i="19" s="1"/>
  <c r="M7" i="19" l="1"/>
  <c r="M9" i="19"/>
  <c r="M11" i="19"/>
  <c r="M10" i="19"/>
  <c r="M6" i="19"/>
  <c r="I65" i="17"/>
  <c r="H79" i="17"/>
  <c r="H9" i="9" s="1"/>
  <c r="H4" i="19"/>
  <c r="I4" i="19" s="1"/>
  <c r="D32" i="19"/>
  <c r="D31" i="19"/>
  <c r="C31" i="19"/>
  <c r="D30" i="19"/>
  <c r="C30" i="19"/>
  <c r="B30" i="19"/>
  <c r="D29" i="19"/>
  <c r="C29" i="19"/>
  <c r="B29" i="19"/>
  <c r="C28" i="19"/>
  <c r="B28" i="19"/>
  <c r="D33" i="19"/>
  <c r="C32" i="19"/>
  <c r="B31" i="19"/>
  <c r="J4" i="19" l="1"/>
  <c r="I16" i="19"/>
  <c r="I27" i="19"/>
  <c r="H16" i="19"/>
  <c r="H27" i="19"/>
  <c r="E28" i="19"/>
  <c r="E34" i="19"/>
  <c r="F29" i="19"/>
  <c r="E30" i="19"/>
  <c r="D28" i="19"/>
  <c r="B34" i="19"/>
  <c r="B33" i="19"/>
  <c r="C34" i="19"/>
  <c r="B32" i="19"/>
  <c r="C33" i="19"/>
  <c r="D34" i="19"/>
  <c r="K4" i="19" l="1"/>
  <c r="J16" i="19"/>
  <c r="J27" i="19"/>
  <c r="G33" i="19"/>
  <c r="G32" i="19"/>
  <c r="G29" i="19"/>
  <c r="E33" i="19"/>
  <c r="G28" i="19"/>
  <c r="E31" i="19"/>
  <c r="G34" i="19"/>
  <c r="F34" i="19"/>
  <c r="F33" i="19"/>
  <c r="G31" i="19"/>
  <c r="F31" i="19"/>
  <c r="E29" i="19"/>
  <c r="E32" i="19"/>
  <c r="F30" i="19"/>
  <c r="F28" i="19"/>
  <c r="F32" i="19"/>
  <c r="G30" i="19"/>
  <c r="K16" i="19" l="1"/>
  <c r="K27" i="19"/>
  <c r="A82" i="18"/>
  <c r="A81" i="18"/>
  <c r="D77" i="18"/>
  <c r="C82" i="18"/>
  <c r="D78" i="18"/>
  <c r="C16" i="18"/>
  <c r="B19" i="17" l="1"/>
  <c r="D85" i="28" l="1"/>
  <c r="D86" i="28"/>
  <c r="D87" i="28"/>
  <c r="D88" i="28"/>
  <c r="D89" i="28"/>
  <c r="D90" i="28"/>
  <c r="C85" i="28"/>
  <c r="C86" i="28"/>
  <c r="C87" i="28"/>
  <c r="C88" i="28"/>
  <c r="C89" i="28"/>
  <c r="C90" i="28"/>
  <c r="C91" i="28" l="1"/>
  <c r="D91" i="28"/>
  <c r="G43" i="10"/>
  <c r="F11" i="10"/>
  <c r="F43" i="10"/>
  <c r="B37" i="10" l="1"/>
  <c r="B38" i="10"/>
  <c r="B39" i="10"/>
  <c r="B40" i="10"/>
  <c r="B41" i="10"/>
  <c r="B42" i="10"/>
  <c r="C42" i="6" l="1"/>
  <c r="C68" i="25" s="1"/>
  <c r="C75" i="25" s="1"/>
  <c r="C34" i="25" s="1"/>
  <c r="C36" i="25" s="1"/>
  <c r="D32" i="4" s="1"/>
  <c r="C42" i="17" l="1"/>
  <c r="C128" i="25" l="1"/>
  <c r="C130" i="25" s="1"/>
  <c r="C44" i="17"/>
  <c r="E15" i="17" l="1"/>
  <c r="D15" i="17"/>
  <c r="C15" i="28"/>
  <c r="D15" i="28"/>
  <c r="B15" i="28"/>
  <c r="D17" i="28"/>
  <c r="D26" i="28"/>
  <c r="D18" i="28"/>
  <c r="C17" i="28"/>
  <c r="C26" i="28"/>
  <c r="C18" i="28"/>
  <c r="D104" i="25" l="1"/>
  <c r="E104" i="25"/>
  <c r="D42" i="17"/>
  <c r="F15" i="17"/>
  <c r="D128" i="25" l="1"/>
  <c r="F104" i="25"/>
  <c r="C32" i="5"/>
  <c r="C10" i="5"/>
  <c r="C96" i="25" s="1"/>
  <c r="C14" i="5"/>
  <c r="C11" i="5" l="1"/>
  <c r="C97" i="25" s="1"/>
  <c r="C98" i="25" s="1"/>
  <c r="D33" i="4" s="1"/>
  <c r="D34" i="4" s="1"/>
  <c r="B12" i="5"/>
  <c r="B48" i="6"/>
  <c r="B74" i="25" s="1"/>
  <c r="B42" i="6"/>
  <c r="B68" i="25" s="1"/>
  <c r="B75" i="25" s="1"/>
  <c r="B34" i="25" s="1"/>
  <c r="B36" i="25" s="1"/>
  <c r="C32" i="4" s="1"/>
  <c r="C34" i="4" s="1"/>
  <c r="B42" i="16" l="1"/>
  <c r="C15" i="7"/>
  <c r="D30" i="29"/>
  <c r="G13" i="25"/>
  <c r="D26" i="29" s="1"/>
  <c r="F13" i="25"/>
  <c r="C26" i="29" s="1"/>
  <c r="C30" i="29" l="1"/>
  <c r="G17" i="25"/>
  <c r="C15" i="25"/>
  <c r="G24" i="25"/>
  <c r="D33" i="29" s="1"/>
  <c r="F17" i="25"/>
  <c r="F15" i="25"/>
  <c r="F24" i="25"/>
  <c r="C33" i="29" s="1"/>
  <c r="F16" i="25"/>
  <c r="G16" i="25"/>
  <c r="G15" i="25"/>
  <c r="F14" i="25"/>
  <c r="C27" i="29" s="1"/>
  <c r="G14" i="25"/>
  <c r="D27" i="29" s="1"/>
  <c r="C16" i="7"/>
  <c r="C20" i="7"/>
  <c r="C19" i="7"/>
  <c r="C28" i="29" l="1"/>
  <c r="D28" i="29"/>
  <c r="C20" i="25"/>
  <c r="C19" i="25"/>
  <c r="C16" i="25"/>
  <c r="F33" i="10" l="1"/>
  <c r="F10" i="10" s="1"/>
  <c r="F32" i="10"/>
  <c r="F9" i="10" s="1"/>
  <c r="F31" i="10"/>
  <c r="F8" i="10" s="1"/>
  <c r="F30" i="10"/>
  <c r="F7" i="10" s="1"/>
  <c r="G9" i="4"/>
  <c r="E9" i="4"/>
  <c r="F21" i="4" l="1"/>
  <c r="F9" i="4"/>
  <c r="F20" i="4" s="1"/>
  <c r="H20" i="4"/>
  <c r="F29" i="10"/>
  <c r="F35" i="10" s="1"/>
  <c r="H21" i="4"/>
  <c r="H25" i="4"/>
  <c r="H22" i="4"/>
  <c r="G22" i="4"/>
  <c r="H24" i="4"/>
  <c r="G21" i="4"/>
  <c r="G24" i="4"/>
  <c r="F4" i="7"/>
  <c r="F40" i="25" s="1"/>
  <c r="G11" i="10"/>
  <c r="E11" i="10"/>
  <c r="D9" i="4"/>
  <c r="D20" i="4" s="1"/>
  <c r="B14" i="18"/>
  <c r="B18" i="28"/>
  <c r="B26" i="28"/>
  <c r="B17" i="28"/>
  <c r="E13" i="25"/>
  <c r="D17" i="9"/>
  <c r="C10" i="16" l="1"/>
  <c r="C28" i="16" s="1"/>
  <c r="B46" i="28"/>
  <c r="F31" i="25"/>
  <c r="F51" i="25"/>
  <c r="F65" i="25" s="1"/>
  <c r="F80" i="25" s="1"/>
  <c r="F89" i="25" s="1"/>
  <c r="F103" i="25" s="1"/>
  <c r="F114" i="25" s="1"/>
  <c r="F125" i="25" s="1"/>
  <c r="F135" i="25" s="1"/>
  <c r="F152" i="25" s="1"/>
  <c r="D168" i="25"/>
  <c r="D169" i="25" s="1"/>
  <c r="E17" i="9"/>
  <c r="E17" i="25"/>
  <c r="E24" i="25"/>
  <c r="E16" i="25"/>
  <c r="E15" i="25"/>
  <c r="E14" i="25"/>
  <c r="G20" i="4"/>
  <c r="E20" i="4"/>
  <c r="C20" i="20"/>
  <c r="D18" i="20" s="1"/>
  <c r="D22" i="20" s="1"/>
  <c r="D7" i="20" s="1"/>
  <c r="D64" i="29" s="1"/>
  <c r="F6" i="10"/>
  <c r="F12" i="10" s="1"/>
  <c r="F14" i="6"/>
  <c r="F4" i="6" s="1"/>
  <c r="F12" i="7"/>
  <c r="G23" i="4"/>
  <c r="G15" i="4"/>
  <c r="F5" i="25" s="1"/>
  <c r="F6" i="25" s="1"/>
  <c r="G25" i="4"/>
  <c r="H23" i="4"/>
  <c r="F159" i="25" l="1"/>
  <c r="F166" i="25"/>
  <c r="F174" i="25" s="1"/>
  <c r="F17" i="9"/>
  <c r="E16" i="9"/>
  <c r="E167" i="25" s="1"/>
  <c r="F33" i="7"/>
  <c r="E3" i="20"/>
  <c r="E60" i="29" s="1"/>
  <c r="F5" i="7"/>
  <c r="F6" i="7" s="1"/>
  <c r="F3" i="5"/>
  <c r="F28" i="17" s="1"/>
  <c r="F25" i="6"/>
  <c r="F39" i="6" s="1"/>
  <c r="F54" i="6" s="1"/>
  <c r="D6" i="31" l="1"/>
  <c r="H5" i="31" s="1"/>
  <c r="F16" i="9"/>
  <c r="F167" i="25" s="1"/>
  <c r="G17" i="9"/>
  <c r="F168" i="25"/>
  <c r="F45" i="7"/>
  <c r="F58" i="7" s="1"/>
  <c r="F71" i="7" s="1"/>
  <c r="G97" i="7" s="1"/>
  <c r="F22" i="5"/>
  <c r="F23" i="9"/>
  <c r="F169" i="25" l="1"/>
  <c r="H17" i="9"/>
  <c r="G16" i="9"/>
  <c r="G167" i="25" s="1"/>
  <c r="F15" i="9"/>
  <c r="F6" i="16"/>
  <c r="H16" i="9" l="1"/>
  <c r="H167" i="25" s="1"/>
  <c r="H168" i="25"/>
  <c r="F39" i="17"/>
  <c r="F30" i="9" s="1"/>
  <c r="F49" i="17"/>
  <c r="F37" i="16"/>
  <c r="F57" i="16" s="1"/>
  <c r="H169" i="25" l="1"/>
  <c r="G65" i="17"/>
  <c r="F79" i="17"/>
  <c r="F9" i="9" s="1"/>
  <c r="F27" i="10" l="1"/>
  <c r="B134" i="18" l="1"/>
  <c r="B80" i="18"/>
  <c r="B81" i="18" l="1"/>
  <c r="B83" i="18"/>
  <c r="C14" i="18"/>
  <c r="D19" i="10" l="1"/>
  <c r="D16" i="10"/>
  <c r="B43" i="10"/>
  <c r="B29" i="10" l="1"/>
  <c r="B30" i="10"/>
  <c r="B31" i="10"/>
  <c r="B32" i="10"/>
  <c r="B33" i="10"/>
  <c r="J112" i="18" l="1"/>
  <c r="I112" i="18"/>
  <c r="G112" i="18"/>
  <c r="F112" i="18"/>
  <c r="E112" i="18"/>
  <c r="B112" i="18"/>
  <c r="J111" i="18"/>
  <c r="I111" i="18"/>
  <c r="G111" i="18"/>
  <c r="F111" i="18"/>
  <c r="E111" i="18"/>
  <c r="B111" i="18"/>
  <c r="J110" i="18"/>
  <c r="I110" i="18"/>
  <c r="G110" i="18"/>
  <c r="F110" i="18"/>
  <c r="E110" i="18"/>
  <c r="B110" i="18"/>
  <c r="J109" i="18"/>
  <c r="I109" i="18"/>
  <c r="G109" i="18"/>
  <c r="F109" i="18"/>
  <c r="E109" i="18"/>
  <c r="B109" i="18"/>
  <c r="J108" i="18"/>
  <c r="I108" i="18"/>
  <c r="G108" i="18"/>
  <c r="F108" i="18"/>
  <c r="E108" i="18"/>
  <c r="B108" i="18"/>
  <c r="J107" i="18"/>
  <c r="I107" i="18"/>
  <c r="G107" i="18"/>
  <c r="F107" i="18"/>
  <c r="E107" i="18"/>
  <c r="B107" i="18"/>
  <c r="J106" i="18"/>
  <c r="I106" i="18"/>
  <c r="G106" i="18"/>
  <c r="F106" i="18"/>
  <c r="E106" i="18"/>
  <c r="B106" i="18"/>
  <c r="I91" i="18"/>
  <c r="G91" i="18"/>
  <c r="J45" i="18"/>
  <c r="I63" i="18" s="1"/>
  <c r="I45" i="18"/>
  <c r="G63" i="18" s="1"/>
  <c r="G45" i="18"/>
  <c r="F63" i="18" s="1"/>
  <c r="F45" i="18"/>
  <c r="E63" i="18" s="1"/>
  <c r="E45" i="18"/>
  <c r="B63" i="18" s="1"/>
  <c r="B45" i="18"/>
  <c r="J44" i="18"/>
  <c r="I62" i="18" s="1"/>
  <c r="I44" i="18"/>
  <c r="G62" i="18" s="1"/>
  <c r="G44" i="18"/>
  <c r="F62" i="18" s="1"/>
  <c r="F44" i="18"/>
  <c r="E62" i="18" s="1"/>
  <c r="E44" i="18"/>
  <c r="B62" i="18" s="1"/>
  <c r="B44" i="18"/>
  <c r="J43" i="18"/>
  <c r="I61" i="18" s="1"/>
  <c r="I43" i="18"/>
  <c r="G61" i="18" s="1"/>
  <c r="G43" i="18"/>
  <c r="F61" i="18" s="1"/>
  <c r="F43" i="18"/>
  <c r="E61" i="18" s="1"/>
  <c r="E43" i="18"/>
  <c r="B61" i="18" s="1"/>
  <c r="B43" i="18"/>
  <c r="J42" i="18"/>
  <c r="I60" i="18" s="1"/>
  <c r="I42" i="18"/>
  <c r="G42" i="18"/>
  <c r="F60" i="18" s="1"/>
  <c r="F42" i="18"/>
  <c r="E60" i="18" s="1"/>
  <c r="E42" i="18"/>
  <c r="B60" i="18" s="1"/>
  <c r="B42" i="18"/>
  <c r="J41" i="18"/>
  <c r="I59" i="18" s="1"/>
  <c r="I41" i="18"/>
  <c r="G59" i="18" s="1"/>
  <c r="G41" i="18"/>
  <c r="F59" i="18" s="1"/>
  <c r="F41" i="18"/>
  <c r="E59" i="18" s="1"/>
  <c r="E41" i="18"/>
  <c r="B59" i="18" s="1"/>
  <c r="B41" i="18"/>
  <c r="J40" i="18"/>
  <c r="I58" i="18" s="1"/>
  <c r="I40" i="18"/>
  <c r="G58" i="18" s="1"/>
  <c r="G40" i="18"/>
  <c r="F58" i="18" s="1"/>
  <c r="F40" i="18"/>
  <c r="E58" i="18" s="1"/>
  <c r="E40" i="18"/>
  <c r="B58" i="18" s="1"/>
  <c r="B40" i="18"/>
  <c r="J39" i="18"/>
  <c r="I39" i="18"/>
  <c r="G57" i="18" s="1"/>
  <c r="G39" i="18"/>
  <c r="F39" i="18"/>
  <c r="E39" i="18"/>
  <c r="B39" i="18"/>
  <c r="I24" i="18"/>
  <c r="G24" i="18"/>
  <c r="C19" i="10"/>
  <c r="C18" i="10"/>
  <c r="C17" i="10"/>
  <c r="C16" i="10"/>
  <c r="C15" i="10"/>
  <c r="C11" i="10"/>
  <c r="D11" i="10"/>
  <c r="G15" i="17"/>
  <c r="C15" i="17"/>
  <c r="B15" i="17"/>
  <c r="B29" i="16"/>
  <c r="A2" i="16"/>
  <c r="B42" i="17"/>
  <c r="C17" i="9"/>
  <c r="C168" i="25" s="1"/>
  <c r="C169" i="25" s="1"/>
  <c r="B18" i="9"/>
  <c r="B26" i="9"/>
  <c r="C26" i="9"/>
  <c r="A2" i="9"/>
  <c r="C34" i="5"/>
  <c r="B32" i="5"/>
  <c r="C12" i="5"/>
  <c r="C58" i="6"/>
  <c r="B58" i="6"/>
  <c r="C49" i="6"/>
  <c r="B49" i="6"/>
  <c r="C34" i="6"/>
  <c r="C6" i="6" s="1"/>
  <c r="B34" i="6"/>
  <c r="B6" i="6" s="1"/>
  <c r="C83" i="7"/>
  <c r="B83" i="7"/>
  <c r="C75" i="7"/>
  <c r="C25" i="7" s="1"/>
  <c r="C25" i="25" s="1"/>
  <c r="C26" i="25" s="1"/>
  <c r="B75" i="7"/>
  <c r="B25" i="7" s="1"/>
  <c r="B25" i="25" s="1"/>
  <c r="B26" i="25" s="1"/>
  <c r="C64" i="7"/>
  <c r="B64" i="7"/>
  <c r="B86" i="7" s="1"/>
  <c r="C51" i="7"/>
  <c r="B51" i="7"/>
  <c r="B53" i="7" s="1"/>
  <c r="C39" i="7"/>
  <c r="C41" i="7" s="1"/>
  <c r="B39" i="7"/>
  <c r="B79" i="7" s="1"/>
  <c r="C25" i="4"/>
  <c r="C24" i="4"/>
  <c r="C23" i="4"/>
  <c r="C22" i="4"/>
  <c r="C15" i="4"/>
  <c r="B5" i="25" s="1"/>
  <c r="B6" i="25" s="1"/>
  <c r="J14" i="4"/>
  <c r="J25" i="4" s="1"/>
  <c r="E31" i="10"/>
  <c r="E8" i="10" s="1"/>
  <c r="D31" i="10"/>
  <c r="J11" i="4"/>
  <c r="J22" i="4" s="1"/>
  <c r="C29" i="10"/>
  <c r="G4" i="7"/>
  <c r="G40" i="25" s="1"/>
  <c r="E4" i="7"/>
  <c r="E40" i="25" s="1"/>
  <c r="D4" i="7"/>
  <c r="D40" i="25" s="1"/>
  <c r="C4" i="7"/>
  <c r="B4" i="7"/>
  <c r="B40" i="25" s="1"/>
  <c r="B46" i="18" l="1"/>
  <c r="B7" i="6"/>
  <c r="C7" i="6"/>
  <c r="B8" i="6"/>
  <c r="C8" i="6"/>
  <c r="C42" i="16"/>
  <c r="D31" i="25"/>
  <c r="D51" i="25"/>
  <c r="D65" i="25" s="1"/>
  <c r="D80" i="25" s="1"/>
  <c r="D89" i="25" s="1"/>
  <c r="D103" i="25" s="1"/>
  <c r="D114" i="25" s="1"/>
  <c r="D125" i="25" s="1"/>
  <c r="D135" i="25" s="1"/>
  <c r="D152" i="25" s="1"/>
  <c r="E31" i="25"/>
  <c r="E51" i="25"/>
  <c r="E65" i="25" s="1"/>
  <c r="E80" i="25" s="1"/>
  <c r="E89" i="25" s="1"/>
  <c r="E103" i="25" s="1"/>
  <c r="E114" i="25" s="1"/>
  <c r="E125" i="25" s="1"/>
  <c r="E135" i="25" s="1"/>
  <c r="E152" i="25" s="1"/>
  <c r="B31" i="25"/>
  <c r="B51" i="25"/>
  <c r="B65" i="25" s="1"/>
  <c r="B80" i="25" s="1"/>
  <c r="B89" i="25" s="1"/>
  <c r="B103" i="25" s="1"/>
  <c r="B114" i="25" s="1"/>
  <c r="B125" i="25" s="1"/>
  <c r="B135" i="25" s="1"/>
  <c r="G51" i="25"/>
  <c r="G65" i="25" s="1"/>
  <c r="G80" i="25" s="1"/>
  <c r="G89" i="25" s="1"/>
  <c r="G103" i="25" s="1"/>
  <c r="G114" i="25" s="1"/>
  <c r="G125" i="25" s="1"/>
  <c r="G135" i="25" s="1"/>
  <c r="G152" i="25" s="1"/>
  <c r="G31" i="25"/>
  <c r="C14" i="6"/>
  <c r="C40" i="25"/>
  <c r="B128" i="25"/>
  <c r="B130" i="25" s="1"/>
  <c r="B44" i="17"/>
  <c r="C104" i="25"/>
  <c r="G104" i="25"/>
  <c r="B104" i="25"/>
  <c r="B20" i="6"/>
  <c r="J15" i="4"/>
  <c r="B26" i="7"/>
  <c r="C26" i="7"/>
  <c r="C20" i="6"/>
  <c r="C5" i="6" s="1"/>
  <c r="B33" i="16"/>
  <c r="C26" i="4"/>
  <c r="J113" i="18"/>
  <c r="I113" i="18"/>
  <c r="C16" i="5"/>
  <c r="B5" i="7"/>
  <c r="B6" i="7" s="1"/>
  <c r="C80" i="7"/>
  <c r="C53" i="7"/>
  <c r="C86" i="7"/>
  <c r="C66" i="7"/>
  <c r="C79" i="7"/>
  <c r="E113" i="18"/>
  <c r="E114" i="18" s="1"/>
  <c r="E115" i="18" s="1"/>
  <c r="G113" i="18"/>
  <c r="G114" i="18" s="1"/>
  <c r="G115" i="18" s="1"/>
  <c r="F46" i="18"/>
  <c r="F47" i="18" s="1"/>
  <c r="F48" i="18" s="1"/>
  <c r="G46" i="18"/>
  <c r="G47" i="18" s="1"/>
  <c r="G48" i="18" s="1"/>
  <c r="J46" i="18"/>
  <c r="J47" i="18" s="1"/>
  <c r="J48" i="18" s="1"/>
  <c r="I46" i="18"/>
  <c r="I47" i="18" s="1"/>
  <c r="B113" i="18"/>
  <c r="B114" i="18" s="1"/>
  <c r="B115" i="18" s="1"/>
  <c r="E46" i="18"/>
  <c r="E47" i="18" s="1"/>
  <c r="E48" i="18" s="1"/>
  <c r="F113" i="18"/>
  <c r="F114" i="18" s="1"/>
  <c r="F115" i="18" s="1"/>
  <c r="B47" i="16"/>
  <c r="E14" i="6"/>
  <c r="E4" i="6" s="1"/>
  <c r="B14" i="6"/>
  <c r="G14" i="6"/>
  <c r="G4" i="6" s="1"/>
  <c r="B12" i="7"/>
  <c r="C12" i="7"/>
  <c r="D12" i="7"/>
  <c r="D14" i="6"/>
  <c r="E12" i="7"/>
  <c r="G12" i="7"/>
  <c r="C80" i="18"/>
  <c r="C134" i="18"/>
  <c r="B34" i="5"/>
  <c r="I114" i="18"/>
  <c r="I115" i="18" s="1"/>
  <c r="J114" i="18"/>
  <c r="J115" i="18" s="1"/>
  <c r="B47" i="18"/>
  <c r="B48" i="18" s="1"/>
  <c r="B57" i="18"/>
  <c r="B64" i="18" s="1"/>
  <c r="E57" i="18"/>
  <c r="E64" i="18" s="1"/>
  <c r="F57" i="18"/>
  <c r="F64" i="18" s="1"/>
  <c r="G60" i="18"/>
  <c r="G64" i="18" s="1"/>
  <c r="I57" i="18"/>
  <c r="I64" i="18" s="1"/>
  <c r="C14" i="10"/>
  <c r="C20" i="10" s="1"/>
  <c r="C43" i="10"/>
  <c r="D24" i="4"/>
  <c r="C32" i="10"/>
  <c r="C9" i="10" s="1"/>
  <c r="C31" i="10"/>
  <c r="C8" i="10" s="1"/>
  <c r="D25" i="4"/>
  <c r="C33" i="10"/>
  <c r="C10" i="10" s="1"/>
  <c r="D22" i="4"/>
  <c r="C30" i="10"/>
  <c r="C7" i="10" s="1"/>
  <c r="G31" i="10"/>
  <c r="G8" i="10" s="1"/>
  <c r="B66" i="7"/>
  <c r="B20" i="17"/>
  <c r="B105" i="25" s="1"/>
  <c r="B41" i="7"/>
  <c r="B80" i="7"/>
  <c r="F23" i="4"/>
  <c r="B135" i="18"/>
  <c r="D15" i="4"/>
  <c r="B84" i="7"/>
  <c r="C19" i="5"/>
  <c r="C84" i="7"/>
  <c r="E23" i="4"/>
  <c r="C20" i="17"/>
  <c r="C105" i="25" s="1"/>
  <c r="D21" i="4"/>
  <c r="D23" i="4"/>
  <c r="D8" i="10"/>
  <c r="D3" i="5" l="1"/>
  <c r="D28" i="17" s="1"/>
  <c r="D4" i="6"/>
  <c r="B3" i="5"/>
  <c r="B22" i="5" s="1"/>
  <c r="B4" i="6"/>
  <c r="C25" i="6"/>
  <c r="C39" i="6" s="1"/>
  <c r="C4" i="6"/>
  <c r="B5" i="6"/>
  <c r="B9" i="6" s="1"/>
  <c r="B41" i="16" s="1"/>
  <c r="C9" i="6"/>
  <c r="C41" i="16" s="1"/>
  <c r="C51" i="25"/>
  <c r="C65" i="25" s="1"/>
  <c r="C80" i="25" s="1"/>
  <c r="C89" i="25" s="1"/>
  <c r="C103" i="25" s="1"/>
  <c r="C114" i="25" s="1"/>
  <c r="C125" i="25" s="1"/>
  <c r="C135" i="25" s="1"/>
  <c r="C152" i="25" s="1"/>
  <c r="C31" i="25"/>
  <c r="B159" i="25"/>
  <c r="B152" i="25"/>
  <c r="B166" i="25" s="1"/>
  <c r="B174" i="25" s="1"/>
  <c r="D166" i="25"/>
  <c r="D174" i="25" s="1"/>
  <c r="D159" i="25"/>
  <c r="C39" i="16"/>
  <c r="C3" i="5"/>
  <c r="C28" i="17" s="1"/>
  <c r="B39" i="16"/>
  <c r="E159" i="25"/>
  <c r="E166" i="25"/>
  <c r="E174" i="25" s="1"/>
  <c r="G166" i="25"/>
  <c r="G174" i="25" s="1"/>
  <c r="G159" i="25"/>
  <c r="C5" i="7"/>
  <c r="C5" i="25"/>
  <c r="C109" i="25"/>
  <c r="B24" i="17"/>
  <c r="B109" i="25"/>
  <c r="C24" i="17"/>
  <c r="C3" i="20"/>
  <c r="C60" i="29" s="1"/>
  <c r="F3" i="20"/>
  <c r="F60" i="29" s="1"/>
  <c r="D3" i="20"/>
  <c r="D60" i="29" s="1"/>
  <c r="B29" i="7"/>
  <c r="B82" i="7"/>
  <c r="B85" i="7" s="1"/>
  <c r="C82" i="7"/>
  <c r="C85" i="7" s="1"/>
  <c r="B33" i="7"/>
  <c r="B45" i="7" s="1"/>
  <c r="B58" i="7" s="1"/>
  <c r="B71" i="7" s="1"/>
  <c r="C33" i="7"/>
  <c r="B25" i="6"/>
  <c r="B39" i="6" s="1"/>
  <c r="B54" i="6" s="1"/>
  <c r="E25" i="6"/>
  <c r="E39" i="6" s="1"/>
  <c r="E3" i="5"/>
  <c r="E28" i="17" s="1"/>
  <c r="G25" i="6"/>
  <c r="G39" i="6" s="1"/>
  <c r="G54" i="6" s="1"/>
  <c r="I116" i="18"/>
  <c r="C135" i="18"/>
  <c r="C136" i="18" s="1"/>
  <c r="C138" i="18"/>
  <c r="E49" i="18"/>
  <c r="B67" i="18" s="1"/>
  <c r="C81" i="18"/>
  <c r="C83" i="18" s="1"/>
  <c r="C85" i="18"/>
  <c r="I48" i="18"/>
  <c r="I49" i="18" s="1"/>
  <c r="F116" i="18"/>
  <c r="G49" i="18"/>
  <c r="C19" i="18"/>
  <c r="G33" i="7"/>
  <c r="E33" i="7"/>
  <c r="D33" i="7"/>
  <c r="D25" i="6"/>
  <c r="D39" i="6" s="1"/>
  <c r="G3" i="5"/>
  <c r="G28" i="17" s="1"/>
  <c r="D26" i="4"/>
  <c r="G65" i="18"/>
  <c r="G66" i="18" s="1"/>
  <c r="J116" i="18"/>
  <c r="G116" i="18"/>
  <c r="B15" i="18"/>
  <c r="B17" i="18" s="1"/>
  <c r="I65" i="18"/>
  <c r="I66" i="18" s="1"/>
  <c r="F65" i="18"/>
  <c r="F66" i="18" s="1"/>
  <c r="F49" i="18"/>
  <c r="E65" i="18"/>
  <c r="E66" i="18" s="1"/>
  <c r="B65" i="18"/>
  <c r="B66" i="18" s="1"/>
  <c r="E116" i="18"/>
  <c r="C15" i="18"/>
  <c r="C17" i="18" s="1"/>
  <c r="B12" i="10"/>
  <c r="B136" i="18"/>
  <c r="C35" i="10"/>
  <c r="J35" i="10" s="1"/>
  <c r="C6" i="10"/>
  <c r="C12" i="10" s="1"/>
  <c r="J12" i="10" s="1"/>
  <c r="B35" i="10"/>
  <c r="D22" i="5" l="1"/>
  <c r="B28" i="17"/>
  <c r="B23" i="9" s="1"/>
  <c r="B15" i="9" s="1"/>
  <c r="B49" i="17" s="1"/>
  <c r="E6" i="31"/>
  <c r="J5" i="31" s="1"/>
  <c r="B6" i="31"/>
  <c r="C6" i="31"/>
  <c r="C22" i="5"/>
  <c r="C159" i="25"/>
  <c r="C166" i="25"/>
  <c r="C174" i="25" s="1"/>
  <c r="B21" i="10"/>
  <c r="C45" i="7"/>
  <c r="C58" i="7" s="1"/>
  <c r="C71" i="7" s="1"/>
  <c r="C21" i="10"/>
  <c r="B6" i="16"/>
  <c r="E23" i="9"/>
  <c r="E15" i="9" s="1"/>
  <c r="E49" i="17" s="1"/>
  <c r="E22" i="5"/>
  <c r="G22" i="5"/>
  <c r="C139" i="18"/>
  <c r="J49" i="18"/>
  <c r="C86" i="18"/>
  <c r="E67" i="18"/>
  <c r="C20" i="18"/>
  <c r="I67" i="18"/>
  <c r="D23" i="9"/>
  <c r="D6" i="16" s="1"/>
  <c r="D45" i="7"/>
  <c r="E45" i="7"/>
  <c r="G45" i="7"/>
  <c r="C23" i="9"/>
  <c r="C6" i="16" s="1"/>
  <c r="B16" i="5"/>
  <c r="E54" i="6"/>
  <c r="D54" i="6"/>
  <c r="C54" i="6"/>
  <c r="G67" i="18"/>
  <c r="F67" i="18"/>
  <c r="B39" i="17" l="1"/>
  <c r="B30" i="9" s="1"/>
  <c r="B44" i="10"/>
  <c r="B45" i="10" s="1"/>
  <c r="B38" i="16" s="1"/>
  <c r="B22" i="10"/>
  <c r="C44" i="10"/>
  <c r="C45" i="10" s="1"/>
  <c r="C38" i="16" s="1"/>
  <c r="C22" i="10"/>
  <c r="B46" i="16"/>
  <c r="B48" i="16" s="1"/>
  <c r="C65" i="17"/>
  <c r="B79" i="17"/>
  <c r="B9" i="9" s="1"/>
  <c r="F65" i="17"/>
  <c r="E79" i="17"/>
  <c r="E9" i="9" s="1"/>
  <c r="E39" i="17"/>
  <c r="E30" i="9" s="1"/>
  <c r="B37" i="16"/>
  <c r="E6" i="16"/>
  <c r="G23" i="9"/>
  <c r="G15" i="9" s="1"/>
  <c r="G49" i="17" s="1"/>
  <c r="D15" i="9"/>
  <c r="D49" i="17" s="1"/>
  <c r="D58" i="7"/>
  <c r="E58" i="7"/>
  <c r="G58" i="7"/>
  <c r="C15" i="9"/>
  <c r="C49" i="17" s="1"/>
  <c r="D37" i="16"/>
  <c r="C37" i="16"/>
  <c r="C46" i="16" l="1"/>
  <c r="C53" i="16" s="1"/>
  <c r="H65" i="17"/>
  <c r="G79" i="17"/>
  <c r="G9" i="9" s="1"/>
  <c r="E65" i="17"/>
  <c r="D79" i="17"/>
  <c r="D9" i="9" s="1"/>
  <c r="D65" i="17"/>
  <c r="C79" i="17"/>
  <c r="C9" i="9" s="1"/>
  <c r="D39" i="17"/>
  <c r="D30" i="9" s="1"/>
  <c r="C39" i="17"/>
  <c r="C30" i="9" s="1"/>
  <c r="G39" i="17"/>
  <c r="G30" i="9" s="1"/>
  <c r="E37" i="16"/>
  <c r="E57" i="16" s="1"/>
  <c r="G6" i="16"/>
  <c r="D71" i="7"/>
  <c r="G71" i="7"/>
  <c r="H97" i="7" s="1"/>
  <c r="E71" i="7"/>
  <c r="B27" i="10"/>
  <c r="B6" i="18"/>
  <c r="B72" i="18" s="1"/>
  <c r="G37" i="16" l="1"/>
  <c r="G57" i="16" s="1"/>
  <c r="E27" i="10"/>
  <c r="D6" i="18"/>
  <c r="D72" i="18" s="1"/>
  <c r="D27" i="10"/>
  <c r="C6" i="18"/>
  <c r="C72" i="18" s="1"/>
  <c r="C27" i="10"/>
  <c r="B125" i="18"/>
  <c r="E6" i="18" l="1"/>
  <c r="E72" i="18" s="1"/>
  <c r="G27" i="10"/>
  <c r="D125" i="18"/>
  <c r="C125" i="18"/>
  <c r="E125" i="18" l="1"/>
  <c r="G125" i="18"/>
  <c r="D83" i="7" l="1"/>
  <c r="E33" i="10" l="1"/>
  <c r="E10" i="10" s="1"/>
  <c r="G33" i="10"/>
  <c r="G10" i="10" s="1"/>
  <c r="D29" i="10" l="1"/>
  <c r="E21" i="4"/>
  <c r="D6" i="10" l="1"/>
  <c r="D33" i="10" l="1"/>
  <c r="D10" i="10" s="1"/>
  <c r="E25" i="4"/>
  <c r="F25" i="4"/>
  <c r="D18" i="10" l="1"/>
  <c r="D14" i="10" l="1"/>
  <c r="E29" i="10" l="1"/>
  <c r="E6" i="10" s="1"/>
  <c r="G29" i="10" l="1"/>
  <c r="G6" i="10" s="1"/>
  <c r="D32" i="10" l="1"/>
  <c r="D9" i="10" s="1"/>
  <c r="E24" i="4"/>
  <c r="E22" i="4"/>
  <c r="D30" i="10"/>
  <c r="E15" i="4"/>
  <c r="D5" i="25" s="1"/>
  <c r="D7" i="10" l="1"/>
  <c r="D12" i="10" s="1"/>
  <c r="K12" i="10" s="1"/>
  <c r="D35" i="10"/>
  <c r="D5" i="7"/>
  <c r="E26" i="4"/>
  <c r="K35" i="10" l="1"/>
  <c r="B37" i="31"/>
  <c r="H37" i="31" s="1"/>
  <c r="B36" i="31"/>
  <c r="H36" i="31" s="1"/>
  <c r="B35" i="31"/>
  <c r="B64" i="31" s="1"/>
  <c r="D17" i="10"/>
  <c r="E32" i="10"/>
  <c r="E9" i="10" s="1"/>
  <c r="F24" i="4"/>
  <c r="E30" i="10"/>
  <c r="E7" i="10" s="1"/>
  <c r="F22" i="4"/>
  <c r="F15" i="4"/>
  <c r="G26" i="4" l="1"/>
  <c r="E5" i="25"/>
  <c r="E6" i="25" s="1"/>
  <c r="G32" i="10"/>
  <c r="G9" i="10" s="1"/>
  <c r="G30" i="10"/>
  <c r="G7" i="10" s="1"/>
  <c r="H15" i="4"/>
  <c r="E12" i="10"/>
  <c r="L12" i="10" s="1"/>
  <c r="E35" i="10"/>
  <c r="L35" i="10" s="1"/>
  <c r="E5" i="7"/>
  <c r="E6" i="7" s="1"/>
  <c r="F26" i="4"/>
  <c r="D15" i="10"/>
  <c r="D20" i="10" s="1"/>
  <c r="D43" i="10"/>
  <c r="I26" i="4" l="1"/>
  <c r="G5" i="25"/>
  <c r="G6" i="25" s="1"/>
  <c r="H26" i="4"/>
  <c r="G12" i="10"/>
  <c r="M12" i="10" s="1"/>
  <c r="G35" i="10"/>
  <c r="M35" i="10" s="1"/>
  <c r="G5" i="7"/>
  <c r="G6" i="7" s="1"/>
  <c r="E43" i="10" l="1"/>
  <c r="C29" i="16" l="1"/>
  <c r="C47" i="16" l="1"/>
  <c r="C48" i="16" l="1"/>
  <c r="E168" i="25"/>
  <c r="E169" i="25" s="1"/>
  <c r="G168" i="25" l="1"/>
  <c r="G169" i="25" s="1"/>
  <c r="D55" i="25" l="1"/>
  <c r="B25" i="28"/>
  <c r="C25" i="28" l="1"/>
  <c r="D51" i="7" l="1"/>
  <c r="D92" i="25"/>
  <c r="D56" i="25"/>
  <c r="D93" i="25"/>
  <c r="D95" i="25"/>
  <c r="D25" i="28"/>
  <c r="D52" i="25" l="1"/>
  <c r="D60" i="25" s="1"/>
  <c r="D33" i="25" s="1"/>
  <c r="D80" i="7"/>
  <c r="D64" i="7"/>
  <c r="D53" i="7"/>
  <c r="D32" i="5"/>
  <c r="E25" i="28"/>
  <c r="D86" i="7" l="1"/>
  <c r="D66" i="7"/>
  <c r="D34" i="6" l="1"/>
  <c r="D6" i="6" l="1"/>
  <c r="D20" i="6"/>
  <c r="D90" i="25"/>
  <c r="D5" i="6" l="1"/>
  <c r="D97" i="25"/>
  <c r="D98" i="25" s="1"/>
  <c r="E33" i="4" s="1"/>
  <c r="D49" i="6"/>
  <c r="B15" i="31" l="1"/>
  <c r="D7" i="6"/>
  <c r="D39" i="7"/>
  <c r="D79" i="7" s="1"/>
  <c r="B14" i="31" l="1"/>
  <c r="D34" i="5"/>
  <c r="D12" i="5"/>
  <c r="D41" i="7"/>
  <c r="B17" i="31" l="1"/>
  <c r="D42" i="16"/>
  <c r="D16" i="5"/>
  <c r="D19" i="5"/>
  <c r="D75" i="7" l="1"/>
  <c r="C62" i="29" s="1"/>
  <c r="D25" i="7" l="1"/>
  <c r="D25" i="25" s="1"/>
  <c r="D26" i="25" s="1"/>
  <c r="D84" i="7"/>
  <c r="D26" i="7" l="1"/>
  <c r="B10" i="31" l="1"/>
  <c r="D39" i="16"/>
  <c r="C4" i="20"/>
  <c r="C61" i="29" s="1"/>
  <c r="C63" i="29" s="1"/>
  <c r="D82" i="7"/>
  <c r="D85" i="7" s="1"/>
  <c r="C6" i="20" l="1"/>
  <c r="H22" i="19" l="1"/>
  <c r="H32" i="19" l="1"/>
  <c r="B11" i="23" s="1"/>
  <c r="H30" i="19" l="1"/>
  <c r="B9" i="23" s="1"/>
  <c r="H28" i="19"/>
  <c r="B7" i="23" s="1"/>
  <c r="H34" i="19"/>
  <c r="B13" i="23" s="1"/>
  <c r="H29" i="19"/>
  <c r="B8" i="23" s="1"/>
  <c r="H33" i="19"/>
  <c r="B12" i="23" s="1"/>
  <c r="H31" i="19"/>
  <c r="B10" i="23" s="1"/>
  <c r="E67" i="25" l="1"/>
  <c r="E42" i="25" l="1"/>
  <c r="F45" i="25" l="1"/>
  <c r="F67" i="25"/>
  <c r="E45" i="25"/>
  <c r="G95" i="25"/>
  <c r="G93" i="25"/>
  <c r="G91" i="25"/>
  <c r="H45" i="25"/>
  <c r="H42" i="25"/>
  <c r="H71" i="25"/>
  <c r="H66" i="25"/>
  <c r="G44" i="25"/>
  <c r="G73" i="25"/>
  <c r="F74" i="25"/>
  <c r="E72" i="25"/>
  <c r="H59" i="25"/>
  <c r="F69" i="25" l="1"/>
  <c r="F72" i="25"/>
  <c r="G41" i="25"/>
  <c r="E59" i="25"/>
  <c r="F70" i="25"/>
  <c r="F41" i="25"/>
  <c r="G71" i="25"/>
  <c r="G74" i="25"/>
  <c r="G42" i="25"/>
  <c r="G45" i="25"/>
  <c r="H70" i="25"/>
  <c r="H72" i="25"/>
  <c r="H83" i="25"/>
  <c r="H84" i="25" s="1"/>
  <c r="H35" i="25" s="1"/>
  <c r="H43" i="25"/>
  <c r="E74" i="25"/>
  <c r="F121" i="7"/>
  <c r="F111" i="7"/>
  <c r="F83" i="25"/>
  <c r="G21" i="25"/>
  <c r="D31" i="29" s="1"/>
  <c r="H69" i="25"/>
  <c r="F90" i="25"/>
  <c r="F96" i="25"/>
  <c r="E96" i="25"/>
  <c r="E90" i="25"/>
  <c r="G67" i="25"/>
  <c r="H67" i="25"/>
  <c r="E92" i="25"/>
  <c r="F42" i="25"/>
  <c r="F92" i="25"/>
  <c r="E66" i="25"/>
  <c r="E44" i="25"/>
  <c r="F73" i="25"/>
  <c r="G19" i="25"/>
  <c r="H90" i="25"/>
  <c r="H92" i="25"/>
  <c r="H94" i="25"/>
  <c r="F95" i="25"/>
  <c r="E95" i="25"/>
  <c r="E43" i="25"/>
  <c r="F43" i="25"/>
  <c r="F59" i="25"/>
  <c r="E69" i="25"/>
  <c r="E83" i="25"/>
  <c r="E84" i="25" s="1"/>
  <c r="E35" i="25" s="1"/>
  <c r="G69" i="25"/>
  <c r="H73" i="25"/>
  <c r="H41" i="25"/>
  <c r="H44" i="25"/>
  <c r="G90" i="25"/>
  <c r="G92" i="25"/>
  <c r="G94" i="25"/>
  <c r="H96" i="25"/>
  <c r="H95" i="25"/>
  <c r="F94" i="25"/>
  <c r="E94" i="25"/>
  <c r="E68" i="25"/>
  <c r="G59" i="25"/>
  <c r="E70" i="25"/>
  <c r="E73" i="25"/>
  <c r="E41" i="25"/>
  <c r="E21" i="25"/>
  <c r="F66" i="25"/>
  <c r="F44" i="25"/>
  <c r="G66" i="25"/>
  <c r="G70" i="25"/>
  <c r="G72" i="25"/>
  <c r="G83" i="25"/>
  <c r="G84" i="25" s="1"/>
  <c r="G35" i="25" s="1"/>
  <c r="G43" i="25"/>
  <c r="H68" i="25"/>
  <c r="H74" i="25"/>
  <c r="G96" i="25"/>
  <c r="H91" i="25"/>
  <c r="H93" i="25"/>
  <c r="F93" i="25"/>
  <c r="F91" i="25"/>
  <c r="E93" i="25"/>
  <c r="E91" i="25"/>
  <c r="E71" i="25"/>
  <c r="F71" i="25"/>
  <c r="F82" i="25"/>
  <c r="F84" i="25" s="1"/>
  <c r="F35" i="25" s="1"/>
  <c r="F126" i="7" l="1"/>
  <c r="D5" i="20" s="1"/>
  <c r="G75" i="25"/>
  <c r="G34" i="25" s="1"/>
  <c r="E46" i="25"/>
  <c r="E32" i="25" s="1"/>
  <c r="H46" i="25"/>
  <c r="H32" i="25" s="1"/>
  <c r="F75" i="25"/>
  <c r="F34" i="25" s="1"/>
  <c r="F46" i="25"/>
  <c r="F32" i="25" s="1"/>
  <c r="H75" i="25"/>
  <c r="H34" i="25" s="1"/>
  <c r="G46" i="25"/>
  <c r="G32" i="25" s="1"/>
  <c r="E75" i="25"/>
  <c r="E34" i="25" s="1"/>
  <c r="F20" i="25"/>
  <c r="H20" i="25"/>
  <c r="F21" i="25"/>
  <c r="C31" i="29" s="1"/>
  <c r="E19" i="25"/>
  <c r="H19" i="25"/>
  <c r="H21" i="25"/>
  <c r="E31" i="29" s="1"/>
  <c r="F19" i="25"/>
  <c r="E20" i="25"/>
  <c r="G20" i="25"/>
  <c r="E18" i="25"/>
  <c r="E58" i="6"/>
  <c r="H51" i="7"/>
  <c r="H80" i="7" s="1"/>
  <c r="F64" i="7"/>
  <c r="F66" i="7" s="1"/>
  <c r="F49" i="6"/>
  <c r="G64" i="7"/>
  <c r="G39" i="7"/>
  <c r="G41" i="7" s="1"/>
  <c r="H97" i="25"/>
  <c r="H98" i="25" s="1"/>
  <c r="G49" i="6"/>
  <c r="H75" i="7"/>
  <c r="G58" i="6"/>
  <c r="F75" i="7"/>
  <c r="H49" i="6"/>
  <c r="H39" i="7"/>
  <c r="H79" i="7" s="1"/>
  <c r="E75" i="7"/>
  <c r="D62" i="29" s="1"/>
  <c r="F51" i="7"/>
  <c r="F80" i="7" s="1"/>
  <c r="H58" i="6"/>
  <c r="F39" i="7"/>
  <c r="F79" i="7" s="1"/>
  <c r="E51" i="7"/>
  <c r="G51" i="7"/>
  <c r="F58" i="6"/>
  <c r="G97" i="25"/>
  <c r="G98" i="25" s="1"/>
  <c r="F97" i="25"/>
  <c r="F98" i="25" s="1"/>
  <c r="E39" i="7"/>
  <c r="E49" i="6"/>
  <c r="E64" i="7"/>
  <c r="H64" i="7"/>
  <c r="H86" i="7" s="1"/>
  <c r="G75" i="7"/>
  <c r="F52" i="25"/>
  <c r="F60" i="25" s="1"/>
  <c r="F33" i="25" s="1"/>
  <c r="F36" i="25" s="1"/>
  <c r="G52" i="25"/>
  <c r="G60" i="25" s="1"/>
  <c r="G33" i="25" s="1"/>
  <c r="H52" i="25"/>
  <c r="H60" i="25" s="1"/>
  <c r="H33" i="25" s="1"/>
  <c r="G36" i="25" l="1"/>
  <c r="D68" i="28" s="1"/>
  <c r="G33" i="4"/>
  <c r="C104" i="28"/>
  <c r="C69" i="28"/>
  <c r="G32" i="4"/>
  <c r="G34" i="4" s="1"/>
  <c r="C68" i="28"/>
  <c r="C103" i="28"/>
  <c r="H33" i="4"/>
  <c r="D69" i="28"/>
  <c r="D104" i="28"/>
  <c r="I33" i="4"/>
  <c r="E69" i="28"/>
  <c r="E104" i="28"/>
  <c r="F8" i="6"/>
  <c r="H7" i="6"/>
  <c r="F7" i="6"/>
  <c r="G8" i="6"/>
  <c r="G7" i="6"/>
  <c r="E7" i="6"/>
  <c r="H8" i="6"/>
  <c r="E8" i="6"/>
  <c r="H36" i="25"/>
  <c r="E12" i="5"/>
  <c r="E19" i="5" s="1"/>
  <c r="E97" i="25"/>
  <c r="E98" i="25" s="1"/>
  <c r="F33" i="4" s="1"/>
  <c r="E25" i="7"/>
  <c r="H25" i="7"/>
  <c r="G25" i="7"/>
  <c r="G25" i="25" s="1"/>
  <c r="D29" i="29" s="1"/>
  <c r="D34" i="29" s="1"/>
  <c r="D36" i="29" s="1"/>
  <c r="D38" i="29" s="1"/>
  <c r="D46" i="29" s="1"/>
  <c r="D48" i="29" s="1"/>
  <c r="F25" i="7"/>
  <c r="H34" i="6"/>
  <c r="F34" i="6"/>
  <c r="F86" i="7"/>
  <c r="H53" i="7"/>
  <c r="F12" i="5"/>
  <c r="E86" i="7"/>
  <c r="E80" i="7"/>
  <c r="E53" i="7"/>
  <c r="E41" i="7"/>
  <c r="F41" i="7"/>
  <c r="G53" i="7"/>
  <c r="G66" i="7"/>
  <c r="G80" i="7"/>
  <c r="G84" i="7"/>
  <c r="G79" i="7"/>
  <c r="G12" i="5"/>
  <c r="E84" i="7"/>
  <c r="H84" i="7"/>
  <c r="H41" i="7"/>
  <c r="H12" i="5"/>
  <c r="G86" i="7"/>
  <c r="H66" i="7"/>
  <c r="E66" i="7"/>
  <c r="E79" i="7"/>
  <c r="G34" i="6"/>
  <c r="D103" i="28" l="1"/>
  <c r="E16" i="5"/>
  <c r="H32" i="4"/>
  <c r="H34" i="4" s="1"/>
  <c r="D16" i="31"/>
  <c r="E17" i="31"/>
  <c r="F16" i="31"/>
  <c r="E14" i="31"/>
  <c r="D17" i="31"/>
  <c r="H17" i="31" s="1"/>
  <c r="E16" i="31"/>
  <c r="D14" i="31"/>
  <c r="H14" i="31" s="1"/>
  <c r="F17" i="31"/>
  <c r="F14" i="31"/>
  <c r="I32" i="4"/>
  <c r="I34" i="4" s="1"/>
  <c r="E68" i="28"/>
  <c r="E103" i="28"/>
  <c r="F42" i="16"/>
  <c r="H6" i="6"/>
  <c r="H42" i="16"/>
  <c r="G42" i="16"/>
  <c r="E42" i="16"/>
  <c r="G6" i="6"/>
  <c r="F6" i="6"/>
  <c r="H25" i="25"/>
  <c r="E25" i="25"/>
  <c r="E26" i="25" s="1"/>
  <c r="F25" i="25"/>
  <c r="G26" i="25"/>
  <c r="G26" i="7"/>
  <c r="H26" i="7"/>
  <c r="F26" i="7"/>
  <c r="E26" i="7"/>
  <c r="F16" i="5"/>
  <c r="F20" i="6"/>
  <c r="F5" i="6" s="1"/>
  <c r="H20" i="6"/>
  <c r="H5" i="6" s="1"/>
  <c r="E42" i="17"/>
  <c r="H16" i="5"/>
  <c r="H19" i="5"/>
  <c r="G19" i="5"/>
  <c r="G16" i="5"/>
  <c r="G20" i="6"/>
  <c r="G5" i="6" s="1"/>
  <c r="E52" i="25"/>
  <c r="E60" i="25" s="1"/>
  <c r="E33" i="25" s="1"/>
  <c r="E36" i="25" s="1"/>
  <c r="F32" i="4" s="1"/>
  <c r="F34" i="4" s="1"/>
  <c r="J16" i="31" l="1"/>
  <c r="L17" i="31"/>
  <c r="F10" i="31"/>
  <c r="F12" i="31" s="1"/>
  <c r="L14" i="31"/>
  <c r="J14" i="31"/>
  <c r="L16" i="31"/>
  <c r="F15" i="31"/>
  <c r="E10" i="31"/>
  <c r="E12" i="31" s="1"/>
  <c r="J17" i="31"/>
  <c r="E15" i="31"/>
  <c r="D15" i="31"/>
  <c r="H15" i="31" s="1"/>
  <c r="D10" i="31"/>
  <c r="D12" i="31" s="1"/>
  <c r="H9" i="6"/>
  <c r="H41" i="16" s="1"/>
  <c r="F26" i="25"/>
  <c r="C66" i="28" s="1"/>
  <c r="C29" i="29"/>
  <c r="C34" i="29" s="1"/>
  <c r="C36" i="29" s="1"/>
  <c r="C38" i="29" s="1"/>
  <c r="C46" i="29" s="1"/>
  <c r="C48" i="29" s="1"/>
  <c r="H26" i="25"/>
  <c r="E29" i="29"/>
  <c r="E34" i="29" s="1"/>
  <c r="E36" i="29" s="1"/>
  <c r="E38" i="29" s="1"/>
  <c r="E46" i="29" s="1"/>
  <c r="E48" i="29" s="1"/>
  <c r="D66" i="28"/>
  <c r="D101" i="28"/>
  <c r="G9" i="6"/>
  <c r="G41" i="16" s="1"/>
  <c r="F9" i="6"/>
  <c r="F41" i="16" s="1"/>
  <c r="H39" i="16"/>
  <c r="G39" i="16"/>
  <c r="E39" i="16"/>
  <c r="F39" i="16"/>
  <c r="F42" i="17"/>
  <c r="E128" i="25"/>
  <c r="H42" i="17"/>
  <c r="D4" i="20"/>
  <c r="D61" i="29" s="1"/>
  <c r="D63" i="29" s="1"/>
  <c r="D65" i="29" s="1"/>
  <c r="E4" i="20"/>
  <c r="E61" i="29" s="1"/>
  <c r="E63" i="29" s="1"/>
  <c r="E65" i="29" s="1"/>
  <c r="G4" i="20"/>
  <c r="G61" i="29" s="1"/>
  <c r="G63" i="29" s="1"/>
  <c r="G65" i="29" s="1"/>
  <c r="F4" i="20"/>
  <c r="F61" i="29" s="1"/>
  <c r="F63" i="29" s="1"/>
  <c r="F65" i="29" s="1"/>
  <c r="E82" i="7"/>
  <c r="H82" i="7"/>
  <c r="G82" i="7"/>
  <c r="G42" i="17"/>
  <c r="E34" i="6"/>
  <c r="D83" i="25"/>
  <c r="D84" i="25" s="1"/>
  <c r="D35" i="25" s="1"/>
  <c r="D36" i="25" s="1"/>
  <c r="E32" i="4" s="1"/>
  <c r="E34" i="4" s="1"/>
  <c r="C101" i="28" l="1"/>
  <c r="J12" i="31"/>
  <c r="L15" i="31"/>
  <c r="L12" i="31"/>
  <c r="J15" i="31"/>
  <c r="E66" i="28"/>
  <c r="E101" i="28"/>
  <c r="D102" i="28"/>
  <c r="D67" i="28"/>
  <c r="E67" i="28"/>
  <c r="E102" i="28"/>
  <c r="E6" i="6"/>
  <c r="G128" i="25"/>
  <c r="H128" i="25"/>
  <c r="F128" i="25"/>
  <c r="F6" i="20"/>
  <c r="F8" i="20" s="1"/>
  <c r="G40" i="16" s="1"/>
  <c r="G6" i="20"/>
  <c r="G8" i="20" s="1"/>
  <c r="H40" i="16" s="1"/>
  <c r="E6" i="20"/>
  <c r="E8" i="20" s="1"/>
  <c r="F40" i="16" s="1"/>
  <c r="D6" i="20"/>
  <c r="D58" i="6"/>
  <c r="E20" i="6"/>
  <c r="E5" i="6" s="1"/>
  <c r="E9" i="6" l="1"/>
  <c r="E41" i="16" s="1"/>
  <c r="D106" i="28"/>
  <c r="C106" i="28"/>
  <c r="D8" i="20"/>
  <c r="E40" i="16" s="1"/>
  <c r="C9" i="29"/>
  <c r="E106" i="28"/>
  <c r="C102" i="28"/>
  <c r="C67" i="28"/>
  <c r="D8" i="6"/>
  <c r="D9" i="6" l="1"/>
  <c r="D41" i="16" s="1"/>
  <c r="B16" i="31"/>
  <c r="H16" i="31" l="1"/>
  <c r="B21" i="28" l="1"/>
  <c r="C21" i="28" l="1"/>
  <c r="D21" i="28" l="1"/>
  <c r="E21" i="28" l="1"/>
  <c r="G32" i="5" l="1"/>
  <c r="G34" i="5" s="1"/>
  <c r="E32" i="5"/>
  <c r="F32" i="5"/>
  <c r="H32" i="5"/>
  <c r="E34" i="5" l="1"/>
  <c r="H34" i="5"/>
  <c r="F34" i="5"/>
  <c r="C46" i="28" l="1"/>
  <c r="D46" i="28" l="1"/>
  <c r="E46" i="28"/>
  <c r="B61" i="31" l="1"/>
  <c r="D26" i="9" l="1"/>
  <c r="H29" i="31" l="1"/>
  <c r="J29" i="31" l="1"/>
  <c r="L29" i="31" l="1"/>
  <c r="F61" i="31"/>
  <c r="D69" i="31" l="1"/>
  <c r="D16" i="18" l="1"/>
  <c r="D82" i="18" l="1"/>
  <c r="D80" i="18"/>
  <c r="D14" i="18"/>
  <c r="D134" i="18"/>
  <c r="D19" i="18" l="1"/>
  <c r="D15" i="18"/>
  <c r="D17" i="18" s="1"/>
  <c r="D20" i="18" s="1"/>
  <c r="D135" i="18"/>
  <c r="D136" i="18" s="1"/>
  <c r="D139" i="18" s="1"/>
  <c r="D138" i="18"/>
  <c r="D85" i="18"/>
  <c r="D81" i="18"/>
  <c r="D83" i="18" s="1"/>
  <c r="D86" i="18" s="1"/>
  <c r="E16" i="18" l="1"/>
  <c r="E14" i="18"/>
  <c r="E82" i="18"/>
  <c r="E80" i="18"/>
  <c r="E81" i="18" l="1"/>
  <c r="E83" i="18" s="1"/>
  <c r="E86" i="18" s="1"/>
  <c r="E85" i="18"/>
  <c r="E15" i="18"/>
  <c r="E17" i="18" s="1"/>
  <c r="E20" i="18" s="1"/>
  <c r="E19" i="18"/>
  <c r="E134" i="18" l="1"/>
  <c r="E138" i="18" l="1"/>
  <c r="E135" i="18"/>
  <c r="E136" i="18" s="1"/>
  <c r="E139" i="18" s="1"/>
  <c r="G14" i="18" l="1"/>
  <c r="F82" i="18" l="1"/>
  <c r="F80" i="18"/>
  <c r="F85" i="18" l="1"/>
  <c r="F81" i="18"/>
  <c r="F83" i="18" s="1"/>
  <c r="F86" i="18" l="1"/>
  <c r="K9" i="23"/>
  <c r="F16" i="18" l="1"/>
  <c r="F14" i="18"/>
  <c r="F134" i="18"/>
  <c r="F135" i="18" l="1"/>
  <c r="F136" i="18" s="1"/>
  <c r="F138" i="18"/>
  <c r="F19" i="18"/>
  <c r="F15" i="18"/>
  <c r="F17" i="18" s="1"/>
  <c r="F20" i="18" l="1"/>
  <c r="K7" i="23"/>
  <c r="F139" i="18"/>
  <c r="K11" i="23"/>
  <c r="L20" i="19" l="1"/>
  <c r="I22" i="19" l="1"/>
  <c r="I31" i="19" l="1"/>
  <c r="C10" i="23" s="1"/>
  <c r="I34" i="19"/>
  <c r="C13" i="23" s="1"/>
  <c r="I32" i="19"/>
  <c r="C11" i="23" s="1"/>
  <c r="I29" i="19"/>
  <c r="C8" i="23" s="1"/>
  <c r="I28" i="19"/>
  <c r="C7" i="23" s="1"/>
  <c r="I30" i="19"/>
  <c r="C9" i="23" s="1"/>
  <c r="I33" i="19"/>
  <c r="C12" i="23" s="1"/>
  <c r="G80" i="18" l="1"/>
  <c r="G82" i="18" l="1"/>
  <c r="G16" i="18"/>
  <c r="G134" i="18"/>
  <c r="G81" i="18" l="1"/>
  <c r="G83" i="18" s="1"/>
  <c r="L9" i="23" s="1"/>
  <c r="G85" i="18"/>
  <c r="G138" i="18"/>
  <c r="G135" i="18"/>
  <c r="G136" i="18" s="1"/>
  <c r="G15" i="18"/>
  <c r="G17" i="18" s="1"/>
  <c r="L7" i="23" s="1"/>
  <c r="G19" i="18"/>
  <c r="L17" i="19"/>
  <c r="G20" i="18" l="1"/>
  <c r="L8" i="23"/>
  <c r="G86" i="18"/>
  <c r="L10" i="23"/>
  <c r="G139" i="18"/>
  <c r="L11" i="23"/>
  <c r="L12" i="23" s="1"/>
  <c r="J22" i="19" l="1"/>
  <c r="L22" i="19" s="1"/>
  <c r="J31" i="19" l="1"/>
  <c r="D10" i="23" s="1"/>
  <c r="J29" i="19"/>
  <c r="D8" i="23" s="1"/>
  <c r="J32" i="19"/>
  <c r="D11" i="23" s="1"/>
  <c r="J33" i="19"/>
  <c r="D12" i="23" s="1"/>
  <c r="J30" i="19"/>
  <c r="D9" i="23" s="1"/>
  <c r="J28" i="19"/>
  <c r="D7" i="23" s="1"/>
  <c r="J34" i="19"/>
  <c r="D13" i="23" s="1"/>
  <c r="H14" i="18" l="1"/>
  <c r="H16" i="18"/>
  <c r="H80" i="18"/>
  <c r="H82" i="18"/>
  <c r="H134" i="18"/>
  <c r="H15" i="18" l="1"/>
  <c r="H17" i="18" s="1"/>
  <c r="H19" i="18"/>
  <c r="H135" i="18"/>
  <c r="H136" i="18" s="1"/>
  <c r="H138" i="18"/>
  <c r="H81" i="18"/>
  <c r="H83" i="18" s="1"/>
  <c r="H85" i="18"/>
  <c r="H20" i="18" l="1"/>
  <c r="M7" i="23"/>
  <c r="M8" i="23" s="1"/>
  <c r="H86" i="18"/>
  <c r="M9" i="23"/>
  <c r="M10" i="23" s="1"/>
  <c r="H139" i="18"/>
  <c r="M11" i="23"/>
  <c r="M12" i="23" s="1"/>
  <c r="K22" i="19" l="1"/>
  <c r="K34" i="19" l="1"/>
  <c r="L34" i="19" s="1"/>
  <c r="M34" i="19" s="1"/>
  <c r="K33" i="19"/>
  <c r="K31" i="19"/>
  <c r="L31" i="19" s="1"/>
  <c r="M31" i="19" s="1"/>
  <c r="K32" i="19"/>
  <c r="L32" i="19" s="1"/>
  <c r="M32" i="19" s="1"/>
  <c r="K28" i="19"/>
  <c r="L28" i="19" s="1"/>
  <c r="M28" i="19" s="1"/>
  <c r="K30" i="19"/>
  <c r="L30" i="19" s="1"/>
  <c r="M30" i="19" s="1"/>
  <c r="K29" i="19"/>
  <c r="L29" i="19" s="1"/>
  <c r="M29" i="19" s="1"/>
  <c r="L33" i="19" l="1"/>
  <c r="M33" i="19" s="1"/>
  <c r="E7" i="23"/>
  <c r="F7" i="23" s="1"/>
  <c r="G7" i="23" s="1"/>
  <c r="E13" i="23"/>
  <c r="F13" i="23" s="1"/>
  <c r="G13" i="23" s="1"/>
  <c r="E9" i="23"/>
  <c r="F9" i="23" s="1"/>
  <c r="G9" i="23" s="1"/>
  <c r="E11" i="23"/>
  <c r="F11" i="23" s="1"/>
  <c r="G11" i="23" s="1"/>
  <c r="E12" i="23"/>
  <c r="F12" i="23" s="1"/>
  <c r="G12" i="23" s="1"/>
  <c r="E8" i="23"/>
  <c r="F8" i="23" s="1"/>
  <c r="G8" i="23" s="1"/>
  <c r="E10" i="23"/>
  <c r="F10" i="23" s="1"/>
  <c r="G10" i="23" s="1"/>
  <c r="I82" i="18" l="1"/>
  <c r="I80" i="18"/>
  <c r="I16" i="18"/>
  <c r="I14" i="18"/>
  <c r="I134" i="18"/>
  <c r="I15" i="18" l="1"/>
  <c r="I17" i="18" s="1"/>
  <c r="I19" i="18"/>
  <c r="I85" i="18"/>
  <c r="I81" i="18"/>
  <c r="I83" i="18" s="1"/>
  <c r="I138" i="18"/>
  <c r="I135" i="18"/>
  <c r="I136" i="18" s="1"/>
  <c r="I20" i="18" l="1"/>
  <c r="N7" i="23"/>
  <c r="N8" i="23" s="1"/>
  <c r="I139" i="18"/>
  <c r="N11" i="23"/>
  <c r="N12" i="23" s="1"/>
  <c r="I86" i="18"/>
  <c r="N9" i="23"/>
  <c r="N10" i="23" s="1"/>
  <c r="C27" i="20" l="1"/>
  <c r="C6" i="7" l="1"/>
  <c r="C7" i="25"/>
  <c r="C6" i="25" s="1"/>
  <c r="E70" i="16" l="1"/>
  <c r="E62" i="16"/>
  <c r="E34" i="17" l="1"/>
  <c r="E115" i="25"/>
  <c r="E120" i="25" l="1"/>
  <c r="B47" i="28"/>
  <c r="B49" i="28" s="1"/>
  <c r="C45" i="28" s="1"/>
  <c r="E43" i="16"/>
  <c r="E83" i="7"/>
  <c r="E85" i="7" s="1"/>
  <c r="F58" i="16" l="1"/>
  <c r="E10" i="16"/>
  <c r="B13" i="28" l="1"/>
  <c r="C18" i="20" l="1"/>
  <c r="D20" i="17" l="1"/>
  <c r="D24" i="17" l="1"/>
  <c r="D21" i="10" s="1"/>
  <c r="D105" i="25"/>
  <c r="D109" i="25" s="1"/>
  <c r="D22" i="10" l="1"/>
  <c r="D44" i="10"/>
  <c r="D45" i="10" s="1"/>
  <c r="D38" i="16" l="1"/>
  <c r="D48" i="10"/>
  <c r="D127" i="25" l="1"/>
  <c r="D130" i="25" s="1"/>
  <c r="D44" i="17"/>
  <c r="B21" i="31" s="1"/>
  <c r="B63" i="31" s="1"/>
  <c r="D45" i="16" l="1"/>
  <c r="D153" i="25"/>
  <c r="B23" i="31"/>
  <c r="B62" i="31" s="1"/>
  <c r="D26" i="20" l="1"/>
  <c r="D27" i="20" s="1"/>
  <c r="C17" i="29" l="1"/>
  <c r="D54" i="29"/>
  <c r="C127" i="29" s="1"/>
  <c r="C128" i="29" s="1"/>
  <c r="E37" i="31" s="1"/>
  <c r="J37" i="31" s="1"/>
  <c r="F107" i="25"/>
  <c r="E26" i="20"/>
  <c r="E27" i="20" s="1"/>
  <c r="C18" i="29" l="1"/>
  <c r="C99" i="29"/>
  <c r="C100" i="29" s="1"/>
  <c r="C54" i="29"/>
  <c r="B127" i="29" s="1"/>
  <c r="E54" i="29"/>
  <c r="D127" i="29" s="1"/>
  <c r="D128" i="29" s="1"/>
  <c r="F37" i="31" s="1"/>
  <c r="D30" i="20"/>
  <c r="D31" i="20" s="1"/>
  <c r="E107" i="25"/>
  <c r="D9" i="20" l="1"/>
  <c r="C34" i="31"/>
  <c r="C39" i="31" s="1"/>
  <c r="F64" i="31"/>
  <c r="D72" i="31" s="1"/>
  <c r="L37" i="31"/>
  <c r="E35" i="31"/>
  <c r="D35" i="31"/>
  <c r="H35" i="31" s="1"/>
  <c r="L35" i="31" l="1"/>
  <c r="J35" i="31"/>
  <c r="D66" i="29"/>
  <c r="D69" i="29" s="1"/>
  <c r="D70" i="29" s="1"/>
  <c r="D12" i="20"/>
  <c r="D13" i="20" s="1"/>
  <c r="C30" i="20" l="1"/>
  <c r="F26" i="20" l="1"/>
  <c r="F27" i="20" s="1"/>
  <c r="E30" i="20"/>
  <c r="E31" i="20" s="1"/>
  <c r="B34" i="31"/>
  <c r="C31" i="20"/>
  <c r="C9" i="20" s="1"/>
  <c r="C66" i="29" s="1"/>
  <c r="B16" i="28"/>
  <c r="E9" i="20" l="1"/>
  <c r="D34" i="31"/>
  <c r="H34" i="31" s="1"/>
  <c r="D28" i="16"/>
  <c r="E66" i="29" l="1"/>
  <c r="E69" i="29" s="1"/>
  <c r="E70" i="29" s="1"/>
  <c r="E12" i="20"/>
  <c r="E13" i="20" s="1"/>
  <c r="D29" i="16"/>
  <c r="D47" i="16" l="1"/>
  <c r="D6" i="7" l="1"/>
  <c r="D7" i="25"/>
  <c r="D6" i="25" s="1"/>
  <c r="C19" i="20"/>
  <c r="C21" i="20" s="1"/>
  <c r="C22" i="20" s="1"/>
  <c r="C7" i="20" s="1"/>
  <c r="C64" i="29" l="1"/>
  <c r="C12" i="20"/>
  <c r="C13" i="20" s="1"/>
  <c r="C8" i="20"/>
  <c r="D40" i="16" s="1"/>
  <c r="D46" i="16" l="1"/>
  <c r="D48" i="16" s="1"/>
  <c r="C11" i="20"/>
  <c r="D10" i="20" s="1"/>
  <c r="D11" i="20" s="1"/>
  <c r="E10" i="20" s="1"/>
  <c r="C65" i="29"/>
  <c r="C68" i="29" s="1"/>
  <c r="D67" i="29" s="1"/>
  <c r="D68" i="29" s="1"/>
  <c r="C53" i="29" s="1"/>
  <c r="C55" i="29" s="1"/>
  <c r="C69" i="29"/>
  <c r="C70" i="29" s="1"/>
  <c r="B12" i="31"/>
  <c r="H12" i="31" l="1"/>
  <c r="B58" i="31"/>
  <c r="E67" i="29"/>
  <c r="E68" i="29" s="1"/>
  <c r="D53" i="29" s="1"/>
  <c r="D55" i="29" s="1"/>
  <c r="E11" i="20"/>
  <c r="F10" i="20" s="1"/>
  <c r="F67" i="29" s="1"/>
  <c r="G26" i="20" l="1"/>
  <c r="G27" i="20" s="1"/>
  <c r="F30" i="20"/>
  <c r="F31" i="20" s="1"/>
  <c r="D53" i="16"/>
  <c r="E34" i="31" l="1"/>
  <c r="J34" i="31" s="1"/>
  <c r="F9" i="20"/>
  <c r="C16" i="28"/>
  <c r="F66" i="29" l="1"/>
  <c r="F12" i="20"/>
  <c r="F13" i="20" s="1"/>
  <c r="F11" i="20"/>
  <c r="G10" i="20" s="1"/>
  <c r="G67" i="29" s="1"/>
  <c r="F69" i="29" l="1"/>
  <c r="F70" i="29" s="1"/>
  <c r="F68" i="29"/>
  <c r="E53" i="29" s="1"/>
  <c r="E55" i="29" s="1"/>
  <c r="B25" i="31" l="1"/>
  <c r="D160" i="25"/>
  <c r="B27" i="28"/>
  <c r="B60" i="31" l="1"/>
  <c r="B65" i="31" s="1"/>
  <c r="B27" i="31"/>
  <c r="B31" i="31" s="1"/>
  <c r="B40" i="31" l="1"/>
  <c r="B39" i="31"/>
  <c r="D16" i="28" l="1"/>
  <c r="H26" i="20" l="1"/>
  <c r="H27" i="20" s="1"/>
  <c r="G30" i="20"/>
  <c r="G31" i="20" s="1"/>
  <c r="F34" i="31" l="1"/>
  <c r="G9" i="20"/>
  <c r="G66" i="29" l="1"/>
  <c r="G11" i="20"/>
  <c r="G12" i="20"/>
  <c r="G13" i="20" s="1"/>
  <c r="L34" i="31"/>
  <c r="F58" i="31"/>
  <c r="D66" i="31" l="1"/>
  <c r="G69" i="29"/>
  <c r="G70" i="29" s="1"/>
  <c r="G68" i="29"/>
  <c r="C27" i="28" l="1"/>
  <c r="E16" i="28" l="1"/>
  <c r="D27" i="28" l="1"/>
  <c r="E27" i="28" l="1"/>
  <c r="F70" i="16" l="1"/>
  <c r="F62" i="16"/>
  <c r="F34" i="17" l="1"/>
  <c r="F115" i="25"/>
  <c r="G70" i="16"/>
  <c r="F120" i="25" l="1"/>
  <c r="C47" i="28"/>
  <c r="C49" i="28" s="1"/>
  <c r="D45" i="28" s="1"/>
  <c r="D19" i="31"/>
  <c r="F43" i="16"/>
  <c r="H19" i="31" l="1"/>
  <c r="C70" i="28"/>
  <c r="C105" i="28"/>
  <c r="G34" i="17" l="1"/>
  <c r="G115" i="25"/>
  <c r="H70" i="16"/>
  <c r="D47" i="28" l="1"/>
  <c r="D49" i="28" s="1"/>
  <c r="E45" i="28" s="1"/>
  <c r="G120" i="25"/>
  <c r="G43" i="16"/>
  <c r="E19" i="31"/>
  <c r="G83" i="7"/>
  <c r="G85" i="7" s="1"/>
  <c r="J19" i="31" l="1"/>
  <c r="D70" i="28"/>
  <c r="D105" i="28"/>
  <c r="H34" i="17" l="1"/>
  <c r="H115" i="25"/>
  <c r="E47" i="28" l="1"/>
  <c r="E49" i="28" s="1"/>
  <c r="H120" i="25"/>
  <c r="H43" i="16"/>
  <c r="F19" i="31"/>
  <c r="H83" i="7"/>
  <c r="H85" i="7" s="1"/>
  <c r="F59" i="31" l="1"/>
  <c r="L19" i="31"/>
  <c r="E70" i="28"/>
  <c r="E105" i="28"/>
  <c r="D67" i="31" l="1"/>
  <c r="G58" i="16" l="1"/>
  <c r="G62" i="16" s="1"/>
  <c r="F10" i="16"/>
  <c r="C13" i="28" l="1"/>
  <c r="H58" i="16" l="1"/>
  <c r="H62" i="16" s="1"/>
  <c r="G10" i="16"/>
  <c r="D13" i="28" l="1"/>
  <c r="H10" i="16" l="1"/>
  <c r="E13" i="28" l="1"/>
  <c r="E20" i="17" l="1"/>
  <c r="E24" i="17" l="1"/>
  <c r="E21" i="10" s="1"/>
  <c r="E105" i="25"/>
  <c r="E109" i="25" s="1"/>
  <c r="E22" i="10" l="1"/>
  <c r="E44" i="10"/>
  <c r="E45" i="10" s="1"/>
  <c r="E38" i="16" l="1"/>
  <c r="E48" i="10"/>
  <c r="E127" i="25" l="1"/>
  <c r="E130" i="25" s="1"/>
  <c r="E44" i="17"/>
  <c r="E45" i="16" l="1"/>
  <c r="E46" i="16" s="1"/>
  <c r="E53" i="16" s="1"/>
  <c r="E153" i="25"/>
  <c r="E160" i="25" l="1"/>
  <c r="B24" i="28" l="1"/>
  <c r="B28" i="28" s="1"/>
  <c r="B34" i="28" s="1"/>
  <c r="E28" i="16"/>
  <c r="E29" i="16" l="1"/>
  <c r="E47" i="16" l="1"/>
  <c r="E48" i="16" s="1"/>
  <c r="E176" i="25" l="1"/>
  <c r="E175" i="25" l="1"/>
  <c r="E177" i="25" s="1"/>
  <c r="E26" i="9"/>
  <c r="F20" i="17" l="1"/>
  <c r="F24" i="17" l="1"/>
  <c r="F21" i="10" s="1"/>
  <c r="F105" i="25"/>
  <c r="F109" i="25" s="1"/>
  <c r="C92" i="28" l="1"/>
  <c r="C93" i="28" s="1"/>
  <c r="C100" i="28" s="1"/>
  <c r="C75" i="28"/>
  <c r="F22" i="10"/>
  <c r="F44" i="10"/>
  <c r="F45" i="10" s="1"/>
  <c r="F38" i="16" l="1"/>
  <c r="F48" i="10"/>
  <c r="F127" i="25" l="1"/>
  <c r="F130" i="25" s="1"/>
  <c r="C71" i="28" s="1"/>
  <c r="F44" i="17"/>
  <c r="D21" i="31" s="1"/>
  <c r="H21" i="31" l="1"/>
  <c r="F45" i="16" l="1"/>
  <c r="F46" i="16" s="1"/>
  <c r="F53" i="16" s="1"/>
  <c r="D23" i="31"/>
  <c r="F153" i="25"/>
  <c r="C107" i="28" l="1"/>
  <c r="C108" i="28" s="1"/>
  <c r="C72" i="28"/>
  <c r="H23" i="31"/>
  <c r="F160" i="25" l="1"/>
  <c r="C73" i="28" s="1"/>
  <c r="D25" i="31"/>
  <c r="C74" i="28"/>
  <c r="C6" i="28" l="1"/>
  <c r="C76" i="28"/>
  <c r="C77" i="28" s="1"/>
  <c r="H25" i="31"/>
  <c r="D27" i="31"/>
  <c r="D31" i="31" s="1"/>
  <c r="D40" i="31" l="1"/>
  <c r="D39" i="31"/>
  <c r="H31" i="31"/>
  <c r="H39" i="31" s="1"/>
  <c r="I25" i="31" s="1"/>
  <c r="H27" i="31"/>
  <c r="I14" i="31" l="1"/>
  <c r="I16" i="31"/>
  <c r="I15" i="31"/>
  <c r="I36" i="31"/>
  <c r="I29" i="31"/>
  <c r="I17" i="31"/>
  <c r="I37" i="31"/>
  <c r="I35" i="31"/>
  <c r="I34" i="31"/>
  <c r="I12" i="31"/>
  <c r="I19" i="31"/>
  <c r="I21" i="31"/>
  <c r="I23" i="31"/>
  <c r="I39" i="31" l="1"/>
  <c r="C24" i="28" l="1"/>
  <c r="C28" i="28" s="1"/>
  <c r="C34" i="28" s="1"/>
  <c r="F28" i="16"/>
  <c r="F29" i="16" l="1"/>
  <c r="C35" i="28"/>
  <c r="C109" i="28" l="1"/>
  <c r="C110" i="28" s="1"/>
  <c r="C7" i="28" s="1"/>
  <c r="C36" i="28"/>
  <c r="C5" i="28"/>
  <c r="F47" i="16"/>
  <c r="F48" i="16" s="1"/>
  <c r="F176" i="25" l="1"/>
  <c r="F26" i="9" l="1"/>
  <c r="F175" i="25"/>
  <c r="F177" i="25" s="1"/>
  <c r="G20" i="17" l="1"/>
  <c r="G24" i="17" l="1"/>
  <c r="G21" i="10" s="1"/>
  <c r="G105" i="25"/>
  <c r="G109" i="25" s="1"/>
  <c r="D75" i="28" l="1"/>
  <c r="D92" i="28"/>
  <c r="D93" i="28" s="1"/>
  <c r="D100" i="28" s="1"/>
  <c r="G22" i="10"/>
  <c r="G44" i="10"/>
  <c r="G45" i="10" s="1"/>
  <c r="G38" i="16" l="1"/>
  <c r="G48" i="10"/>
  <c r="G127" i="25" l="1"/>
  <c r="G130" i="25" s="1"/>
  <c r="D71" i="28" s="1"/>
  <c r="G44" i="17"/>
  <c r="E21" i="31" s="1"/>
  <c r="J21" i="31" l="1"/>
  <c r="E23" i="31" l="1"/>
  <c r="G153" i="25"/>
  <c r="G45" i="16"/>
  <c r="G46" i="16" s="1"/>
  <c r="G53" i="16" s="1"/>
  <c r="D107" i="28" l="1"/>
  <c r="D108" i="28" s="1"/>
  <c r="D72" i="28"/>
  <c r="J23" i="31"/>
  <c r="G160" i="25" l="1"/>
  <c r="D73" i="28" s="1"/>
  <c r="D74" i="28" s="1"/>
  <c r="E25" i="31"/>
  <c r="D6" i="28" l="1"/>
  <c r="D76" i="28"/>
  <c r="D77" i="28" s="1"/>
  <c r="J25" i="31"/>
  <c r="E27" i="31"/>
  <c r="E31" i="31" s="1"/>
  <c r="E40" i="31" l="1"/>
  <c r="J31" i="31"/>
  <c r="J39" i="31" s="1"/>
  <c r="K25" i="31" s="1"/>
  <c r="E39" i="31"/>
  <c r="J27" i="31"/>
  <c r="K29" i="31" l="1"/>
  <c r="K14" i="31"/>
  <c r="K36" i="31"/>
  <c r="K12" i="31"/>
  <c r="K39" i="31"/>
  <c r="K15" i="31"/>
  <c r="K16" i="31"/>
  <c r="K17" i="31"/>
  <c r="K37" i="31"/>
  <c r="K35" i="31"/>
  <c r="K34" i="31"/>
  <c r="K19" i="31"/>
  <c r="K21" i="31"/>
  <c r="K23" i="31"/>
  <c r="D24" i="28" l="1"/>
  <c r="D28" i="28" s="1"/>
  <c r="D34" i="28" s="1"/>
  <c r="D35" i="28" s="1"/>
  <c r="G28" i="16"/>
  <c r="G29" i="16" l="1"/>
  <c r="D109" i="28"/>
  <c r="D110" i="28" s="1"/>
  <c r="D7" i="28" s="1"/>
  <c r="D5" i="28"/>
  <c r="D36" i="28"/>
  <c r="G47" i="16" l="1"/>
  <c r="G48" i="16" s="1"/>
  <c r="G176" i="25" l="1"/>
  <c r="G175" i="25" l="1"/>
  <c r="G177" i="25" s="1"/>
  <c r="G26" i="9"/>
  <c r="H20" i="17" l="1"/>
  <c r="H24" i="17" l="1"/>
  <c r="H21" i="10" s="1"/>
  <c r="H105" i="25"/>
  <c r="H109" i="25" s="1"/>
  <c r="E75" i="28" l="1"/>
  <c r="E92" i="28"/>
  <c r="E93" i="28" s="1"/>
  <c r="E100" i="28" s="1"/>
  <c r="H22" i="10"/>
  <c r="H44" i="10"/>
  <c r="H45" i="10" s="1"/>
  <c r="H38" i="16" l="1"/>
  <c r="H48" i="10"/>
  <c r="H127" i="25" l="1"/>
  <c r="H130" i="25" l="1"/>
  <c r="E71" i="28" s="1"/>
  <c r="H44" i="17"/>
  <c r="F21" i="31" s="1"/>
  <c r="L21" i="31" l="1"/>
  <c r="F63" i="31"/>
  <c r="D71" i="31" s="1"/>
  <c r="H45" i="16" l="1"/>
  <c r="H46" i="16" s="1"/>
  <c r="H53" i="16" s="1"/>
  <c r="F23" i="31"/>
  <c r="H153" i="25"/>
  <c r="E107" i="28" l="1"/>
  <c r="E108" i="28" s="1"/>
  <c r="E72" i="28"/>
  <c r="F62" i="31"/>
  <c r="D70" i="31" s="1"/>
  <c r="L23" i="31"/>
  <c r="H160" i="25" l="1"/>
  <c r="E73" i="28" s="1"/>
  <c r="F25" i="31"/>
  <c r="E74" i="28"/>
  <c r="E6" i="28" l="1"/>
  <c r="E76" i="28"/>
  <c r="E77" i="28" s="1"/>
  <c r="F60" i="31"/>
  <c r="L25" i="31"/>
  <c r="F27" i="31"/>
  <c r="F31" i="31" s="1"/>
  <c r="F40" i="31" l="1"/>
  <c r="L31" i="31"/>
  <c r="L39" i="31" s="1"/>
  <c r="M25" i="31" s="1"/>
  <c r="F39" i="31"/>
  <c r="L27" i="31"/>
  <c r="D68" i="31"/>
  <c r="F65" i="31"/>
  <c r="D75" i="31" s="1"/>
  <c r="D73" i="31" l="1"/>
  <c r="O25" i="31"/>
  <c r="B45" i="31" s="1"/>
  <c r="P25" i="31"/>
  <c r="M39" i="31"/>
  <c r="O39" i="31" s="1"/>
  <c r="M15" i="31"/>
  <c r="M12" i="31"/>
  <c r="M29" i="31"/>
  <c r="M14" i="31"/>
  <c r="M36" i="31"/>
  <c r="M17" i="31"/>
  <c r="M16" i="31"/>
  <c r="M37" i="31"/>
  <c r="M35" i="31"/>
  <c r="M34" i="31"/>
  <c r="M19" i="31"/>
  <c r="M21" i="31"/>
  <c r="M23" i="31"/>
  <c r="O19" i="31" l="1"/>
  <c r="B44" i="31" s="1"/>
  <c r="P19" i="31"/>
  <c r="O29" i="31"/>
  <c r="P29" i="31"/>
  <c r="O34" i="31"/>
  <c r="P34" i="31"/>
  <c r="O12" i="31"/>
  <c r="P12" i="31"/>
  <c r="P35" i="31"/>
  <c r="O35" i="31"/>
  <c r="P15" i="31"/>
  <c r="O15" i="31"/>
  <c r="O37" i="31"/>
  <c r="P37" i="31"/>
  <c r="O16" i="31"/>
  <c r="P16" i="31"/>
  <c r="P17" i="31"/>
  <c r="O17" i="31"/>
  <c r="O23" i="31"/>
  <c r="B47" i="31" s="1"/>
  <c r="P23" i="31"/>
  <c r="P36" i="31"/>
  <c r="O36" i="31"/>
  <c r="E69" i="31"/>
  <c r="E72" i="31"/>
  <c r="E66" i="31"/>
  <c r="E67" i="31"/>
  <c r="E71" i="31"/>
  <c r="E70" i="31"/>
  <c r="P21" i="31"/>
  <c r="O21" i="31"/>
  <c r="B48" i="31" s="1"/>
  <c r="O14" i="31"/>
  <c r="P14" i="31"/>
  <c r="E68" i="31"/>
  <c r="P39" i="31" l="1"/>
  <c r="B43" i="31"/>
  <c r="B46" i="31"/>
  <c r="E73" i="31"/>
  <c r="B49" i="31"/>
  <c r="B50" i="31" l="1"/>
  <c r="C43" i="31" s="1"/>
  <c r="C45" i="31" l="1"/>
  <c r="C48" i="31"/>
  <c r="C47" i="31"/>
  <c r="C44" i="31"/>
  <c r="C46" i="31"/>
  <c r="C49" i="31"/>
  <c r="E24" i="28" l="1"/>
  <c r="E28" i="28" s="1"/>
  <c r="E34" i="28" s="1"/>
  <c r="E35" i="28" s="1"/>
  <c r="H28" i="16"/>
  <c r="H29" i="16" s="1"/>
  <c r="C50" i="31"/>
  <c r="H47" i="16" l="1"/>
  <c r="H48" i="16" s="1"/>
  <c r="E109" i="28"/>
  <c r="E110" i="28" s="1"/>
  <c r="E7" i="28" s="1"/>
  <c r="E36" i="28"/>
  <c r="E5" i="28"/>
  <c r="H176" i="25" l="1"/>
  <c r="H26" i="9" l="1"/>
  <c r="H175" i="25"/>
  <c r="H177"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Crockett, Gloria</author>
  </authors>
  <commentList>
    <comment ref="A15" authorId="0" shapeId="0" xr:uid="{00000000-0006-0000-0000-000001000000}">
      <text>
        <r>
          <rPr>
            <b/>
            <sz val="9"/>
            <color indexed="81"/>
            <rFont val="Tahoma"/>
            <family val="2"/>
          </rPr>
          <t>Crockett, Gloria:</t>
        </r>
        <r>
          <rPr>
            <sz val="9"/>
            <color indexed="81"/>
            <rFont val="Tahoma"/>
            <family val="2"/>
          </rPr>
          <t xml:space="preserve">
Excludes OATT expenses as OATT revenue is excluded</t>
        </r>
      </text>
    </comment>
    <comment ref="H34" authorId="0" shapeId="0" xr:uid="{00000000-0006-0000-0000-000002000000}">
      <text>
        <r>
          <rPr>
            <b/>
            <sz val="9"/>
            <color indexed="81"/>
            <rFont val="Tahoma"/>
            <family val="2"/>
          </rPr>
          <t>Crockett, Gloria:</t>
        </r>
        <r>
          <rPr>
            <sz val="9"/>
            <color indexed="81"/>
            <rFont val="Tahoma"/>
            <family val="2"/>
          </rPr>
          <t xml:space="preserve">
Current rates include 2022 ECAM collections</t>
        </r>
      </text>
    </comment>
    <comment ref="A40" authorId="0" shapeId="0" xr:uid="{1B075E71-C953-4974-B142-CDAE99F236DA}">
      <text>
        <r>
          <rPr>
            <b/>
            <sz val="9"/>
            <color indexed="81"/>
            <rFont val="Tahoma"/>
            <charset val="1"/>
          </rPr>
          <t>Crockett, Gloria:</t>
        </r>
        <r>
          <rPr>
            <sz val="9"/>
            <color indexed="81"/>
            <rFont val="Tahoma"/>
            <charset val="1"/>
          </rPr>
          <t xml:space="preserve">
Other Revenue and OATT Expenses (net) not included in analysis.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Crockett, Gloria</author>
  </authors>
  <commentList>
    <comment ref="F12" authorId="0" shapeId="0" xr:uid="{00000000-0006-0000-0100-000001000000}">
      <text>
        <r>
          <rPr>
            <b/>
            <sz val="9"/>
            <color indexed="81"/>
            <rFont val="Tahoma"/>
            <family val="2"/>
          </rPr>
          <t>Crockett, Gloria:</t>
        </r>
        <r>
          <rPr>
            <sz val="9"/>
            <color indexed="81"/>
            <rFont val="Tahoma"/>
            <family val="2"/>
          </rPr>
          <t xml:space="preserve">
Rounding adj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Crockett, Gloria</author>
  </authors>
  <commentList>
    <comment ref="C68" authorId="0" shapeId="0" xr:uid="{00000000-0006-0000-0300-000001000000}">
      <text>
        <r>
          <rPr>
            <b/>
            <sz val="9"/>
            <color indexed="81"/>
            <rFont val="Tahoma"/>
            <family val="2"/>
          </rPr>
          <t>Crockett, Gloria:</t>
        </r>
        <r>
          <rPr>
            <sz val="9"/>
            <color indexed="81"/>
            <rFont val="Tahoma"/>
            <family val="2"/>
          </rPr>
          <t xml:space="preserve">
Includes COVID
</t>
        </r>
      </text>
    </comment>
    <comment ref="A83" authorId="0" shapeId="0" xr:uid="{00000000-0006-0000-0300-000002000000}">
      <text>
        <r>
          <rPr>
            <b/>
            <sz val="9"/>
            <color indexed="81"/>
            <rFont val="Tahoma"/>
            <family val="2"/>
          </rPr>
          <t>Crockett, Gloria:</t>
        </r>
        <r>
          <rPr>
            <sz val="9"/>
            <color indexed="81"/>
            <rFont val="Tahoma"/>
            <family val="2"/>
          </rPr>
          <t xml:space="preserve">
GP Smartview for 8090 Depts 24, 30, 32, 34, 36 and took amount out of Schedule 8-1 Corporate Services and Support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Crockett, Gloria</author>
  </authors>
  <commentList>
    <comment ref="H19" authorId="0" shapeId="0" xr:uid="{00000000-0006-0000-0600-000001000000}">
      <text>
        <r>
          <rPr>
            <b/>
            <sz val="9"/>
            <color indexed="81"/>
            <rFont val="Tahoma"/>
            <family val="2"/>
          </rPr>
          <t>Crockett, Gloria:</t>
        </r>
        <r>
          <rPr>
            <sz val="9"/>
            <color indexed="81"/>
            <rFont val="Tahoma"/>
            <family val="2"/>
          </rPr>
          <t xml:space="preserve">
Moving to revenue requirement and recovering in basic rates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Crockett, Gloria</author>
  </authors>
  <commentList>
    <comment ref="G98" authorId="0" shapeId="0" xr:uid="{00000000-0006-0000-0800-000001000000}">
      <text>
        <r>
          <rPr>
            <b/>
            <sz val="9"/>
            <color indexed="81"/>
            <rFont val="Tahoma"/>
            <family val="2"/>
          </rPr>
          <t>Crockett, Gloria:</t>
        </r>
        <r>
          <rPr>
            <sz val="9"/>
            <color indexed="81"/>
            <rFont val="Tahoma"/>
            <family val="2"/>
          </rPr>
          <t xml:space="preserve">
March to December</t>
        </r>
      </text>
    </comment>
    <comment ref="G99" authorId="0" shapeId="0" xr:uid="{00000000-0006-0000-0800-000002000000}">
      <text>
        <r>
          <rPr>
            <b/>
            <sz val="9"/>
            <color indexed="81"/>
            <rFont val="Tahoma"/>
            <family val="2"/>
          </rPr>
          <t>Crockett, Gloria:</t>
        </r>
        <r>
          <rPr>
            <sz val="9"/>
            <color indexed="81"/>
            <rFont val="Tahoma"/>
            <family val="2"/>
          </rPr>
          <t xml:space="preserve">
March to December</t>
        </r>
      </text>
    </comment>
    <comment ref="G100" authorId="0" shapeId="0" xr:uid="{00000000-0006-0000-0800-000003000000}">
      <text>
        <r>
          <rPr>
            <b/>
            <sz val="9"/>
            <color indexed="81"/>
            <rFont val="Tahoma"/>
            <family val="2"/>
          </rPr>
          <t>Crockett, Gloria:</t>
        </r>
        <r>
          <rPr>
            <sz val="9"/>
            <color indexed="81"/>
            <rFont val="Tahoma"/>
            <family val="2"/>
          </rPr>
          <t xml:space="preserve">
March to December</t>
        </r>
      </text>
    </comment>
    <comment ref="G103" authorId="0" shapeId="0" xr:uid="{00000000-0006-0000-0800-000004000000}">
      <text>
        <r>
          <rPr>
            <b/>
            <sz val="9"/>
            <color indexed="81"/>
            <rFont val="Tahoma"/>
            <family val="2"/>
          </rPr>
          <t>Crockett, Gloria:</t>
        </r>
        <r>
          <rPr>
            <sz val="9"/>
            <color indexed="81"/>
            <rFont val="Tahoma"/>
            <family val="2"/>
          </rPr>
          <t xml:space="preserve">
March to December</t>
        </r>
      </text>
    </comment>
    <comment ref="G104" authorId="0" shapeId="0" xr:uid="{00000000-0006-0000-0800-000005000000}">
      <text>
        <r>
          <rPr>
            <b/>
            <sz val="9"/>
            <color indexed="81"/>
            <rFont val="Tahoma"/>
            <family val="2"/>
          </rPr>
          <t>Crockett, Gloria:</t>
        </r>
        <r>
          <rPr>
            <sz val="9"/>
            <color indexed="81"/>
            <rFont val="Tahoma"/>
            <family val="2"/>
          </rPr>
          <t xml:space="preserve">
March to December</t>
        </r>
      </text>
    </comment>
    <comment ref="G110" authorId="0" shapeId="0" xr:uid="{00000000-0006-0000-0800-000006000000}">
      <text>
        <r>
          <rPr>
            <b/>
            <sz val="9"/>
            <color indexed="81"/>
            <rFont val="Tahoma"/>
            <family val="2"/>
          </rPr>
          <t>Crockett, Gloria:</t>
        </r>
        <r>
          <rPr>
            <sz val="9"/>
            <color indexed="81"/>
            <rFont val="Tahoma"/>
            <family val="2"/>
          </rPr>
          <t xml:space="preserve">
March to December</t>
        </r>
      </text>
    </comment>
    <comment ref="G111" authorId="0" shapeId="0" xr:uid="{00000000-0006-0000-0800-000007000000}">
      <text>
        <r>
          <rPr>
            <b/>
            <sz val="9"/>
            <color indexed="81"/>
            <rFont val="Tahoma"/>
            <family val="2"/>
          </rPr>
          <t>Crockett, Gloria:</t>
        </r>
        <r>
          <rPr>
            <sz val="9"/>
            <color indexed="81"/>
            <rFont val="Tahoma"/>
            <family val="2"/>
          </rPr>
          <t xml:space="preserve">
January to December</t>
        </r>
      </text>
    </comment>
    <comment ref="G112" authorId="0" shapeId="0" xr:uid="{00000000-0006-0000-0800-000008000000}">
      <text>
        <r>
          <rPr>
            <b/>
            <sz val="9"/>
            <color indexed="81"/>
            <rFont val="Tahoma"/>
            <family val="2"/>
          </rPr>
          <t>Crockett, Gloria:</t>
        </r>
        <r>
          <rPr>
            <sz val="9"/>
            <color indexed="81"/>
            <rFont val="Tahoma"/>
            <family val="2"/>
          </rPr>
          <t xml:space="preserve">
March to December</t>
        </r>
      </text>
    </comment>
    <comment ref="G113" authorId="0" shapeId="0" xr:uid="{00000000-0006-0000-0800-000009000000}">
      <text>
        <r>
          <rPr>
            <b/>
            <sz val="9"/>
            <color indexed="81"/>
            <rFont val="Tahoma"/>
            <family val="2"/>
          </rPr>
          <t>Crockett, Gloria:</t>
        </r>
        <r>
          <rPr>
            <sz val="9"/>
            <color indexed="81"/>
            <rFont val="Tahoma"/>
            <family val="2"/>
          </rPr>
          <t xml:space="preserve">
March to December</t>
        </r>
      </text>
    </comment>
    <comment ref="G114" authorId="0" shapeId="0" xr:uid="{00000000-0006-0000-0800-00000A000000}">
      <text>
        <r>
          <rPr>
            <b/>
            <sz val="9"/>
            <color indexed="81"/>
            <rFont val="Tahoma"/>
            <family val="2"/>
          </rPr>
          <t>Crockett, Gloria:</t>
        </r>
        <r>
          <rPr>
            <sz val="9"/>
            <color indexed="81"/>
            <rFont val="Tahoma"/>
            <family val="2"/>
          </rPr>
          <t xml:space="preserve">
March to December</t>
        </r>
      </text>
    </comment>
    <comment ref="G115" authorId="0" shapeId="0" xr:uid="{00000000-0006-0000-0800-00000B000000}">
      <text>
        <r>
          <rPr>
            <b/>
            <sz val="9"/>
            <color indexed="81"/>
            <rFont val="Tahoma"/>
            <family val="2"/>
          </rPr>
          <t>Crockett, Gloria:</t>
        </r>
        <r>
          <rPr>
            <sz val="9"/>
            <color indexed="81"/>
            <rFont val="Tahoma"/>
            <family val="2"/>
          </rPr>
          <t xml:space="preserve">
March to December</t>
        </r>
      </text>
    </comment>
    <comment ref="G116" authorId="0" shapeId="0" xr:uid="{00000000-0006-0000-0800-00000C000000}">
      <text>
        <r>
          <rPr>
            <b/>
            <sz val="9"/>
            <color indexed="81"/>
            <rFont val="Tahoma"/>
            <family val="2"/>
          </rPr>
          <t>Crockett, Gloria:</t>
        </r>
        <r>
          <rPr>
            <sz val="9"/>
            <color indexed="81"/>
            <rFont val="Tahoma"/>
            <family val="2"/>
          </rPr>
          <t xml:space="preserve">
March to December</t>
        </r>
      </text>
    </comment>
    <comment ref="G117" authorId="0" shapeId="0" xr:uid="{00000000-0006-0000-0800-00000D000000}">
      <text>
        <r>
          <rPr>
            <b/>
            <sz val="9"/>
            <color indexed="81"/>
            <rFont val="Tahoma"/>
            <family val="2"/>
          </rPr>
          <t>Crockett, Gloria:</t>
        </r>
        <r>
          <rPr>
            <sz val="9"/>
            <color indexed="81"/>
            <rFont val="Tahoma"/>
            <family val="2"/>
          </rPr>
          <t xml:space="preserve">
March to December</t>
        </r>
      </text>
    </comment>
    <comment ref="G118" authorId="0" shapeId="0" xr:uid="{00000000-0006-0000-0800-00000E000000}">
      <text>
        <r>
          <rPr>
            <b/>
            <sz val="9"/>
            <color indexed="81"/>
            <rFont val="Tahoma"/>
            <family val="2"/>
          </rPr>
          <t>Crockett, Gloria:</t>
        </r>
        <r>
          <rPr>
            <sz val="9"/>
            <color indexed="81"/>
            <rFont val="Tahoma"/>
            <family val="2"/>
          </rPr>
          <t xml:space="preserve">
March to December</t>
        </r>
      </text>
    </comment>
    <comment ref="G119" authorId="0" shapeId="0" xr:uid="{00000000-0006-0000-0800-00000F000000}">
      <text>
        <r>
          <rPr>
            <b/>
            <sz val="9"/>
            <color indexed="81"/>
            <rFont val="Tahoma"/>
            <family val="2"/>
          </rPr>
          <t>Crockett, Gloria:</t>
        </r>
        <r>
          <rPr>
            <sz val="9"/>
            <color indexed="81"/>
            <rFont val="Tahoma"/>
            <family val="2"/>
          </rPr>
          <t xml:space="preserve">
March to December</t>
        </r>
      </text>
    </comment>
    <comment ref="G120" authorId="0" shapeId="0" xr:uid="{00000000-0006-0000-0800-000010000000}">
      <text>
        <r>
          <rPr>
            <b/>
            <sz val="9"/>
            <color indexed="81"/>
            <rFont val="Tahoma"/>
            <family val="2"/>
          </rPr>
          <t>Crockett, Gloria:</t>
        </r>
        <r>
          <rPr>
            <sz val="9"/>
            <color indexed="81"/>
            <rFont val="Tahoma"/>
            <family val="2"/>
          </rPr>
          <t xml:space="preserve">
January to December</t>
        </r>
      </text>
    </comment>
    <comment ref="G121" authorId="0" shapeId="0" xr:uid="{00000000-0006-0000-0800-000011000000}">
      <text>
        <r>
          <rPr>
            <b/>
            <sz val="9"/>
            <color indexed="81"/>
            <rFont val="Tahoma"/>
            <family val="2"/>
          </rPr>
          <t>Crockett, Gloria:</t>
        </r>
        <r>
          <rPr>
            <sz val="9"/>
            <color indexed="81"/>
            <rFont val="Tahoma"/>
            <family val="2"/>
          </rPr>
          <t xml:space="preserve">
January to December</t>
        </r>
      </text>
    </comment>
    <comment ref="G123" authorId="0" shapeId="0" xr:uid="{00000000-0006-0000-0800-000012000000}">
      <text>
        <r>
          <rPr>
            <b/>
            <sz val="9"/>
            <color indexed="81"/>
            <rFont val="Tahoma"/>
            <family val="2"/>
          </rPr>
          <t>Crockett, Gloria:</t>
        </r>
        <r>
          <rPr>
            <sz val="9"/>
            <color indexed="81"/>
            <rFont val="Tahoma"/>
            <family val="2"/>
          </rPr>
          <t xml:space="preserve">
January &amp; February only</t>
        </r>
      </text>
    </comment>
    <comment ref="G125" authorId="0" shapeId="0" xr:uid="{00000000-0006-0000-0800-000013000000}">
      <text>
        <r>
          <rPr>
            <b/>
            <sz val="9"/>
            <color indexed="81"/>
            <rFont val="Tahoma"/>
            <family val="2"/>
          </rPr>
          <t>Crockett, Gloria:</t>
        </r>
        <r>
          <rPr>
            <sz val="9"/>
            <color indexed="81"/>
            <rFont val="Tahoma"/>
            <family val="2"/>
          </rPr>
          <t xml:space="preserve">
March to December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Crockett, Gloria</author>
  </authors>
  <commentList>
    <comment ref="C42" authorId="0" shapeId="0" xr:uid="{00000000-0006-0000-0900-000001000000}">
      <text>
        <r>
          <rPr>
            <b/>
            <sz val="9"/>
            <color indexed="81"/>
            <rFont val="Tahoma"/>
            <family val="2"/>
          </rPr>
          <t>Crockett, Gloria:</t>
        </r>
        <r>
          <rPr>
            <sz val="9"/>
            <color indexed="81"/>
            <rFont val="Tahoma"/>
            <family val="2"/>
          </rPr>
          <t xml:space="preserve">
Includes COVID
</t>
        </r>
      </text>
    </comment>
    <comment ref="A57" authorId="0" shapeId="0" xr:uid="{00000000-0006-0000-0900-000002000000}">
      <text>
        <r>
          <rPr>
            <b/>
            <sz val="9"/>
            <color indexed="81"/>
            <rFont val="Tahoma"/>
            <family val="2"/>
          </rPr>
          <t>Crockett, Gloria:</t>
        </r>
        <r>
          <rPr>
            <sz val="9"/>
            <color indexed="81"/>
            <rFont val="Tahoma"/>
            <family val="2"/>
          </rPr>
          <t xml:space="preserve">
GP Smartview for 8090 Depts 24, 30, 32, 34, 36 and took amount out of Schedule 8-1 Corporate Services and Support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Crockett, Gloria</author>
  </authors>
  <commentList>
    <comment ref="A1" authorId="0" shapeId="0" xr:uid="{00000000-0006-0000-0A00-000001000000}">
      <text>
        <r>
          <rPr>
            <b/>
            <sz val="9"/>
            <color indexed="81"/>
            <rFont val="Tahoma"/>
            <family val="2"/>
          </rPr>
          <t>Crockett, Gloria:</t>
        </r>
        <r>
          <rPr>
            <sz val="9"/>
            <color indexed="81"/>
            <rFont val="Tahoma"/>
            <family val="2"/>
          </rPr>
          <t xml:space="preserve">
Excludes Fortis Inc. Costs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Ferguson, Barb</author>
    <author>Crockett, Gloria</author>
  </authors>
  <commentList>
    <comment ref="C58" authorId="0" shapeId="0" xr:uid="{00000000-0006-0000-0E00-000001000000}">
      <text>
        <r>
          <rPr>
            <b/>
            <sz val="9"/>
            <color indexed="81"/>
            <rFont val="Tahoma"/>
            <family val="2"/>
          </rPr>
          <t>Ferguson, Barb:</t>
        </r>
        <r>
          <rPr>
            <sz val="9"/>
            <color indexed="81"/>
            <rFont val="Tahoma"/>
            <family val="2"/>
          </rPr>
          <t xml:space="preserve">
includes Rider Adj for Dec
</t>
        </r>
      </text>
    </comment>
    <comment ref="D60" authorId="0" shapeId="0" xr:uid="{00000000-0006-0000-0E00-000002000000}">
      <text>
        <r>
          <rPr>
            <b/>
            <sz val="9"/>
            <color indexed="81"/>
            <rFont val="Tahoma"/>
            <family val="2"/>
          </rPr>
          <t>Ferguson, Barb:</t>
        </r>
        <r>
          <rPr>
            <sz val="9"/>
            <color indexed="81"/>
            <rFont val="Tahoma"/>
            <family val="2"/>
          </rPr>
          <t xml:space="preserve">
Moved Lepreau Prorate to Dal &amp; Lepreau Accum Acct
 </t>
        </r>
      </text>
    </comment>
    <comment ref="A82" authorId="1" shapeId="0" xr:uid="{00000000-0006-0000-0E00-000003000000}">
      <text>
        <r>
          <rPr>
            <b/>
            <sz val="9"/>
            <color indexed="81"/>
            <rFont val="Tahoma"/>
            <family val="2"/>
          </rPr>
          <t>Crockett, Gloria:</t>
        </r>
        <r>
          <rPr>
            <sz val="9"/>
            <color indexed="81"/>
            <rFont val="Tahoma"/>
            <family val="2"/>
          </rPr>
          <t xml:space="preserve">
50% based on current rate rider prorated.</t>
        </r>
      </text>
    </comment>
  </commentList>
</comments>
</file>

<file path=xl/sharedStrings.xml><?xml version="1.0" encoding="utf-8"?>
<sst xmlns="http://schemas.openxmlformats.org/spreadsheetml/2006/main" count="1167" uniqueCount="635">
  <si>
    <t>CHECK TOTAL - DNT</t>
  </si>
  <si>
    <t>SCHEDULE 10-1</t>
  </si>
  <si>
    <t>Amortization</t>
  </si>
  <si>
    <t>RORA</t>
  </si>
  <si>
    <t>Interest</t>
  </si>
  <si>
    <t>Total</t>
  </si>
  <si>
    <t>2015 Actual</t>
  </si>
  <si>
    <t>2016 Forecast</t>
  </si>
  <si>
    <t>Energy Sales (GWh)</t>
  </si>
  <si>
    <t>Residential</t>
  </si>
  <si>
    <t>Large Industrial</t>
  </si>
  <si>
    <t>Small Industrial</t>
  </si>
  <si>
    <t>Street Lighing/Unmetered</t>
  </si>
  <si>
    <t>Total Energy Sales</t>
  </si>
  <si>
    <t>Growth Rate (%)</t>
  </si>
  <si>
    <t>Overall Growth Rate</t>
  </si>
  <si>
    <t>Energy Sales</t>
  </si>
  <si>
    <t>Net Purchased and Produced Energy (GWh)</t>
  </si>
  <si>
    <t>Point Lepreau</t>
  </si>
  <si>
    <t>EPA - Firm Energy Purchases</t>
  </si>
  <si>
    <t>EPA - System Energy Purchases</t>
  </si>
  <si>
    <t>Charlottetown Plant</t>
  </si>
  <si>
    <t>Combustine Turbine #3</t>
  </si>
  <si>
    <t>Borden-Carleton Plant</t>
  </si>
  <si>
    <t>Energy Control Centre Operations</t>
  </si>
  <si>
    <t>Ancillary Services</t>
  </si>
  <si>
    <t>Charlottetown Plant Operating Expenses ($)</t>
  </si>
  <si>
    <t>Description</t>
  </si>
  <si>
    <t>Buildings &amp; Services</t>
  </si>
  <si>
    <t>Plant Maintenance</t>
  </si>
  <si>
    <t>Plant Operating</t>
  </si>
  <si>
    <t>Superintendence</t>
  </si>
  <si>
    <t>Generation Fuel &amp; Plant Heating</t>
  </si>
  <si>
    <t>Combustine Turbine #3 Operating Expenses ($)</t>
  </si>
  <si>
    <t>Generation Fuel</t>
  </si>
  <si>
    <t>Borden-Carleton Plant Operating Expenses ($)</t>
  </si>
  <si>
    <t>Insurance</t>
  </si>
  <si>
    <t>Property Tax</t>
  </si>
  <si>
    <t>Professional Development &amp; Training</t>
  </si>
  <si>
    <t>Total Energy Page 3 of Forecast</t>
  </si>
  <si>
    <t>Substations</t>
  </si>
  <si>
    <t>Rights of Way</t>
  </si>
  <si>
    <t>Line Maintenance</t>
  </si>
  <si>
    <t>Line Control Devices</t>
  </si>
  <si>
    <t>Engineering</t>
  </si>
  <si>
    <t>Network Service</t>
  </si>
  <si>
    <t>Schedule 1</t>
  </si>
  <si>
    <t>Schedule 2</t>
  </si>
  <si>
    <t>Schedule 4</t>
  </si>
  <si>
    <t>OATT Operations</t>
  </si>
  <si>
    <t>Schedule 3C</t>
  </si>
  <si>
    <t>Schedule 10</t>
  </si>
  <si>
    <t>Schedule 9</t>
  </si>
  <si>
    <t>Transformers</t>
  </si>
  <si>
    <t>Meters</t>
  </si>
  <si>
    <t>Communications Systems</t>
  </si>
  <si>
    <t>Supervisory SCADA</t>
  </si>
  <si>
    <t>General and Administrative Expenses ($)</t>
  </si>
  <si>
    <t>Customer Service and Meter Reading</t>
  </si>
  <si>
    <t>Finance and Accounting</t>
  </si>
  <si>
    <t>Corporate Communications and Public Affairs</t>
  </si>
  <si>
    <t>Information Technology</t>
  </si>
  <si>
    <t>Regulation</t>
  </si>
  <si>
    <t>Directors' Fees</t>
  </si>
  <si>
    <t>General Property - Tax &amp; Maintenance</t>
  </si>
  <si>
    <t>Corporate Services and Support</t>
  </si>
  <si>
    <t>Debt</t>
  </si>
  <si>
    <t>Dividends ($)</t>
  </si>
  <si>
    <t>Regulated</t>
  </si>
  <si>
    <t>Non-regulated</t>
  </si>
  <si>
    <t>Issue Date</t>
  </si>
  <si>
    <t>* Forecast First Mortgage Bond Issue</t>
  </si>
  <si>
    <t>SCHEDULE 12-7</t>
  </si>
  <si>
    <t>Interest Coverage (Times)</t>
  </si>
  <si>
    <t>2014 Actual</t>
  </si>
  <si>
    <t>Generation</t>
  </si>
  <si>
    <t>General Expense Capitalized</t>
  </si>
  <si>
    <t>Corporate</t>
  </si>
  <si>
    <t>Transmission</t>
  </si>
  <si>
    <t>Distribution</t>
  </si>
  <si>
    <t>Sub-total</t>
  </si>
  <si>
    <t>Other Revenue($)</t>
  </si>
  <si>
    <t>Energy Supply Expenses - Other ($)</t>
  </si>
  <si>
    <t>Short Term Debt Charges</t>
  </si>
  <si>
    <t xml:space="preserve">Allowance for Funds </t>
  </si>
  <si>
    <t>Amortization of Financing Costs</t>
  </si>
  <si>
    <t>SCHEDULE 12-12</t>
  </si>
  <si>
    <t>Calculation of Rate Base ($)</t>
  </si>
  <si>
    <t>Components</t>
  </si>
  <si>
    <t>Fixed Assets</t>
  </si>
  <si>
    <t>Less: Capital Work in Progress</t>
  </si>
  <si>
    <t>Less: Accumilated Amortization</t>
  </si>
  <si>
    <t>Less: Contributions in Aid of Construction (net of amortization)</t>
  </si>
  <si>
    <t>Less (Add):  Future Income Tax Liability (Asset) - net of Long Term Receivable</t>
  </si>
  <si>
    <t>Add: Deferred Financing Costs</t>
  </si>
  <si>
    <t>Add: Intangible Assets</t>
  </si>
  <si>
    <t>Add: Deferred Demand Side Management Costs</t>
  </si>
  <si>
    <t>Less (Add): Regulatory Liability OPEB</t>
  </si>
  <si>
    <t>Plus: Working Capital Allowance Comprised of:</t>
  </si>
  <si>
    <t xml:space="preserve"> - Inventory</t>
  </si>
  <si>
    <t xml:space="preserve"> - Gross Operating Expenses X 3.6% (net of disallowed costs)</t>
  </si>
  <si>
    <t>Income Taxes Paid X 3.6%</t>
  </si>
  <si>
    <t>Total Rate Base</t>
  </si>
  <si>
    <t>Average Rate Base</t>
  </si>
  <si>
    <t>Calculation of Return on Average Rate Base ($) &amp; (%)</t>
  </si>
  <si>
    <t>Total Revenue</t>
  </si>
  <si>
    <t>Income Taxes</t>
  </si>
  <si>
    <t>Earnings on Average Rate Base (interest expense excluded)</t>
  </si>
  <si>
    <t>Rate Base - Year End Average</t>
  </si>
  <si>
    <t>Actual/Requested Return on Average Rate Base (for rate making purposes)</t>
  </si>
  <si>
    <t>OATT</t>
  </si>
  <si>
    <t>Schedule 7</t>
  </si>
  <si>
    <t>Schedule 8</t>
  </si>
  <si>
    <t>Late Payment Charges</t>
  </si>
  <si>
    <t>Connection Fees</t>
  </si>
  <si>
    <t>Miscellaneous Revenue</t>
  </si>
  <si>
    <t xml:space="preserve">  Sub-total</t>
  </si>
  <si>
    <t>Total Other Revenue</t>
  </si>
  <si>
    <t>Other</t>
  </si>
  <si>
    <t>Energy Sales by Class (Existing Basic Rates)</t>
  </si>
  <si>
    <t>Energy by Class - (GWh)</t>
  </si>
  <si>
    <t>Street Lighting</t>
  </si>
  <si>
    <t>Unmetered</t>
  </si>
  <si>
    <t>Gross Revenue by Class - ($)</t>
  </si>
  <si>
    <t>Total Gross Electric Revenue</t>
  </si>
  <si>
    <t>Rate of Return Adjustment</t>
  </si>
  <si>
    <t>Service Charge</t>
  </si>
  <si>
    <t>Basic Energy Charge</t>
  </si>
  <si>
    <t>ECAM Charge</t>
  </si>
  <si>
    <t>Provincial Costs Recoverable</t>
  </si>
  <si>
    <t>Cable Contingency Fund</t>
  </si>
  <si>
    <t>HST</t>
  </si>
  <si>
    <t>Total Annual Cost</t>
  </si>
  <si>
    <t>Percentage Annual Increase (%)</t>
  </si>
  <si>
    <t xml:space="preserve"> Energy Charge - 1st Block</t>
  </si>
  <si>
    <t xml:space="preserve"> Energy Charge - 2nd Block</t>
  </si>
  <si>
    <t xml:space="preserve"> ECAM Charge</t>
  </si>
  <si>
    <t xml:space="preserve"> Provincial Costs Recoverable</t>
  </si>
  <si>
    <t xml:space="preserve"> Cable Contingency Fund</t>
  </si>
  <si>
    <t xml:space="preserve"> RORA</t>
  </si>
  <si>
    <t>Demand Charge - 1st Block</t>
  </si>
  <si>
    <t>Demand Charge - 2nd Block</t>
  </si>
  <si>
    <t>General Service   - 10,000kWh/50kW - Monthly</t>
  </si>
  <si>
    <t>Demand Charge</t>
  </si>
  <si>
    <t>Total Monthly Cost</t>
  </si>
  <si>
    <t>% Increase (Decrease)</t>
  </si>
  <si>
    <t>Annual Cost for General Service Customer</t>
  </si>
  <si>
    <t>(10,000kWh/50KW per Month / 120,000 kWh/600KW per Year)</t>
  </si>
  <si>
    <t>Annual Cost $</t>
  </si>
  <si>
    <t>Percentage Annual Increase (Decrease) (%)</t>
  </si>
  <si>
    <t>2017Actual</t>
  </si>
  <si>
    <t>2018 Actual</t>
  </si>
  <si>
    <t>Energy Sales by Class (Proposed Basic Rates)</t>
  </si>
  <si>
    <t>Schedule 8-3</t>
  </si>
  <si>
    <t>Schedule 8-8</t>
  </si>
  <si>
    <t>Reconciliation to forecast energy DNT</t>
  </si>
  <si>
    <t>Check Total DNT</t>
  </si>
  <si>
    <t>SCHEDULE 16-3</t>
  </si>
  <si>
    <t>(1,000kWh/20KW per Month / 12,000 kWh/240KW per Year)</t>
  </si>
  <si>
    <t>Amortization Expense for Fixed Assets ($)</t>
  </si>
  <si>
    <t>Check Totals</t>
  </si>
  <si>
    <t>2015 DNT</t>
  </si>
  <si>
    <t>Equity*</t>
  </si>
  <si>
    <t>*  Contains non-regulated equity of 0.08 percent in 2017.</t>
  </si>
  <si>
    <t>Less:  Employee Future Benefits Liability</t>
  </si>
  <si>
    <t>SCHEDULE 10-2</t>
  </si>
  <si>
    <t>Employee Future Benefit Costs</t>
  </si>
  <si>
    <t>Employee Training</t>
  </si>
  <si>
    <t>Human Resources</t>
  </si>
  <si>
    <t>Legal</t>
  </si>
  <si>
    <t>Corporate Services</t>
  </si>
  <si>
    <t>Health Safety &amp; Environment</t>
  </si>
  <si>
    <t>Internal Audit</t>
  </si>
  <si>
    <t>System Planning &amp; Engineering</t>
  </si>
  <si>
    <t>Amortization of Debt Issue Costs</t>
  </si>
  <si>
    <t>Deferred Costs</t>
  </si>
  <si>
    <t>SCHEDULE 14-6</t>
  </si>
  <si>
    <t>SCHEDULE 14-7</t>
  </si>
  <si>
    <t>Provincial Energy Efficiency Program</t>
  </si>
  <si>
    <t>Add: Reg Asset - CTGS Accumilated Reserve Variance</t>
  </si>
  <si>
    <t>January 2020 Update</t>
  </si>
  <si>
    <t>Add: Regulatory Asset - Storm Deferral</t>
  </si>
  <si>
    <t xml:space="preserve">    Before Tax</t>
  </si>
  <si>
    <t xml:space="preserve">      After Tax</t>
  </si>
  <si>
    <t>Wind &amp; Other Renewables</t>
  </si>
  <si>
    <t>2020 Revenue Deferral Amortization</t>
  </si>
  <si>
    <t>*  Effective July 16, 2018 on first 2,000 kWh of consumption</t>
  </si>
  <si>
    <t>Residential - First Block</t>
  </si>
  <si>
    <t>Residential - Second Block</t>
  </si>
  <si>
    <t>General Service - First Block</t>
  </si>
  <si>
    <t>General Service - Second Block</t>
  </si>
  <si>
    <t>Small Industrial - First Block</t>
  </si>
  <si>
    <t>Small Industrial - Second Block</t>
  </si>
  <si>
    <t>ECAM Charge per kWh</t>
  </si>
  <si>
    <t>Provincial Costs Recoverable per kWh</t>
  </si>
  <si>
    <t>Provincial Energy Efficiency Program per kWh</t>
  </si>
  <si>
    <t>Cable Contingency Fund per kWh</t>
  </si>
  <si>
    <t xml:space="preserve">  Total Energy Charge per kWh Other Amounts</t>
  </si>
  <si>
    <t>A</t>
  </si>
  <si>
    <t>B</t>
  </si>
  <si>
    <t>D</t>
  </si>
  <si>
    <t>F</t>
  </si>
  <si>
    <t>C = A + B</t>
  </si>
  <si>
    <t>Gross Energy Costs</t>
  </si>
  <si>
    <t>Energy Costs Deferred</t>
  </si>
  <si>
    <t>ECAM Collected</t>
  </si>
  <si>
    <t>RORA/2020 Revenue Deferral Refund per kWh</t>
  </si>
  <si>
    <t>Distribution Expenses</t>
  </si>
  <si>
    <t>Transmission Expenses</t>
  </si>
  <si>
    <t>T &amp; D Other</t>
  </si>
  <si>
    <t>General Expenses</t>
  </si>
  <si>
    <t>$</t>
  </si>
  <si>
    <t>%</t>
  </si>
  <si>
    <t>Revenue Requirement</t>
  </si>
  <si>
    <t>ROE</t>
  </si>
  <si>
    <t>Tax</t>
  </si>
  <si>
    <t>Revenue to Be Recovered Through  Basic Rates</t>
  </si>
  <si>
    <t>Total Energy Costs Collected Through Basic Rates</t>
  </si>
  <si>
    <t>Average Increase per Customer</t>
  </si>
  <si>
    <t>Cumulative</t>
  </si>
  <si>
    <t>Average</t>
  </si>
  <si>
    <t>Other Amounts</t>
  </si>
  <si>
    <t>Total Total Collections from Customers</t>
  </si>
  <si>
    <t>Lepreau/Dal Debt Recovery PEIECC</t>
  </si>
  <si>
    <t>Efficiency PEI DSM</t>
  </si>
  <si>
    <t>Other Revenue</t>
  </si>
  <si>
    <t>March 1 to February 28</t>
  </si>
  <si>
    <t>PEI-NB Cable Interconnection</t>
  </si>
  <si>
    <t>PEI Energy Corporation Debt Repayment</t>
  </si>
  <si>
    <t>NB Facilities Rental &amp; Transmission Services</t>
  </si>
  <si>
    <t>Less (Add): Regulatory Liability (Asset) - As Established by Commission Order WNRA</t>
  </si>
  <si>
    <t>Check total - DNT</t>
  </si>
  <si>
    <t>rounding adjustments</t>
  </si>
  <si>
    <t>Finance Charges</t>
  </si>
  <si>
    <t>Depreciation</t>
  </si>
  <si>
    <t xml:space="preserve">Energy-Related Costs </t>
  </si>
  <si>
    <t>Operating Costs</t>
  </si>
  <si>
    <t>Return</t>
  </si>
  <si>
    <t>Add:  Deferred Charge (Section 47(4)(a)(ii) of the EPA) Lepreau Writedown</t>
  </si>
  <si>
    <t>Depreciation (excludes amortization of contributions)</t>
  </si>
  <si>
    <t>Retirement Expense</t>
  </si>
  <si>
    <t>Contributions</t>
  </si>
  <si>
    <t>Additions</t>
  </si>
  <si>
    <t>Opening Balance, January 1</t>
  </si>
  <si>
    <t>Closing Balance, December 31</t>
  </si>
  <si>
    <t>Capital Additions, net of change in WIP</t>
  </si>
  <si>
    <t>Total Depreciation Expense per IS (excludes CTGS amortization)</t>
  </si>
  <si>
    <t>Cumulative Change over 2022 Rates</t>
  </si>
  <si>
    <t>Proposed</t>
  </si>
  <si>
    <t>Approved</t>
  </si>
  <si>
    <t>Provincial Clean Energy Rebate</t>
  </si>
  <si>
    <t>General Service</t>
  </si>
  <si>
    <t xml:space="preserve"> Other Energy Operating Costs</t>
  </si>
  <si>
    <t>Approved Adjustments to ECAM*</t>
  </si>
  <si>
    <t>Total ECAM Collected - January 1 to February 28</t>
  </si>
  <si>
    <t>Forecast Sales in kWh (March 1 - December 31]</t>
  </si>
  <si>
    <t>Total ECAM Collected - March 1 to December 31</t>
  </si>
  <si>
    <t>Collection Rate - March 1 to December 31</t>
  </si>
  <si>
    <t>Forecast NPP in kWh (March 1 - December 31]</t>
  </si>
  <si>
    <t>ECAM Base Rate - March 1 to December 31</t>
  </si>
  <si>
    <t>Base Energy Costs Included in Revenue Requirement - January 1 to February 28</t>
  </si>
  <si>
    <t>Base Energy Costs Included in Revenue Requirement - March 1 to December 31</t>
  </si>
  <si>
    <t>Total ECAM Collected - January 1 to December 31</t>
  </si>
  <si>
    <t>Total Base Energy Costs Included in Revenue Requirement - January 1 to December 31</t>
  </si>
  <si>
    <t>G</t>
  </si>
  <si>
    <t>ECAM Account Opening Balance January 1</t>
  </si>
  <si>
    <t>ECAM Closing Balance December 31</t>
  </si>
  <si>
    <t>Annual ECAM Collected thru Rate Adjustment</t>
  </si>
  <si>
    <t>Net Energy Costs (Deferred) Collected</t>
  </si>
  <si>
    <t>Annual Energy Costs included in Basic Rates and ECAM Deferral</t>
  </si>
  <si>
    <t>Base ECAM Energy Costs Included in Annual Revenue Requirement</t>
  </si>
  <si>
    <t>L = K - A</t>
  </si>
  <si>
    <t>Energy Costs Attributable to ECAM</t>
  </si>
  <si>
    <t>Annual Deferral to (from) ECAM</t>
  </si>
  <si>
    <t>E = C - D</t>
  </si>
  <si>
    <t>J = E - F + G</t>
  </si>
  <si>
    <t>Total Energy Collected thru Revenue Requirement &amp; ECAM Collection</t>
  </si>
  <si>
    <t>NPP in kWh (January 1 - February 28]</t>
  </si>
  <si>
    <t>ECAM Base Rate - January 1 to February 28</t>
  </si>
  <si>
    <t>Sales in kWh (January 1 - February 28]</t>
  </si>
  <si>
    <t>Collection Rate - January 1 to February 28</t>
  </si>
  <si>
    <t>Total Energy Supply Costs by Source ($)</t>
  </si>
  <si>
    <t>K = F + D - B</t>
  </si>
  <si>
    <t>TABLE 3-1</t>
  </si>
  <si>
    <t>Total Energy Charge ($/kWh, except %)</t>
  </si>
  <si>
    <t>Effective March 1</t>
  </si>
  <si>
    <t>Rate Class</t>
  </si>
  <si>
    <t>Cumulative Variance over 2022 Rates</t>
  </si>
  <si>
    <t>Average Annual Variance</t>
  </si>
  <si>
    <t>TABLE 3-2</t>
  </si>
  <si>
    <t>Annual Cost for Select Benchmark Customers</t>
  </si>
  <si>
    <t>2022/2023</t>
  </si>
  <si>
    <t>2023/2024</t>
  </si>
  <si>
    <t>2024/2025</t>
  </si>
  <si>
    <t>2025/2026</t>
  </si>
  <si>
    <t xml:space="preserve">Rural Residential[1] </t>
  </si>
  <si>
    <t>Annual Increase</t>
  </si>
  <si>
    <t>2.0%[2]</t>
  </si>
  <si>
    <t xml:space="preserve">Urban Residential[3] </t>
  </si>
  <si>
    <r>
      <t>2.0%</t>
    </r>
    <r>
      <rPr>
        <vertAlign val="superscript"/>
        <sz val="10"/>
        <color rgb="FF000000"/>
        <rFont val="Arial"/>
        <family val="2"/>
      </rPr>
      <t>8</t>
    </r>
  </si>
  <si>
    <t xml:space="preserve">General Service[4] </t>
  </si>
  <si>
    <t xml:space="preserve">[1] </t>
  </si>
  <si>
    <t>Based on a benchmark energy consumption of 650 kWh per month or 7,800 kWh per year.</t>
  </si>
  <si>
    <t xml:space="preserve">[2] </t>
  </si>
  <si>
    <t>Rate increase approved per Order UE22-01.</t>
  </si>
  <si>
    <t xml:space="preserve">[3] </t>
  </si>
  <si>
    <t xml:space="preserve">[4] </t>
  </si>
  <si>
    <t>Based on a benchmark energy consumption of 10,000 kWh and 50 KW per month or 120,000 kWh and 600 KW per year.</t>
  </si>
  <si>
    <t>Table 4-4</t>
  </si>
  <si>
    <t xml:space="preserve">  Space heating load</t>
  </si>
  <si>
    <t xml:space="preserve">  Non-space heating load</t>
  </si>
  <si>
    <t xml:space="preserve">  Subtotal</t>
  </si>
  <si>
    <t>TABLE 4-5</t>
  </si>
  <si>
    <t>Operating Costs ($000)</t>
  </si>
  <si>
    <t>Actual</t>
  </si>
  <si>
    <t>Forecast</t>
  </si>
  <si>
    <t>Transmission and Distribution</t>
  </si>
  <si>
    <t>General and Administrative</t>
  </si>
  <si>
    <t>TABLE 4-6</t>
  </si>
  <si>
    <t>Capital Expenditure by Asset Class ($000)</t>
  </si>
  <si>
    <t>Actual[1]</t>
  </si>
  <si>
    <t>Actual[2]</t>
  </si>
  <si>
    <t>Actual[3]</t>
  </si>
  <si>
    <t>Subtotal</t>
  </si>
  <si>
    <t>Interest During Construction</t>
  </si>
  <si>
    <t>Prior Year Carryovers[4]</t>
  </si>
  <si>
    <t>The Company’s 2019 Capital Budget Application was approved in Order UE18-09, and the 2019 Capital Forecast Variance Report was approved in Order UE21-02.</t>
  </si>
  <si>
    <t>The Company’s 2020 Capital Budget Application was approved in Orders UE19-09 and UE20-02, and the 2020 Capital Forecast Variance Report was approved in Order UE21-16.</t>
  </si>
  <si>
    <t>The Company’s 2021 Capital Budget Application was approved in Order UE21-16, and the 2021 Capital Forecast Variance Report was approved in Order UE22-02.</t>
  </si>
  <si>
    <t>[4]</t>
  </si>
  <si>
    <t>The total carryovers for 2022 includes the budget to construct a new building to house equipment related to combustion turbine #3 at the CTGS submitted to the Commission for approval in a Supplemental Capital Budget Request for $4.168 million on June 7, 2021 and approved by the Commission on May 13, 2022 in Order UE22-03.</t>
  </si>
  <si>
    <t>Energy Supply Cost by Source ($)</t>
  </si>
  <si>
    <t>Ancillary and Other Services</t>
  </si>
  <si>
    <t>TABLE 5-5</t>
  </si>
  <si>
    <t>TABLE 5-6</t>
  </si>
  <si>
    <t>TABLE 5-7</t>
  </si>
  <si>
    <t>TABLE 5-8</t>
  </si>
  <si>
    <t>TABLE 5-10</t>
  </si>
  <si>
    <t>Transmission  and Distribution Costs ($)</t>
  </si>
  <si>
    <t>Transmission Costs ($)</t>
  </si>
  <si>
    <t>OATT Costs ($)</t>
  </si>
  <si>
    <t>Distribution Costs ($)</t>
  </si>
  <si>
    <t>Transmission &amp; Distribution Costs - Other ($)</t>
  </si>
  <si>
    <t>TABLE 5-1</t>
  </si>
  <si>
    <t>TABLE 5-9</t>
  </si>
  <si>
    <t>TABLE 5-11</t>
  </si>
  <si>
    <t>OATT Revenue</t>
  </si>
  <si>
    <t>Weather Normalization Reserve</t>
  </si>
  <si>
    <t>2020 Revenue Shortfall</t>
  </si>
  <si>
    <t>TABLE 5-11 Details</t>
  </si>
  <si>
    <t xml:space="preserve"> Weather Normalization</t>
  </si>
  <si>
    <t>TABLE 5-12</t>
  </si>
  <si>
    <t xml:space="preserve"> Fixed Assets</t>
  </si>
  <si>
    <t>CTGS Reserve Variance</t>
  </si>
  <si>
    <t>Point Lepreau Writedown</t>
  </si>
  <si>
    <t>Depreciation and Amortization</t>
  </si>
  <si>
    <t>TOTAL</t>
  </si>
  <si>
    <t>Provincial Debt Repayment - Under Collection</t>
  </si>
  <si>
    <t>DSM Program</t>
  </si>
  <si>
    <t>Long-Term Debt Interest</t>
  </si>
  <si>
    <t>Table 5-15</t>
  </si>
  <si>
    <t>Table 5-14</t>
  </si>
  <si>
    <t>Long Term Debt Charges</t>
  </si>
  <si>
    <t xml:space="preserve">  TOTAL</t>
  </si>
  <si>
    <t>1996 - $20M - 8.92%</t>
  </si>
  <si>
    <t>1997 - $15M - 8.625%</t>
  </si>
  <si>
    <t>2000 - $15M - 7.57%</t>
  </si>
  <si>
    <t>2008 - $60M - 6.054%</t>
  </si>
  <si>
    <t>2011 - $30M - 4.915%</t>
  </si>
  <si>
    <t>2016 - $40M - 3.657%</t>
  </si>
  <si>
    <t>2018 - $40M - 4.148%</t>
  </si>
  <si>
    <t>2021 - $40M - 3.45%</t>
  </si>
  <si>
    <t>2024* - $30M - 3.58%</t>
  </si>
  <si>
    <t>2025* - $40M - 3.58%</t>
  </si>
  <si>
    <t>Debt Issue Date</t>
  </si>
  <si>
    <t>TABLE NOT USED IN APPLICATION - SUPPORTING INFORMATION ONLY</t>
  </si>
  <si>
    <t>Table 5-16</t>
  </si>
  <si>
    <t>Effective Income Tax Rate (%)</t>
  </si>
  <si>
    <t>ROE %</t>
  </si>
  <si>
    <t>Table 5-17</t>
  </si>
  <si>
    <t>SCHEDULE 5-20</t>
  </si>
  <si>
    <t>TABLE 5-23</t>
  </si>
  <si>
    <t>Regulated Average Capital Structure (%)</t>
  </si>
  <si>
    <t>TABLE 6-2</t>
  </si>
  <si>
    <t>Energy Supply Costs</t>
  </si>
  <si>
    <t>ECAM Deferral Adjustment</t>
  </si>
  <si>
    <t>TABLE 6-1</t>
  </si>
  <si>
    <t>Rate Base and Revenue Requirement</t>
  </si>
  <si>
    <t>Return on Average Rate Base</t>
  </si>
  <si>
    <t xml:space="preserve">  Subtotal - Fixed Assets</t>
  </si>
  <si>
    <t>Add::  Costs Payble to (Recoverable from) Customers Post 2003</t>
  </si>
  <si>
    <t>Annual and Average Rate Base ($000, except %)</t>
  </si>
  <si>
    <t>Additions to Rate Base:</t>
  </si>
  <si>
    <t>ECAM – post 2003</t>
  </si>
  <si>
    <t>Intangible Assets</t>
  </si>
  <si>
    <t xml:space="preserve">Other Post-Employment Benefits </t>
  </si>
  <si>
    <t xml:space="preserve">Deferred Charges </t>
  </si>
  <si>
    <t>Deferred Financing</t>
  </si>
  <si>
    <t>Subtotal of Additions to Rate Base</t>
  </si>
  <si>
    <t>Future Income Tax</t>
  </si>
  <si>
    <t>Employee Future Benefits</t>
  </si>
  <si>
    <t>Subtotal of Deductions from Rate Base</t>
  </si>
  <si>
    <t>Working Capital:</t>
  </si>
  <si>
    <t>Inventory</t>
  </si>
  <si>
    <t>Operating Expenses[1] x 3.6%</t>
  </si>
  <si>
    <t>Income Taxes Paid x 3.6%</t>
  </si>
  <si>
    <t>Subtotal of Working Capital</t>
  </si>
  <si>
    <t>Annual Rate Base</t>
  </si>
  <si>
    <t xml:space="preserve">Average Rate Base </t>
  </si>
  <si>
    <t>Year over Year Variance[2]</t>
  </si>
  <si>
    <t>[1]</t>
  </si>
  <si>
    <t>Excludes non-regulated expenses.</t>
  </si>
  <si>
    <t>2023 forecast variance over 2022 forecast based on a 2022 forecast average rate base of $446,586,000.</t>
  </si>
  <si>
    <t>TABLE 6-3</t>
  </si>
  <si>
    <t>Fixed Assets ($000)</t>
  </si>
  <si>
    <t>Opening balance</t>
  </si>
  <si>
    <t>Depreciation expense</t>
  </si>
  <si>
    <t>Retirement expense</t>
  </si>
  <si>
    <t>Ending balance</t>
  </si>
  <si>
    <t>TABLE 6-6</t>
  </si>
  <si>
    <t>Contributionss ($000)</t>
  </si>
  <si>
    <t>[5]</t>
  </si>
  <si>
    <t>Carryovers to the Following Year [5]</t>
  </si>
  <si>
    <t>It is expected that supply chain issues related to the ongoing COVID-19 pandemic may take several years to fully resolve and carryovers to future years will gradually reduce over the rate setting period.</t>
  </si>
  <si>
    <t>TABLE 6-5</t>
  </si>
  <si>
    <t>Revenue Requirement ($000, except %)</t>
  </si>
  <si>
    <t>Reference</t>
  </si>
  <si>
    <t>Section 5.1.1, Table 5-3</t>
  </si>
  <si>
    <t>Section 5.3.1, Table 5-29</t>
  </si>
  <si>
    <t>Section 5.1.2, Table 5-5</t>
  </si>
  <si>
    <t>Section 5.1.3, Table 5-10</t>
  </si>
  <si>
    <t>Section 5.1.5, Table 5-12</t>
  </si>
  <si>
    <t>Section 5.1.6, Table 5-14</t>
  </si>
  <si>
    <t>Section 5.1.7, Table 5-16</t>
  </si>
  <si>
    <t>Section 5.1.8, Table 5-17</t>
  </si>
  <si>
    <t>Total Revenue Requirement</t>
  </si>
  <si>
    <t>Section 5.1.4, Table 5-11</t>
  </si>
  <si>
    <t>Revenue Requirement from Basic Rates</t>
  </si>
  <si>
    <t>Year Over Year Variance[1]</t>
  </si>
  <si>
    <t>2023 increase over 2022 based on forecast 2022 revenue requirement from basic rates of $222,717,000.</t>
  </si>
  <si>
    <t>Revenue Requirement by Customer Class ($000)</t>
  </si>
  <si>
    <t>Total Revenue Requirement from Basic Rates</t>
  </si>
  <si>
    <t>TABLE 6-7</t>
  </si>
  <si>
    <t>Return on Average Rate Base ($000, except %)</t>
  </si>
  <si>
    <t>Section 6.3.1, Table 6-6</t>
  </si>
  <si>
    <t>Section 5.1.6, Table 5-14,</t>
  </si>
  <si>
    <t>Total Earnings on Rate Base</t>
  </si>
  <si>
    <t>Section 6-2, Table 6-2</t>
  </si>
  <si>
    <t>n/a</t>
  </si>
  <si>
    <t>Table 7-1</t>
  </si>
  <si>
    <t>Table 7-2</t>
  </si>
  <si>
    <t>Table 7-3</t>
  </si>
  <si>
    <t>Table 7-4</t>
  </si>
  <si>
    <t>Table 7-5</t>
  </si>
  <si>
    <t>Table 7-6</t>
  </si>
  <si>
    <t>Annual Cost for Benchmark Rural Residential Customer (650kWh per Month/7,800 kWh per Year)</t>
  </si>
  <si>
    <t>Annual Cost for Benchmark Urban Residential Customer (650kWh per Month/7,800 kWh per Year)</t>
  </si>
  <si>
    <t>Annual Cost for Benchmark General Service Customer</t>
  </si>
  <si>
    <t>TABLE 5-24</t>
  </si>
  <si>
    <t>Energy Costs Deferred to ECAM</t>
  </si>
  <si>
    <t>January 1 to December 31, 2022</t>
  </si>
  <si>
    <t>ECAM Base Rate ($/kWh)</t>
  </si>
  <si>
    <t>C = A X B</t>
  </si>
  <si>
    <t>2022 Energy Costs Deferred to ECAM ($)</t>
  </si>
  <si>
    <t>E = D - C</t>
  </si>
  <si>
    <t>Total Base Energy Costs Recovered Thru Basic Rates ($, rounded)</t>
  </si>
  <si>
    <t>TABLE 5-25</t>
  </si>
  <si>
    <t>Proposed ECAM Rate Adjustment to Customers' Bills</t>
  </si>
  <si>
    <t>Effective March 1, 2023 to February 29, 2024</t>
  </si>
  <si>
    <t>Forecast ECAM Balance, December 31, 2022[1] ($)</t>
  </si>
  <si>
    <t>Forecast Sales - March 1, 2022 to February 28, 2023 (kWh)</t>
  </si>
  <si>
    <t>Proposed March 1, 2023 ECAM Rate Adjustment ($)</t>
  </si>
  <si>
    <t>C = A/B</t>
  </si>
  <si>
    <t>[1] As per the terms of the ECAM, the ECAM Rate Adjustment is calculated based on the ECAM balance two months prior. The ECAM balance at December 31, 2022 includes an uncollected balance of $1.0 million related to 2021 ECAM transactions and the $5.8 million from Table 5-26.</t>
  </si>
  <si>
    <t>TABLE 5-26</t>
  </si>
  <si>
    <t>ECAM Base Rate Effective March 1 - Scenario 1</t>
  </si>
  <si>
    <t>($000, except GWh and $/kWh)</t>
  </si>
  <si>
    <t>ECAM Components:</t>
  </si>
  <si>
    <t>Point Lepreau Energy</t>
  </si>
  <si>
    <t>Renewable Energy</t>
  </si>
  <si>
    <t>Purchased Energy and Transmission from NB Power</t>
  </si>
  <si>
    <t>Generation Operating Costs</t>
  </si>
  <si>
    <t>Generation Fuel Costs</t>
  </si>
  <si>
    <t>ECC Costs</t>
  </si>
  <si>
    <t>Interconnection Costs</t>
  </si>
  <si>
    <t>Provincial Debt Repayment Costs</t>
  </si>
  <si>
    <t>Subtotal – Gross Energy Supply Costs</t>
  </si>
  <si>
    <t xml:space="preserve">Less: UE21-05 Costs Excluded from ECAM </t>
  </si>
  <si>
    <t>Energy Supply Costs Attributable to ECAM</t>
  </si>
  <si>
    <t>Net Purchased and Produced (GWh)</t>
  </si>
  <si>
    <t>TABLE 5-27</t>
  </si>
  <si>
    <t>ECAM Base Rate Effective March 1 ($/kWh)</t>
  </si>
  <si>
    <t>Scenario 2</t>
  </si>
  <si>
    <t>ECAM Base Rate</t>
  </si>
  <si>
    <t>C from Table 5-26</t>
  </si>
  <si>
    <t>-</t>
  </si>
  <si>
    <t>E = C + D</t>
  </si>
  <si>
    <t>Adjustment to Stabilize Rates</t>
  </si>
  <si>
    <t>TABLE 5-28</t>
  </si>
  <si>
    <t>Proposed ECAM Rate Adjustment to Customers' Bills Effective March 1</t>
  </si>
  <si>
    <t>Forecast ECAM Balance, December 31 of Prior Year ($000)</t>
  </si>
  <si>
    <t>Forecast Sales - March 1 to February 28 (GWh)</t>
  </si>
  <si>
    <t>Proposed March 1 ECAM Rate Adjustment -$/kWh (rounded)</t>
  </si>
  <si>
    <t>Forecast Sales - March 1, 2023 to February 28, 2024 (kWh)</t>
  </si>
  <si>
    <t>December 31, 2022 Balance</t>
  </si>
  <si>
    <t>H = F + G</t>
  </si>
  <si>
    <t>TOTAL RORA as of February 28, 2023</t>
  </si>
  <si>
    <t>Interest Accrued to Customers - January 1 - February 28, 2023</t>
  </si>
  <si>
    <t>Refunded to Customers - January 1 - February 28, 2023</t>
  </si>
  <si>
    <t>E = A + B + C + D</t>
  </si>
  <si>
    <t>Total RORA as of December 31, 2022</t>
  </si>
  <si>
    <t>Forecast 2022 RORA Accrual to Customers</t>
  </si>
  <si>
    <t>C</t>
  </si>
  <si>
    <t>Interest Accrued to Customers - January 1 - December 31, 2022</t>
  </si>
  <si>
    <t>Closing</t>
  </si>
  <si>
    <t>Refunded</t>
  </si>
  <si>
    <t>kWh Sales</t>
  </si>
  <si>
    <t>Opening Balance</t>
  </si>
  <si>
    <t>Refunded to Customers - January 1 - December 31, 2022</t>
  </si>
  <si>
    <t>Balance in RORA December 31, 2021</t>
  </si>
  <si>
    <t>Summary of 2022 RORA Account Forecast</t>
  </si>
  <si>
    <t>Approved Refund Rate</t>
  </si>
  <si>
    <t>Table 5-31</t>
  </si>
  <si>
    <t>January 1 2022 to February 28, 2023 Forecast</t>
  </si>
  <si>
    <t>F = D + E</t>
  </si>
  <si>
    <t>Total RORA as of December 31, 2021</t>
  </si>
  <si>
    <t>E</t>
  </si>
  <si>
    <t>2021 RORA Accrued to Customers</t>
  </si>
  <si>
    <t>D = A + B + C</t>
  </si>
  <si>
    <t>Balance of pre-2021 RORA</t>
  </si>
  <si>
    <t>Interest Accrued to Customers - January 1 - December 31, 2021</t>
  </si>
  <si>
    <t>Refunded to Customers - January 1 - December 31, 2021</t>
  </si>
  <si>
    <t>Balance in RORA December 31, 2020</t>
  </si>
  <si>
    <t>Summary of 2021 RORA Account Transactions</t>
  </si>
  <si>
    <t>Table 5-30</t>
  </si>
  <si>
    <t>Interest Rate</t>
  </si>
  <si>
    <t>RORA Account – 2021 Transactions ($000)</t>
  </si>
  <si>
    <t>RORA Account – 2022 Forecast Transactions ($000)</t>
  </si>
  <si>
    <t>This is a summary of 2021 GL transactions only.</t>
  </si>
  <si>
    <t>2020 Revenue Shortfall Collections Set Aside for Customers in 2022</t>
  </si>
  <si>
    <t>Monthly Amortization</t>
  </si>
  <si>
    <t># Months - March 1, 2022 to February 28, 2023</t>
  </si>
  <si>
    <t>2021 True-up Adjustments</t>
  </si>
  <si>
    <t>Forecast RORA, February 28, 2023</t>
  </si>
  <si>
    <t>Forecast 2020 Revenue Shortfall, February 28, 2023</t>
  </si>
  <si>
    <t xml:space="preserve">Proposed Revenue Shortfall Refund per kWh to be applied to Customers' Bills </t>
  </si>
  <si>
    <t>Effective March 1, 2023 to February 28, 2024</t>
  </si>
  <si>
    <t>Forecast Revenue Shortfall Balance, February 28, 2023 ($)</t>
  </si>
  <si>
    <t>Proposed March 1, 2023 Refund ($/kWh)</t>
  </si>
  <si>
    <t>Collections</t>
  </si>
  <si>
    <t>Remitted to PEIEC</t>
  </si>
  <si>
    <t>Balance Under (Over) Collected</t>
  </si>
  <si>
    <t>Maritime Electric Company, Limited</t>
  </si>
  <si>
    <t>Dalhousie &amp; Lepreau Recovery Ryder #4372</t>
  </si>
  <si>
    <t>January 1, 2020 to March 1, 2023</t>
  </si>
  <si>
    <t>2021 Monthly Accrual</t>
  </si>
  <si>
    <t>Prorate Ryders</t>
  </si>
  <si>
    <t>Ryder Payments</t>
  </si>
  <si>
    <t>Collection Period - January to December</t>
  </si>
  <si>
    <t>Dalhousie and Lepreau Debt Repayment Balance</t>
  </si>
  <si>
    <t>TABLE 5-34</t>
  </si>
  <si>
    <t xml:space="preserve">Proposed EE&amp;C Plan Collections </t>
  </si>
  <si>
    <t xml:space="preserve">March 1, 2023 to February 29, 2024 </t>
  </si>
  <si>
    <t>Approved Rate Rider ($/kWh)</t>
  </si>
  <si>
    <t>Forecast Collections - March 1, 2022 to February 28, 2023 ($000)</t>
  </si>
  <si>
    <t>C = A x B</t>
  </si>
  <si>
    <t>Forecast Over Collection, March 1, 2022 to February 28, 2023 ($000)</t>
  </si>
  <si>
    <t>Proposed Funding Required for PEIEC EE&amp;C Plan ($000) *</t>
  </si>
  <si>
    <t>Proposed EE&amp;C Plan Collection Requirements and Rate Rider</t>
  </si>
  <si>
    <t>2023/24</t>
  </si>
  <si>
    <t>2024/25</t>
  </si>
  <si>
    <t>2025/26</t>
  </si>
  <si>
    <t>Forecast Collection Requirement ($000)</t>
  </si>
  <si>
    <t>Forecast Sales (kWh)</t>
  </si>
  <si>
    <t>Collection rate ($/kWh)</t>
  </si>
  <si>
    <t>Base energy costs included in revenue requirement</t>
  </si>
  <si>
    <t>ECAM collected through ECAM rate adjustment</t>
  </si>
  <si>
    <t>TABLE 5-2</t>
  </si>
  <si>
    <t>TABLE 5-4</t>
  </si>
  <si>
    <t>Table 5-13</t>
  </si>
  <si>
    <t>SCHEDULE 5-19</t>
  </si>
  <si>
    <t>TABLE 5-22</t>
  </si>
  <si>
    <t>Account</t>
  </si>
  <si>
    <t>Operating and Maintenance Transmission Lines – NB Power</t>
  </si>
  <si>
    <t>Operating and Maintenance Memramcook</t>
  </si>
  <si>
    <t>Breaker Rental – NB Power</t>
  </si>
  <si>
    <t>Other Energy</t>
  </si>
  <si>
    <t>Summerside Energy Purchase</t>
  </si>
  <si>
    <t>E-Tagging and Scheduling</t>
  </si>
  <si>
    <t>IPL Transmission Scheduling</t>
  </si>
  <si>
    <t>Charlottetown Thermal Generating Station Buildings and Services</t>
  </si>
  <si>
    <t>Charlottetown Thermal Generating Station Maintenance</t>
  </si>
  <si>
    <t>Charlottetown Thermal Generating Station Operations</t>
  </si>
  <si>
    <t>Charlottetown Thermal Generating Station Superintendence</t>
  </si>
  <si>
    <t>Charlottetown Thermal Generating Station Buildings Generation Fuel – Bunker</t>
  </si>
  <si>
    <t>ECC Operations</t>
  </si>
  <si>
    <t>Borden Generating Station Building and Services</t>
  </si>
  <si>
    <t>Borden Generating Station CT Operating</t>
  </si>
  <si>
    <t xml:space="preserve">Borden Generating Station CT Maintenance </t>
  </si>
  <si>
    <t>Borden Combustion Turbine Superintendence</t>
  </si>
  <si>
    <t>Charlottetown Thermal Generating Station - CT3 Building and Services</t>
  </si>
  <si>
    <t>Charlottetown Thermal Generating Station - CT3 Maintenance</t>
  </si>
  <si>
    <t>Charlottetown Thermal Generating Station - CT3 Operating</t>
  </si>
  <si>
    <t>Charlottetown Combustion Turbine 3 Superintendence</t>
  </si>
  <si>
    <t>Charlottetown Thermal Generating Station CT - Insurance</t>
  </si>
  <si>
    <t>Charlottetown Thermal Generating Station CT - Property Tax</t>
  </si>
  <si>
    <t>Mechanical Maintenance</t>
  </si>
  <si>
    <t>Amortization Pt. Lepreau Writedown</t>
  </si>
  <si>
    <t>Amortization Demand Side Management Costs</t>
  </si>
  <si>
    <t>TBD</t>
  </si>
  <si>
    <t>Based on Increase in Customer Cost of Electricity</t>
  </si>
  <si>
    <t>Current Rates are Based on 2021 Revenue Requirement plus Collection of December 31, 2021 ECAM balance starting on March 1, 2022</t>
  </si>
  <si>
    <t>ROE &amp; 2020 Revenue Shortfall</t>
  </si>
  <si>
    <t>2021 plus 2022 ECAM Collections</t>
  </si>
  <si>
    <t>2023-2025</t>
  </si>
  <si>
    <t>Forecast Net Purchased and Produced Energy (kWh)</t>
  </si>
  <si>
    <t>Forecast Energy Costs Applicable to ECAM ($)</t>
  </si>
  <si>
    <t>Based on Revenue Requirement before other revenue and Collections of Other Amounts:</t>
  </si>
  <si>
    <t>Other Revenue, net of OATT Expenses (Not included in Analysis)</t>
  </si>
  <si>
    <t>Less:  Regulatory Liability - Rebates Payable to Customers *</t>
  </si>
  <si>
    <t>* Per Order UE20-06 the 2020 revenue shortfall is excluded from regulated equity and rate base.</t>
  </si>
  <si>
    <t>RORA Refund</t>
  </si>
  <si>
    <t>Deductions from Rate Base [3]:</t>
  </si>
  <si>
    <t>[3]</t>
  </si>
  <si>
    <t>As per Commission Order UE20-06, the balance of the 2020 revenue shortfall is not included in forecast rate base.</t>
  </si>
  <si>
    <t xml:space="preserve"> Compay Use and System Losses</t>
  </si>
  <si>
    <t xml:space="preserve"> Company Use and System Losses</t>
  </si>
  <si>
    <t>Energy Supply Expenses - Excluded from (Included in) ECAM ($)</t>
  </si>
  <si>
    <t>Table 5-29</t>
  </si>
  <si>
    <t>TABLE 5-31</t>
  </si>
  <si>
    <t>Table 5-32</t>
  </si>
  <si>
    <t>TABLE 5-33</t>
  </si>
  <si>
    <t>TABLE 6-4</t>
  </si>
  <si>
    <t>Basic Energy Charge ($/kWh, except %)</t>
  </si>
  <si>
    <t>Rate Riders ($/kWh, except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</si>
</sst>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_(&quot;$&quot;* #,##0.00000_);_(&quot;$&quot;* \(#,##0.00000\);_(&quot;$&quot;* &quot;-&quot;??_);_(@_)"/>
    <numFmt numFmtId="166" formatCode="_(&quot;$&quot;* #,##0_);_(&quot;$&quot;* \(#,##0\);_(&quot;$&quot;* &quot;-&quot;??_);_(@_)"/>
    <numFmt numFmtId="167" formatCode="_(* #,##0.0000_);_(* \(#,##0.0000\);_(* &quot;-&quot;??_);_(@_)"/>
    <numFmt numFmtId="168" formatCode="0.0"/>
    <numFmt numFmtId="169" formatCode="_(* #,##0.0_);_(* \(#,##0.0\);_(* &quot;-&quot;??_);_(@_)"/>
    <numFmt numFmtId="170" formatCode="0.0%"/>
    <numFmt numFmtId="171" formatCode="[$-409]d\-mmm\-yy;@"/>
    <numFmt numFmtId="172" formatCode="&quot;$&quot;#,##0.0000_);[Red]\(&quot;$&quot;#,##0.0000\)"/>
    <numFmt numFmtId="173" formatCode="_-&quot;$&quot;* #,##0.00_-;\-&quot;$&quot;* #,##0.00_-;_-&quot;$&quot;* &quot;-&quot;??_-;_-@_-"/>
    <numFmt numFmtId="174" formatCode="_-* #,##0.00_-;\-* #,##0.00_-;_-* &quot;-&quot;??_-;_-@_-"/>
    <numFmt numFmtId="175" formatCode="#,###,##0.00;\(#,###,##0.00\)"/>
    <numFmt numFmtId="176" formatCode="[$-409]mmm\-yy;@"/>
    <numFmt numFmtId="177" formatCode="_(&quot;$&quot;* #,##0.0000_);_(&quot;$&quot;* \(#,##0.0000\);_(&quot;$&quot;* &quot;-&quot;??_);_(@_)"/>
    <numFmt numFmtId="178" formatCode="_(&quot;$&quot;* #,##0.000000_);_(&quot;$&quot;* \(#,##0.000000\);_(&quot;$&quot;* &quot;-&quot;??_);_(@_)"/>
    <numFmt numFmtId="179" formatCode="#,###;\(#,###\);\-"/>
    <numFmt numFmtId="180" formatCode="#,##0.0"/>
    <numFmt numFmtId="181" formatCode="_(* #,##0.00000_);_(* \(#,##0.00000\);_(* &quot;-&quot;??_);_(@_)"/>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
      <name val="Calibri"/>
      <family val="2"/>
      <scheme val="minor"/>
    </font>
    <font>
      <i/>
      <sz val="11"/>
      <color theme="1"/>
      <name val="Calibri"/>
      <family val="2"/>
      <scheme val="minor"/>
    </font>
    <font>
      <b/>
      <u/>
      <sz val="11"/>
      <color theme="1"/>
      <name val="Calibri"/>
      <family val="2"/>
      <scheme val="minor"/>
    </font>
    <font>
      <sz val="10"/>
      <name val="Arial"/>
      <family val="2"/>
    </font>
    <font>
      <b/>
      <sz val="10"/>
      <name val="Arial"/>
      <family val="2"/>
    </font>
    <font>
      <b/>
      <sz val="11"/>
      <color indexed="8"/>
      <name val="Calibri"/>
      <family val="2"/>
      <scheme val="minor"/>
    </font>
    <font>
      <b/>
      <sz val="11"/>
      <name val="Calibri"/>
      <family val="2"/>
      <scheme val="minor"/>
    </font>
    <font>
      <sz val="11"/>
      <name val="Calibri"/>
      <family val="2"/>
      <scheme val="minor"/>
    </font>
    <font>
      <sz val="11"/>
      <color theme="0"/>
      <name val="Calibri"/>
      <family val="2"/>
      <scheme val="minor"/>
    </font>
    <font>
      <sz val="10"/>
      <color indexed="8"/>
      <name val="Times New Roman"/>
      <family val="1"/>
    </font>
    <font>
      <b/>
      <sz val="12"/>
      <color indexed="12"/>
      <name val="Garamond"/>
      <family val="1"/>
    </font>
    <font>
      <sz val="10"/>
      <color indexed="0"/>
      <name val="Arial"/>
      <family val="2"/>
    </font>
    <font>
      <sz val="10"/>
      <color rgb="FF000000"/>
      <name val="Arial"/>
      <family val="2"/>
    </font>
    <font>
      <i/>
      <sz val="8"/>
      <color theme="1"/>
      <name val="Calibri"/>
      <family val="2"/>
      <scheme val="minor"/>
    </font>
    <font>
      <sz val="10"/>
      <name val="Arial"/>
      <family val="2"/>
    </font>
    <font>
      <sz val="10"/>
      <color rgb="FF000000"/>
      <name val="Arial"/>
      <family val="2"/>
    </font>
    <font>
      <sz val="9"/>
      <color theme="1"/>
      <name val="Arial"/>
      <family val="2"/>
    </font>
    <font>
      <sz val="9"/>
      <color theme="1"/>
      <name val="Calibri"/>
      <family val="2"/>
      <scheme val="minor"/>
    </font>
    <font>
      <b/>
      <sz val="10"/>
      <color theme="1"/>
      <name val="Arial"/>
      <family val="2"/>
    </font>
    <font>
      <sz val="10"/>
      <color theme="1"/>
      <name val="Arial"/>
      <family val="2"/>
    </font>
    <font>
      <b/>
      <sz val="9"/>
      <color theme="1"/>
      <name val="Arial"/>
      <family val="2"/>
    </font>
    <font>
      <sz val="10"/>
      <color theme="1"/>
      <name val="Calibri"/>
      <family val="2"/>
      <scheme val="minor"/>
    </font>
    <font>
      <u val="singleAccounting"/>
      <sz val="10"/>
      <color theme="1"/>
      <name val="Arial"/>
      <family val="2"/>
    </font>
    <font>
      <b/>
      <u val="singleAccounting"/>
      <sz val="10"/>
      <color theme="1"/>
      <name val="Arial"/>
      <family val="2"/>
    </font>
    <font>
      <b/>
      <sz val="9"/>
      <color rgb="FF000000"/>
      <name val="Arial"/>
      <family val="2"/>
    </font>
    <font>
      <sz val="9"/>
      <color rgb="FF000000"/>
      <name val="Arial"/>
      <family val="2"/>
    </font>
    <font>
      <b/>
      <sz val="10"/>
      <color rgb="FF000000"/>
      <name val="Arial"/>
      <family val="2"/>
    </font>
    <font>
      <vertAlign val="superscript"/>
      <sz val="10"/>
      <color rgb="FF000000"/>
      <name val="Arial"/>
      <family val="2"/>
    </font>
    <font>
      <vertAlign val="superscript"/>
      <sz val="9"/>
      <color theme="1"/>
      <name val="Arial"/>
      <family val="2"/>
    </font>
    <font>
      <u/>
      <sz val="11"/>
      <color theme="10"/>
      <name val="Calibri"/>
      <family val="2"/>
      <scheme val="minor"/>
    </font>
    <font>
      <i/>
      <sz val="10"/>
      <color theme="1"/>
      <name val="Arial"/>
      <family val="2"/>
    </font>
    <font>
      <sz val="8"/>
      <color theme="1"/>
      <name val="Arial"/>
      <family val="2"/>
    </font>
    <font>
      <b/>
      <sz val="11"/>
      <color theme="1"/>
      <name val="Arial"/>
      <family val="2"/>
    </font>
    <font>
      <sz val="11"/>
      <color theme="1"/>
      <name val="Arial"/>
      <family val="2"/>
    </font>
    <font>
      <u/>
      <sz val="9"/>
      <color theme="10"/>
      <name val="Calibri"/>
      <family val="2"/>
      <scheme val="minor"/>
    </font>
    <font>
      <b/>
      <sz val="8"/>
      <color theme="1"/>
      <name val="Arial"/>
      <family val="2"/>
    </font>
    <font>
      <sz val="8"/>
      <color theme="1"/>
      <name val="Calibri"/>
      <family val="2"/>
      <scheme val="minor"/>
    </font>
    <font>
      <sz val="9"/>
      <color indexed="81"/>
      <name val="Tahoma"/>
      <charset val="1"/>
    </font>
    <font>
      <b/>
      <sz val="9"/>
      <color indexed="81"/>
      <name val="Tahoma"/>
      <charset val="1"/>
    </font>
  </fonts>
  <fills count="15">
    <fill>
      <patternFill patternType="none"/>
    </fill>
    <fill>
      <patternFill patternType="gray125"/>
    </fill>
    <fill>
      <patternFill patternType="solid">
        <fgColor rgb="FFFFC000"/>
        <bgColor indexed="64"/>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79998168889431442"/>
        <bgColor indexed="64"/>
      </patternFill>
    </fill>
    <fill>
      <patternFill patternType="solid">
        <fgColor rgb="FFBFBFBF"/>
        <bgColor indexed="64"/>
      </patternFill>
    </fill>
    <fill>
      <patternFill patternType="solid">
        <fgColor rgb="FFF2F2F2"/>
        <bgColor indexed="64"/>
      </patternFill>
    </fill>
    <fill>
      <patternFill patternType="solid">
        <fgColor rgb="FFFFFFFF"/>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6" fontId="8" fillId="0" borderId="0"/>
    <xf numFmtId="174" fontId="8" fillId="0" borderId="0" applyFont="0" applyFill="0" applyBorder="0" applyAlignment="0" applyProtection="0"/>
    <xf numFmtId="173" fontId="8" fillId="0" borderId="0" applyFont="0" applyFill="0" applyBorder="0" applyAlignment="0" applyProtection="0"/>
    <xf numFmtId="175" fontId="16" fillId="0" borderId="0"/>
    <xf numFmtId="9" fontId="8" fillId="0" borderId="0" applyFont="0" applyFill="0" applyBorder="0" applyAlignment="0" applyProtection="0"/>
    <xf numFmtId="176" fontId="14" fillId="0" borderId="0" applyNumberFormat="0" applyBorder="0" applyAlignment="0"/>
    <xf numFmtId="176" fontId="15" fillId="0" borderId="0" applyNumberFormat="0" applyBorder="0" applyAlignment="0"/>
    <xf numFmtId="176" fontId="13" fillId="3" borderId="0" applyNumberFormat="0" applyBorder="0" applyAlignment="0" applyProtection="0"/>
    <xf numFmtId="176" fontId="13" fillId="4" borderId="0" applyNumberFormat="0" applyBorder="0" applyAlignment="0" applyProtection="0"/>
    <xf numFmtId="176" fontId="13" fillId="5" borderId="0" applyNumberFormat="0" applyBorder="0" applyAlignment="0" applyProtection="0"/>
    <xf numFmtId="0" fontId="17" fillId="0" borderId="0" applyAlignment="0"/>
    <xf numFmtId="176" fontId="8"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176" fontId="19" fillId="0" borderId="0"/>
    <xf numFmtId="0" fontId="20" fillId="0" borderId="0" applyAlignment="0"/>
    <xf numFmtId="0" fontId="34" fillId="0" borderId="0" applyNumberFormat="0" applyFill="0" applyBorder="0" applyAlignment="0" applyProtection="0"/>
  </cellStyleXfs>
  <cellXfs count="745">
    <xf numFmtId="0" fontId="0" fillId="0" borderId="0" xfId="0"/>
    <xf numFmtId="0" fontId="2" fillId="0" borderId="0" xfId="0" applyFont="1"/>
    <xf numFmtId="164" fontId="0" fillId="0" borderId="0" xfId="1" applyNumberFormat="1" applyFont="1"/>
    <xf numFmtId="164" fontId="0" fillId="0" borderId="0" xfId="0" applyNumberFormat="1"/>
    <xf numFmtId="0" fontId="0" fillId="2" borderId="0" xfId="0" applyFill="1"/>
    <xf numFmtId="0" fontId="0" fillId="2" borderId="0" xfId="0" applyFill="1" applyAlignment="1">
      <alignment horizontal="center"/>
    </xf>
    <xf numFmtId="164" fontId="0" fillId="2" borderId="0" xfId="1" applyNumberFormat="1" applyFont="1" applyFill="1"/>
    <xf numFmtId="164" fontId="0" fillId="2" borderId="0" xfId="0" applyNumberFormat="1" applyFill="1"/>
    <xf numFmtId="166" fontId="0" fillId="0" borderId="0" xfId="0" applyNumberFormat="1"/>
    <xf numFmtId="164" fontId="0" fillId="0" borderId="0" xfId="0" applyNumberFormat="1" applyFill="1"/>
    <xf numFmtId="0" fontId="0" fillId="0" borderId="0" xfId="0" applyFill="1"/>
    <xf numFmtId="43" fontId="0" fillId="0" borderId="0" xfId="1" applyFont="1"/>
    <xf numFmtId="169" fontId="0" fillId="0" borderId="0" xfId="1" applyNumberFormat="1" applyFont="1"/>
    <xf numFmtId="170" fontId="0" fillId="0" borderId="0" xfId="3" applyNumberFormat="1" applyFont="1"/>
    <xf numFmtId="169" fontId="0" fillId="2" borderId="0" xfId="1" applyNumberFormat="1" applyFont="1" applyFill="1"/>
    <xf numFmtId="0" fontId="0" fillId="0" borderId="1" xfId="0" applyBorder="1"/>
    <xf numFmtId="164" fontId="0" fillId="0" borderId="1" xfId="0" applyNumberFormat="1" applyBorder="1"/>
    <xf numFmtId="164" fontId="0" fillId="0" borderId="1" xfId="1" applyNumberFormat="1" applyFont="1" applyBorder="1"/>
    <xf numFmtId="41" fontId="0" fillId="0" borderId="1" xfId="0" applyNumberFormat="1" applyBorder="1"/>
    <xf numFmtId="0" fontId="2" fillId="0" borderId="1" xfId="0" applyFont="1" applyBorder="1" applyAlignment="1">
      <alignment horizontal="center"/>
    </xf>
    <xf numFmtId="166" fontId="0" fillId="0" borderId="1" xfId="2" applyNumberFormat="1" applyFont="1" applyFill="1" applyBorder="1"/>
    <xf numFmtId="0" fontId="2" fillId="0" borderId="1" xfId="0" applyFont="1" applyBorder="1"/>
    <xf numFmtId="0" fontId="0" fillId="0" borderId="0" xfId="0" applyFont="1" applyFill="1" applyBorder="1"/>
    <xf numFmtId="169" fontId="0" fillId="0" borderId="1" xfId="1" applyNumberFormat="1" applyFont="1" applyBorder="1"/>
    <xf numFmtId="0" fontId="0" fillId="0" borderId="3" xfId="0" applyBorder="1"/>
    <xf numFmtId="0" fontId="0" fillId="0" borderId="4" xfId="0" applyBorder="1"/>
    <xf numFmtId="0" fontId="2" fillId="0" borderId="2" xfId="0" quotePrefix="1" applyFont="1" applyBorder="1" applyAlignment="1"/>
    <xf numFmtId="0" fontId="0" fillId="0" borderId="2" xfId="0" applyBorder="1"/>
    <xf numFmtId="43" fontId="2" fillId="0" borderId="0" xfId="1" applyFont="1"/>
    <xf numFmtId="43" fontId="0" fillId="0" borderId="1" xfId="1" applyFont="1" applyBorder="1"/>
    <xf numFmtId="169" fontId="2" fillId="0" borderId="1" xfId="1" applyNumberFormat="1" applyFont="1" applyBorder="1"/>
    <xf numFmtId="169" fontId="0" fillId="0" borderId="0" xfId="1" applyNumberFormat="1" applyFont="1" applyBorder="1"/>
    <xf numFmtId="0" fontId="2" fillId="0" borderId="3" xfId="0" applyFont="1" applyBorder="1" applyAlignment="1">
      <alignment horizontal="center"/>
    </xf>
    <xf numFmtId="0" fontId="2" fillId="0" borderId="4" xfId="0" applyFont="1" applyBorder="1" applyAlignment="1">
      <alignment horizontal="center"/>
    </xf>
    <xf numFmtId="164" fontId="0" fillId="0" borderId="1" xfId="1" applyNumberFormat="1" applyFont="1" applyFill="1" applyBorder="1"/>
    <xf numFmtId="164" fontId="0" fillId="0" borderId="1" xfId="1" applyNumberFormat="1" applyFont="1" applyFill="1" applyBorder="1" applyAlignment="1">
      <alignment horizontal="left"/>
    </xf>
    <xf numFmtId="164" fontId="2" fillId="0" borderId="1" xfId="1" applyNumberFormat="1" applyFont="1" applyBorder="1"/>
    <xf numFmtId="166" fontId="0" fillId="0" borderId="1" xfId="2" applyNumberFormat="1" applyFont="1" applyBorder="1"/>
    <xf numFmtId="166" fontId="2" fillId="0" borderId="1" xfId="2" applyNumberFormat="1" applyFont="1" applyBorder="1"/>
    <xf numFmtId="164" fontId="2" fillId="0" borderId="1" xfId="0" applyNumberFormat="1" applyFont="1" applyBorder="1"/>
    <xf numFmtId="164" fontId="0" fillId="0" borderId="11" xfId="0" applyNumberFormat="1" applyBorder="1"/>
    <xf numFmtId="0" fontId="2" fillId="0" borderId="2" xfId="0" applyFont="1" applyBorder="1"/>
    <xf numFmtId="164" fontId="0" fillId="0" borderId="1" xfId="1" applyNumberFormat="1" applyFont="1" applyBorder="1" applyAlignment="1">
      <alignment horizontal="left"/>
    </xf>
    <xf numFmtId="166" fontId="0" fillId="0" borderId="1" xfId="2" applyNumberFormat="1" applyFont="1" applyBorder="1" applyAlignment="1">
      <alignment horizontal="center"/>
    </xf>
    <xf numFmtId="164" fontId="0" fillId="0" borderId="1" xfId="1" applyNumberFormat="1" applyFont="1" applyBorder="1" applyAlignment="1">
      <alignment horizontal="center"/>
    </xf>
    <xf numFmtId="169" fontId="2" fillId="0" borderId="0" xfId="1" applyNumberFormat="1" applyFont="1" applyBorder="1"/>
    <xf numFmtId="0" fontId="0" fillId="0" borderId="0" xfId="0" applyAlignment="1">
      <alignment wrapText="1"/>
    </xf>
    <xf numFmtId="164" fontId="0" fillId="0" borderId="3" xfId="1" applyNumberFormat="1" applyFont="1" applyBorder="1"/>
    <xf numFmtId="164" fontId="6" fillId="0" borderId="0" xfId="1" applyNumberFormat="1" applyFont="1"/>
    <xf numFmtId="0" fontId="2" fillId="0" borderId="11" xfId="0" applyFont="1" applyBorder="1" applyAlignment="1">
      <alignment horizontal="center"/>
    </xf>
    <xf numFmtId="164" fontId="0" fillId="0" borderId="1" xfId="1" applyNumberFormat="1" applyFont="1" applyBorder="1" applyAlignment="1">
      <alignment wrapText="1"/>
    </xf>
    <xf numFmtId="164" fontId="0" fillId="0" borderId="1" xfId="0" applyNumberFormat="1" applyBorder="1" applyAlignment="1">
      <alignment wrapText="1"/>
    </xf>
    <xf numFmtId="164" fontId="0" fillId="0" borderId="11" xfId="1" applyNumberFormat="1" applyFont="1" applyBorder="1"/>
    <xf numFmtId="166" fontId="2" fillId="0" borderId="11" xfId="2" applyNumberFormat="1" applyFont="1" applyBorder="1"/>
    <xf numFmtId="164" fontId="0" fillId="0" borderId="13" xfId="1" applyNumberFormat="1" applyFont="1" applyBorder="1"/>
    <xf numFmtId="164" fontId="0" fillId="0" borderId="13" xfId="0" applyNumberFormat="1" applyBorder="1" applyAlignment="1">
      <alignment wrapText="1"/>
    </xf>
    <xf numFmtId="10" fontId="0" fillId="0" borderId="1" xfId="3" applyNumberFormat="1" applyFont="1" applyBorder="1" applyAlignment="1">
      <alignment wrapText="1"/>
    </xf>
    <xf numFmtId="10" fontId="0" fillId="0" borderId="1" xfId="3" applyNumberFormat="1" applyFont="1" applyBorder="1"/>
    <xf numFmtId="0" fontId="7" fillId="0" borderId="2" xfId="0" applyFont="1" applyBorder="1" applyAlignment="1">
      <alignment horizontal="left"/>
    </xf>
    <xf numFmtId="164" fontId="2" fillId="0" borderId="1" xfId="1" applyNumberFormat="1" applyFont="1" applyBorder="1" applyAlignment="1">
      <alignment horizontal="left"/>
    </xf>
    <xf numFmtId="164" fontId="0" fillId="0" borderId="1" xfId="0" applyNumberFormat="1" applyBorder="1" applyAlignment="1">
      <alignment horizontal="left"/>
    </xf>
    <xf numFmtId="164" fontId="2" fillId="0" borderId="1" xfId="0" applyNumberFormat="1" applyFont="1" applyBorder="1" applyAlignment="1">
      <alignment horizontal="left"/>
    </xf>
    <xf numFmtId="0" fontId="2" fillId="0" borderId="2" xfId="0" applyFont="1" applyBorder="1" applyAlignment="1">
      <alignment horizontal="left"/>
    </xf>
    <xf numFmtId="164" fontId="0" fillId="0" borderId="1" xfId="0" applyNumberFormat="1" applyFont="1" applyBorder="1"/>
    <xf numFmtId="44" fontId="8" fillId="0" borderId="0" xfId="2" applyFont="1" applyAlignment="1">
      <alignment horizontal="left"/>
    </xf>
    <xf numFmtId="44" fontId="8" fillId="0" borderId="0" xfId="2" applyFont="1"/>
    <xf numFmtId="172" fontId="8" fillId="0" borderId="0" xfId="2" applyNumberFormat="1" applyFont="1" applyAlignment="1">
      <alignment horizontal="left"/>
    </xf>
    <xf numFmtId="167" fontId="8" fillId="0" borderId="0" xfId="1" applyNumberFormat="1" applyFont="1" applyAlignment="1">
      <alignment horizontal="left"/>
    </xf>
    <xf numFmtId="43" fontId="8" fillId="0" borderId="0" xfId="1" applyFont="1" applyAlignment="1">
      <alignment horizontal="left"/>
    </xf>
    <xf numFmtId="172" fontId="8" fillId="0" borderId="13" xfId="2" applyNumberFormat="1" applyFont="1" applyBorder="1" applyAlignment="1">
      <alignment horizontal="left"/>
    </xf>
    <xf numFmtId="172" fontId="9" fillId="0" borderId="11" xfId="2" applyNumberFormat="1" applyFont="1" applyBorder="1" applyAlignment="1">
      <alignment horizontal="left"/>
    </xf>
    <xf numFmtId="172" fontId="9" fillId="0" borderId="1" xfId="2" applyNumberFormat="1" applyFont="1" applyBorder="1" applyAlignment="1">
      <alignment horizontal="left" wrapText="1"/>
    </xf>
    <xf numFmtId="172" fontId="8" fillId="0" borderId="11" xfId="2" applyNumberFormat="1" applyFont="1" applyBorder="1" applyAlignment="1">
      <alignment horizontal="left"/>
    </xf>
    <xf numFmtId="169" fontId="0" fillId="2" borderId="0" xfId="0" applyNumberFormat="1" applyFill="1"/>
    <xf numFmtId="0" fontId="2" fillId="0" borderId="3" xfId="0" applyFont="1" applyBorder="1" applyAlignment="1">
      <alignment horizontal="center"/>
    </xf>
    <xf numFmtId="0" fontId="2" fillId="0" borderId="4" xfId="0" applyFont="1" applyBorder="1" applyAlignment="1">
      <alignment horizontal="center"/>
    </xf>
    <xf numFmtId="0" fontId="10"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10" fillId="0" borderId="0" xfId="0" applyFont="1" applyAlignment="1"/>
    <xf numFmtId="0" fontId="2" fillId="0" borderId="2" xfId="0" applyFont="1" applyFill="1" applyBorder="1"/>
    <xf numFmtId="0" fontId="0" fillId="0" borderId="0" xfId="0" applyAlignment="1">
      <alignment horizontal="center"/>
    </xf>
    <xf numFmtId="164" fontId="0" fillId="0" borderId="3" xfId="1" applyNumberFormat="1" applyFont="1" applyBorder="1" applyAlignment="1">
      <alignment horizontal="center"/>
    </xf>
    <xf numFmtId="169" fontId="0" fillId="0" borderId="1" xfId="1" applyNumberFormat="1" applyFont="1" applyBorder="1" applyAlignment="1">
      <alignment horizontal="center"/>
    </xf>
    <xf numFmtId="0" fontId="10" fillId="0" borderId="0" xfId="0" applyFont="1" applyAlignment="1">
      <alignment horizontal="center"/>
    </xf>
    <xf numFmtId="0" fontId="10" fillId="0" borderId="0" xfId="0" applyFont="1" applyAlignment="1">
      <alignment horizontal="center"/>
    </xf>
    <xf numFmtId="0" fontId="2" fillId="0" borderId="3" xfId="0" applyFont="1" applyBorder="1"/>
    <xf numFmtId="0" fontId="7" fillId="0" borderId="3" xfId="0" applyFont="1" applyBorder="1" applyAlignment="1">
      <alignment horizontal="left"/>
    </xf>
    <xf numFmtId="0" fontId="2" fillId="0" borderId="3" xfId="0" applyFont="1" applyBorder="1" applyAlignment="1">
      <alignment horizontal="left"/>
    </xf>
    <xf numFmtId="0" fontId="2" fillId="0" borderId="3" xfId="0" applyFont="1" applyFill="1" applyBorder="1"/>
    <xf numFmtId="0" fontId="2" fillId="0" borderId="1" xfId="0" applyFont="1" applyFill="1" applyBorder="1" applyAlignment="1">
      <alignment horizontal="center"/>
    </xf>
    <xf numFmtId="0" fontId="0" fillId="0" borderId="1" xfId="0" applyFill="1" applyBorder="1"/>
    <xf numFmtId="169" fontId="0" fillId="0" borderId="1" xfId="1" applyNumberFormat="1" applyFont="1" applyFill="1" applyBorder="1"/>
    <xf numFmtId="169" fontId="18" fillId="0" borderId="0" xfId="1" applyNumberFormat="1" applyFont="1" applyBorder="1"/>
    <xf numFmtId="169" fontId="2" fillId="0" borderId="1" xfId="1" applyNumberFormat="1" applyFont="1" applyFill="1" applyBorder="1"/>
    <xf numFmtId="164" fontId="2" fillId="0" borderId="1" xfId="0" applyNumberFormat="1" applyFont="1" applyFill="1" applyBorder="1"/>
    <xf numFmtId="0" fontId="2" fillId="0" borderId="1" xfId="0" applyFont="1" applyFill="1" applyBorder="1"/>
    <xf numFmtId="164" fontId="2" fillId="0" borderId="1" xfId="1" applyNumberFormat="1" applyFont="1" applyFill="1" applyBorder="1"/>
    <xf numFmtId="166" fontId="2" fillId="0" borderId="0" xfId="0" applyNumberFormat="1" applyFont="1"/>
    <xf numFmtId="164" fontId="0" fillId="0" borderId="1" xfId="0" applyNumberFormat="1" applyFill="1" applyBorder="1"/>
    <xf numFmtId="164" fontId="0" fillId="0" borderId="3" xfId="0" applyNumberFormat="1" applyFill="1" applyBorder="1"/>
    <xf numFmtId="164" fontId="0" fillId="0" borderId="4" xfId="0" applyNumberFormat="1" applyFill="1" applyBorder="1"/>
    <xf numFmtId="166" fontId="2" fillId="0" borderId="1" xfId="2" applyNumberFormat="1" applyFont="1" applyFill="1" applyBorder="1"/>
    <xf numFmtId="164" fontId="0" fillId="0" borderId="13" xfId="1" applyNumberFormat="1" applyFont="1" applyFill="1" applyBorder="1"/>
    <xf numFmtId="164" fontId="0" fillId="0" borderId="11" xfId="1" applyNumberFormat="1" applyFont="1" applyFill="1" applyBorder="1"/>
    <xf numFmtId="10" fontId="0" fillId="0" borderId="1" xfId="3" applyNumberFormat="1" applyFont="1" applyFill="1" applyBorder="1"/>
    <xf numFmtId="164" fontId="0" fillId="0" borderId="1" xfId="1" applyNumberFormat="1" applyFont="1" applyFill="1" applyBorder="1" applyAlignment="1">
      <alignment wrapText="1"/>
    </xf>
    <xf numFmtId="38" fontId="0" fillId="0" borderId="1" xfId="0" applyNumberFormat="1" applyFill="1" applyBorder="1"/>
    <xf numFmtId="0" fontId="2" fillId="0" borderId="0" xfId="0" applyFont="1" applyBorder="1"/>
    <xf numFmtId="164" fontId="2" fillId="0" borderId="0" xfId="1" applyNumberFormat="1" applyFont="1" applyBorder="1"/>
    <xf numFmtId="166" fontId="2" fillId="0" borderId="0" xfId="2" applyNumberFormat="1" applyFont="1" applyBorder="1"/>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0" borderId="11" xfId="0" applyFont="1" applyBorder="1" applyAlignment="1">
      <alignment horizontal="center" wrapText="1"/>
    </xf>
    <xf numFmtId="0" fontId="10" fillId="0" borderId="0" xfId="0" applyFont="1" applyAlignment="1">
      <alignment horizontal="center"/>
    </xf>
    <xf numFmtId="0" fontId="2" fillId="0" borderId="3" xfId="0" applyFont="1" applyBorder="1" applyAlignment="1">
      <alignment horizontal="center"/>
    </xf>
    <xf numFmtId="0" fontId="2" fillId="0" borderId="3" xfId="0" applyFont="1" applyBorder="1" applyAlignment="1">
      <alignment horizontal="center"/>
    </xf>
    <xf numFmtId="164" fontId="12" fillId="0" borderId="1" xfId="1" applyNumberFormat="1" applyFont="1" applyFill="1" applyBorder="1"/>
    <xf numFmtId="0" fontId="2" fillId="0" borderId="4" xfId="0" applyFont="1" applyBorder="1" applyAlignment="1">
      <alignment horizontal="center"/>
    </xf>
    <xf numFmtId="10" fontId="0" fillId="0" borderId="0" xfId="0" applyNumberFormat="1"/>
    <xf numFmtId="41" fontId="0" fillId="0" borderId="0" xfId="0" applyNumberFormat="1"/>
    <xf numFmtId="170" fontId="0" fillId="0" borderId="0" xfId="0" applyNumberFormat="1"/>
    <xf numFmtId="170" fontId="0" fillId="6" borderId="0" xfId="0" applyNumberFormat="1" applyFill="1"/>
    <xf numFmtId="170" fontId="2" fillId="0" borderId="0" xfId="3" applyNumberFormat="1" applyFont="1"/>
    <xf numFmtId="170" fontId="2" fillId="0" borderId="0" xfId="0" applyNumberFormat="1" applyFont="1"/>
    <xf numFmtId="179" fontId="20" fillId="0" borderId="0" xfId="20" applyNumberFormat="1" applyAlignment="1">
      <alignment horizontal="right"/>
    </xf>
    <xf numFmtId="164" fontId="0" fillId="0" borderId="0" xfId="1" applyNumberFormat="1" applyFont="1" applyAlignment="1">
      <alignment wrapText="1"/>
    </xf>
    <xf numFmtId="164" fontId="21" fillId="0" borderId="0" xfId="1" applyNumberFormat="1" applyFont="1"/>
    <xf numFmtId="166" fontId="21" fillId="0" borderId="0" xfId="0" applyNumberFormat="1" applyFont="1"/>
    <xf numFmtId="9" fontId="0" fillId="0" borderId="0" xfId="3" applyNumberFormat="1" applyFont="1"/>
    <xf numFmtId="9" fontId="0" fillId="0" borderId="0" xfId="0" applyNumberFormat="1"/>
    <xf numFmtId="0" fontId="22" fillId="0" borderId="0" xfId="0" applyFont="1"/>
    <xf numFmtId="0" fontId="24" fillId="0" borderId="0" xfId="0" applyFont="1"/>
    <xf numFmtId="0" fontId="24" fillId="0" borderId="11" xfId="0" applyFont="1" applyBorder="1"/>
    <xf numFmtId="0" fontId="24" fillId="0" borderId="1" xfId="0" applyFont="1" applyBorder="1"/>
    <xf numFmtId="43" fontId="24" fillId="0" borderId="1" xfId="0" applyNumberFormat="1" applyFont="1" applyBorder="1"/>
    <xf numFmtId="164" fontId="23" fillId="0" borderId="1" xfId="1" applyNumberFormat="1" applyFont="1" applyBorder="1" applyAlignment="1">
      <alignment horizontal="left"/>
    </xf>
    <xf numFmtId="0" fontId="21" fillId="0" borderId="0" xfId="0" applyFont="1"/>
    <xf numFmtId="0" fontId="21" fillId="0" borderId="11" xfId="0" applyFont="1" applyBorder="1"/>
    <xf numFmtId="0" fontId="21" fillId="0" borderId="11" xfId="0" applyFont="1" applyBorder="1" applyAlignment="1">
      <alignment horizontal="center"/>
    </xf>
    <xf numFmtId="0" fontId="21" fillId="0" borderId="11" xfId="0" applyFont="1" applyBorder="1" applyAlignment="1">
      <alignment horizontal="center" wrapText="1"/>
    </xf>
    <xf numFmtId="43" fontId="21" fillId="0" borderId="11" xfId="0" applyNumberFormat="1" applyFont="1" applyFill="1" applyBorder="1"/>
    <xf numFmtId="177" fontId="21" fillId="0" borderId="11" xfId="2" applyNumberFormat="1" applyFont="1" applyBorder="1"/>
    <xf numFmtId="170" fontId="21" fillId="0" borderId="1" xfId="3" applyNumberFormat="1" applyFont="1" applyBorder="1"/>
    <xf numFmtId="10" fontId="21" fillId="0" borderId="0" xfId="3" applyNumberFormat="1" applyFont="1"/>
    <xf numFmtId="43" fontId="21" fillId="0" borderId="1" xfId="0" applyNumberFormat="1" applyFont="1" applyFill="1" applyBorder="1"/>
    <xf numFmtId="0" fontId="21" fillId="0" borderId="1" xfId="0" applyFont="1" applyBorder="1"/>
    <xf numFmtId="0" fontId="21" fillId="0" borderId="1" xfId="0" applyFont="1" applyBorder="1" applyAlignment="1">
      <alignment horizontal="center"/>
    </xf>
    <xf numFmtId="43" fontId="21" fillId="0" borderId="1" xfId="0" applyNumberFormat="1" applyFont="1" applyBorder="1"/>
    <xf numFmtId="170" fontId="21" fillId="0" borderId="1" xfId="3" applyNumberFormat="1" applyFont="1" applyBorder="1" applyAlignment="1">
      <alignment horizontal="center"/>
    </xf>
    <xf numFmtId="177" fontId="21" fillId="0" borderId="11" xfId="2" applyNumberFormat="1" applyFont="1" applyFill="1" applyBorder="1"/>
    <xf numFmtId="164" fontId="25" fillId="0" borderId="1" xfId="1" applyNumberFormat="1" applyFont="1" applyBorder="1" applyAlignment="1">
      <alignment horizontal="left"/>
    </xf>
    <xf numFmtId="177" fontId="21" fillId="0" borderId="1" xfId="0" applyNumberFormat="1" applyFont="1" applyBorder="1"/>
    <xf numFmtId="177" fontId="21" fillId="0" borderId="0" xfId="0" applyNumberFormat="1" applyFont="1"/>
    <xf numFmtId="0" fontId="26" fillId="0" borderId="0" xfId="0" applyFont="1"/>
    <xf numFmtId="0" fontId="23" fillId="0" borderId="6" xfId="0" applyFont="1" applyBorder="1" applyAlignment="1">
      <alignment horizontal="center"/>
    </xf>
    <xf numFmtId="0" fontId="23" fillId="0" borderId="12" xfId="0" applyFont="1" applyBorder="1" applyAlignment="1">
      <alignment horizontal="center"/>
    </xf>
    <xf numFmtId="0" fontId="23" fillId="0" borderId="11" xfId="0" applyFont="1" applyBorder="1" applyAlignment="1">
      <alignment horizontal="center"/>
    </xf>
    <xf numFmtId="0" fontId="23" fillId="0" borderId="9" xfId="0" applyFont="1" applyBorder="1" applyAlignment="1">
      <alignment horizontal="center"/>
    </xf>
    <xf numFmtId="43" fontId="24" fillId="0" borderId="1" xfId="1" applyNumberFormat="1" applyFont="1" applyBorder="1"/>
    <xf numFmtId="8" fontId="24" fillId="0" borderId="1" xfId="2" applyNumberFormat="1" applyFont="1" applyBorder="1"/>
    <xf numFmtId="43" fontId="24" fillId="0" borderId="1" xfId="1" applyFont="1" applyBorder="1"/>
    <xf numFmtId="43" fontId="24" fillId="0" borderId="0" xfId="0" applyNumberFormat="1" applyFont="1"/>
    <xf numFmtId="8" fontId="24" fillId="0" borderId="1" xfId="1" applyNumberFormat="1" applyFont="1" applyBorder="1"/>
    <xf numFmtId="43" fontId="23" fillId="0" borderId="1" xfId="1" applyFont="1" applyBorder="1"/>
    <xf numFmtId="44" fontId="23" fillId="0" borderId="1" xfId="2" applyFont="1" applyBorder="1"/>
    <xf numFmtId="170" fontId="23" fillId="0" borderId="1" xfId="3" applyNumberFormat="1" applyFont="1" applyBorder="1" applyAlignment="1">
      <alignment horizontal="center"/>
    </xf>
    <xf numFmtId="170" fontId="23" fillId="0" borderId="1" xfId="3" applyNumberFormat="1" applyFont="1" applyBorder="1"/>
    <xf numFmtId="170" fontId="24" fillId="0" borderId="0" xfId="3" applyNumberFormat="1" applyFont="1" applyBorder="1"/>
    <xf numFmtId="43" fontId="23" fillId="0" borderId="0" xfId="1" applyNumberFormat="1" applyFont="1" applyBorder="1"/>
    <xf numFmtId="170" fontId="23" fillId="0" borderId="0" xfId="3" applyNumberFormat="1" applyFont="1" applyBorder="1"/>
    <xf numFmtId="167" fontId="24" fillId="0" borderId="0" xfId="1" applyNumberFormat="1" applyFont="1"/>
    <xf numFmtId="167" fontId="24" fillId="0" borderId="0" xfId="1" applyNumberFormat="1" applyFont="1" applyBorder="1"/>
    <xf numFmtId="167" fontId="26" fillId="0" borderId="0" xfId="1" applyNumberFormat="1" applyFont="1" applyBorder="1"/>
    <xf numFmtId="43" fontId="24" fillId="0" borderId="0" xfId="1" applyFont="1"/>
    <xf numFmtId="43" fontId="26" fillId="0" borderId="0" xfId="1" applyFont="1"/>
    <xf numFmtId="0" fontId="23" fillId="0" borderId="0" xfId="0" applyFont="1"/>
    <xf numFmtId="44" fontId="24" fillId="0" borderId="0" xfId="0" applyNumberFormat="1" applyFont="1"/>
    <xf numFmtId="44" fontId="26" fillId="0" borderId="0" xfId="0" applyNumberFormat="1" applyFont="1"/>
    <xf numFmtId="0" fontId="26" fillId="0" borderId="0" xfId="0" applyFont="1" applyFill="1"/>
    <xf numFmtId="0" fontId="26" fillId="0" borderId="0" xfId="0" applyFont="1" applyFill="1" applyAlignment="1"/>
    <xf numFmtId="43" fontId="24" fillId="0" borderId="0" xfId="1" applyFont="1" applyBorder="1"/>
    <xf numFmtId="43" fontId="26" fillId="0" borderId="0" xfId="1" applyFont="1" applyBorder="1"/>
    <xf numFmtId="44" fontId="26" fillId="0" borderId="0" xfId="2" applyFont="1" applyFill="1"/>
    <xf numFmtId="43" fontId="24" fillId="0" borderId="0" xfId="1" applyFont="1" applyFill="1" applyBorder="1"/>
    <xf numFmtId="43" fontId="26" fillId="0" borderId="0" xfId="1" applyFont="1" applyFill="1" applyBorder="1"/>
    <xf numFmtId="44" fontId="26" fillId="0" borderId="0" xfId="0" applyNumberFormat="1" applyFont="1" applyFill="1"/>
    <xf numFmtId="170" fontId="24" fillId="0" borderId="0" xfId="3" applyNumberFormat="1" applyFont="1"/>
    <xf numFmtId="170" fontId="26" fillId="0" borderId="0" xfId="3" applyNumberFormat="1" applyFont="1"/>
    <xf numFmtId="0" fontId="24" fillId="0" borderId="12" xfId="0" applyFont="1" applyBorder="1"/>
    <xf numFmtId="44" fontId="24" fillId="0" borderId="12" xfId="2" applyFont="1" applyBorder="1"/>
    <xf numFmtId="0" fontId="24" fillId="0" borderId="13" xfId="0" applyFont="1" applyBorder="1"/>
    <xf numFmtId="43" fontId="24" fillId="0" borderId="13" xfId="1" applyNumberFormat="1" applyFont="1" applyBorder="1"/>
    <xf numFmtId="43" fontId="27" fillId="0" borderId="13" xfId="1" applyNumberFormat="1" applyFont="1" applyBorder="1"/>
    <xf numFmtId="44" fontId="24" fillId="0" borderId="13" xfId="0" applyNumberFormat="1" applyFont="1" applyBorder="1"/>
    <xf numFmtId="43" fontId="27" fillId="0" borderId="13" xfId="1" applyFont="1" applyFill="1" applyBorder="1"/>
    <xf numFmtId="44" fontId="28" fillId="0" borderId="11" xfId="0" applyNumberFormat="1" applyFont="1" applyBorder="1"/>
    <xf numFmtId="44" fontId="24" fillId="0" borderId="1" xfId="2" applyNumberFormat="1" applyFont="1" applyBorder="1"/>
    <xf numFmtId="43" fontId="24" fillId="0" borderId="1" xfId="2" applyNumberFormat="1" applyFont="1" applyBorder="1"/>
    <xf numFmtId="43" fontId="23" fillId="0" borderId="0" xfId="1" applyFont="1" applyBorder="1"/>
    <xf numFmtId="44" fontId="24" fillId="0" borderId="1" xfId="2" applyFont="1" applyBorder="1"/>
    <xf numFmtId="172" fontId="8" fillId="0" borderId="1" xfId="2" applyNumberFormat="1" applyFont="1" applyBorder="1" applyAlignment="1">
      <alignment horizontal="left"/>
    </xf>
    <xf numFmtId="43" fontId="24" fillId="0" borderId="1" xfId="1" applyNumberFormat="1" applyFont="1" applyFill="1" applyBorder="1"/>
    <xf numFmtId="43" fontId="24" fillId="0" borderId="1" xfId="1" applyFont="1" applyFill="1" applyBorder="1"/>
    <xf numFmtId="44" fontId="23" fillId="0" borderId="1" xfId="0" applyNumberFormat="1" applyFont="1" applyBorder="1"/>
    <xf numFmtId="170" fontId="26" fillId="0" borderId="0" xfId="3" applyNumberFormat="1" applyFont="1" applyBorder="1"/>
    <xf numFmtId="0" fontId="25" fillId="0" borderId="8" xfId="0" applyFont="1" applyBorder="1" applyAlignment="1">
      <alignment horizontal="center"/>
    </xf>
    <xf numFmtId="165" fontId="21" fillId="0" borderId="11" xfId="2" applyNumberFormat="1" applyFont="1" applyBorder="1"/>
    <xf numFmtId="165" fontId="21" fillId="0" borderId="11" xfId="2" applyNumberFormat="1" applyFont="1" applyFill="1" applyBorder="1"/>
    <xf numFmtId="165" fontId="21" fillId="0" borderId="1" xfId="0" applyNumberFormat="1" applyFont="1" applyBorder="1"/>
    <xf numFmtId="166" fontId="21" fillId="0" borderId="1" xfId="2" applyNumberFormat="1" applyFont="1" applyBorder="1" applyAlignment="1">
      <alignment horizontal="center"/>
    </xf>
    <xf numFmtId="164" fontId="21" fillId="0" borderId="1" xfId="1" applyNumberFormat="1" applyFont="1" applyBorder="1" applyAlignment="1">
      <alignment horizontal="center"/>
    </xf>
    <xf numFmtId="164" fontId="21" fillId="0" borderId="1" xfId="1" applyNumberFormat="1" applyFont="1" applyBorder="1"/>
    <xf numFmtId="0" fontId="25" fillId="0" borderId="1" xfId="0" applyFont="1" applyBorder="1"/>
    <xf numFmtId="0" fontId="25" fillId="0" borderId="1" xfId="0" applyFont="1" applyBorder="1" applyAlignment="1">
      <alignment horizontal="center"/>
    </xf>
    <xf numFmtId="0" fontId="21" fillId="0" borderId="0" xfId="0" applyFont="1" applyAlignment="1">
      <alignment horizontal="center"/>
    </xf>
    <xf numFmtId="0" fontId="25" fillId="0" borderId="0" xfId="0" applyFont="1" applyFill="1" applyBorder="1" applyAlignment="1">
      <alignment horizontal="left" wrapText="1"/>
    </xf>
    <xf numFmtId="0" fontId="25" fillId="0" borderId="0" xfId="0" applyFont="1" applyFill="1" applyBorder="1" applyAlignment="1">
      <alignment horizontal="center" wrapText="1"/>
    </xf>
    <xf numFmtId="166" fontId="25" fillId="0" borderId="0" xfId="0" applyNumberFormat="1" applyFont="1" applyFill="1" applyBorder="1"/>
    <xf numFmtId="0" fontId="21" fillId="0" borderId="0" xfId="0" applyFont="1" applyFill="1"/>
    <xf numFmtId="0" fontId="21" fillId="0" borderId="2" xfId="0" applyFont="1" applyBorder="1"/>
    <xf numFmtId="0" fontId="21" fillId="0" borderId="4" xfId="0" applyFont="1" applyBorder="1" applyAlignment="1">
      <alignment horizontal="center"/>
    </xf>
    <xf numFmtId="178" fontId="21" fillId="0" borderId="1" xfId="2" applyNumberFormat="1" applyFont="1" applyBorder="1"/>
    <xf numFmtId="0" fontId="25" fillId="0" borderId="4" xfId="0" applyFont="1" applyBorder="1" applyAlignment="1">
      <alignment horizontal="center"/>
    </xf>
    <xf numFmtId="166" fontId="25" fillId="0" borderId="1" xfId="2" applyNumberFormat="1" applyFont="1" applyBorder="1"/>
    <xf numFmtId="164" fontId="21" fillId="0" borderId="11" xfId="1" applyNumberFormat="1" applyFont="1" applyBorder="1"/>
    <xf numFmtId="166" fontId="21" fillId="0" borderId="1" xfId="2" applyNumberFormat="1" applyFont="1" applyBorder="1"/>
    <xf numFmtId="178" fontId="21" fillId="0" borderId="1" xfId="0" applyNumberFormat="1" applyFont="1" applyBorder="1"/>
    <xf numFmtId="164" fontId="25" fillId="0" borderId="1" xfId="1" applyNumberFormat="1" applyFont="1" applyBorder="1"/>
    <xf numFmtId="165" fontId="21" fillId="0" borderId="1" xfId="2" applyNumberFormat="1" applyFont="1" applyBorder="1"/>
    <xf numFmtId="0" fontId="21" fillId="0" borderId="0" xfId="0" applyFont="1" applyFill="1" applyBorder="1"/>
    <xf numFmtId="43" fontId="21" fillId="0" borderId="1" xfId="1" applyNumberFormat="1" applyFont="1" applyBorder="1"/>
    <xf numFmtId="0" fontId="25" fillId="0" borderId="1" xfId="0" applyFont="1" applyFill="1" applyBorder="1" applyAlignment="1">
      <alignment horizontal="left" wrapText="1"/>
    </xf>
    <xf numFmtId="166" fontId="25" fillId="0" borderId="1" xfId="0" applyNumberFormat="1" applyFont="1" applyFill="1" applyBorder="1"/>
    <xf numFmtId="0" fontId="25" fillId="0" borderId="2" xfId="0" applyFont="1" applyFill="1" applyBorder="1" applyAlignment="1">
      <alignment horizontal="left"/>
    </xf>
    <xf numFmtId="0" fontId="25" fillId="0" borderId="4" xfId="0" applyFont="1" applyFill="1" applyBorder="1" applyAlignment="1">
      <alignment horizontal="center" wrapText="1"/>
    </xf>
    <xf numFmtId="166" fontId="25" fillId="0" borderId="4" xfId="2" applyNumberFormat="1" applyFont="1" applyBorder="1"/>
    <xf numFmtId="0" fontId="21" fillId="0" borderId="7" xfId="0" applyFont="1" applyBorder="1"/>
    <xf numFmtId="166" fontId="21" fillId="0" borderId="1" xfId="0" applyNumberFormat="1" applyFont="1" applyBorder="1"/>
    <xf numFmtId="0" fontId="21" fillId="0" borderId="4" xfId="0" applyFont="1" applyFill="1" applyBorder="1" applyAlignment="1">
      <alignment horizontal="center" wrapText="1"/>
    </xf>
    <xf numFmtId="166" fontId="21" fillId="0" borderId="1" xfId="0" applyNumberFormat="1" applyFont="1" applyFill="1" applyBorder="1"/>
    <xf numFmtId="0" fontId="21" fillId="0" borderId="1" xfId="0" applyFont="1" applyFill="1" applyBorder="1" applyAlignment="1">
      <alignment horizontal="left"/>
    </xf>
    <xf numFmtId="164" fontId="21" fillId="0" borderId="0" xfId="0" applyNumberFormat="1" applyFont="1" applyFill="1"/>
    <xf numFmtId="9" fontId="0" fillId="6" borderId="0" xfId="3" applyNumberFormat="1" applyFont="1" applyFill="1"/>
    <xf numFmtId="167" fontId="21" fillId="0" borderId="0" xfId="0" applyNumberFormat="1" applyFont="1" applyFill="1"/>
    <xf numFmtId="8" fontId="23" fillId="0" borderId="1" xfId="0" applyNumberFormat="1" applyFont="1" applyBorder="1"/>
    <xf numFmtId="0" fontId="33" fillId="0" borderId="0" xfId="0" applyFont="1" applyAlignment="1">
      <alignment horizontal="justify" vertical="center"/>
    </xf>
    <xf numFmtId="0" fontId="34" fillId="0" borderId="0" xfId="21" applyAlignment="1">
      <alignment horizontal="justify" vertical="center"/>
    </xf>
    <xf numFmtId="0" fontId="0" fillId="0" borderId="2" xfId="0" quotePrefix="1" applyFont="1" applyBorder="1" applyAlignment="1"/>
    <xf numFmtId="0" fontId="0" fillId="0" borderId="1" xfId="0" applyFont="1" applyBorder="1" applyAlignment="1">
      <alignment horizontal="center"/>
    </xf>
    <xf numFmtId="0" fontId="0" fillId="2" borderId="0" xfId="0" applyFont="1" applyFill="1" applyAlignment="1">
      <alignment horizontal="center"/>
    </xf>
    <xf numFmtId="0" fontId="0" fillId="0" borderId="0" xfId="0" applyFont="1"/>
    <xf numFmtId="169" fontId="0" fillId="0" borderId="4" xfId="1" applyNumberFormat="1" applyFont="1" applyBorder="1"/>
    <xf numFmtId="169" fontId="2" fillId="0" borderId="4" xfId="1" applyNumberFormat="1" applyFont="1" applyBorder="1"/>
    <xf numFmtId="0" fontId="0" fillId="0" borderId="9" xfId="0" applyBorder="1"/>
    <xf numFmtId="169" fontId="0" fillId="0" borderId="10" xfId="1" applyNumberFormat="1" applyFont="1" applyBorder="1"/>
    <xf numFmtId="0" fontId="0" fillId="0" borderId="2" xfId="0" applyFill="1" applyBorder="1"/>
    <xf numFmtId="169" fontId="0" fillId="0" borderId="4" xfId="1" applyNumberFormat="1" applyFont="1" applyFill="1" applyBorder="1"/>
    <xf numFmtId="0" fontId="0" fillId="0" borderId="2" xfId="0" applyFont="1" applyFill="1" applyBorder="1"/>
    <xf numFmtId="0" fontId="2" fillId="0" borderId="4" xfId="0" applyFont="1" applyFill="1" applyBorder="1"/>
    <xf numFmtId="0" fontId="23" fillId="8" borderId="9" xfId="0" applyFont="1" applyFill="1" applyBorder="1" applyAlignment="1">
      <alignment vertical="center" wrapText="1"/>
    </xf>
    <xf numFmtId="0" fontId="23" fillId="8" borderId="10" xfId="0" applyFont="1" applyFill="1" applyBorder="1" applyAlignment="1">
      <alignment vertical="center" wrapText="1"/>
    </xf>
    <xf numFmtId="0" fontId="24" fillId="8" borderId="4" xfId="0" applyFont="1" applyFill="1" applyBorder="1" applyAlignment="1">
      <alignment horizontal="left" vertical="center" wrapText="1" indent="1"/>
    </xf>
    <xf numFmtId="0" fontId="23" fillId="8" borderId="2" xfId="0" applyFont="1" applyFill="1" applyBorder="1" applyAlignment="1">
      <alignment vertical="center" wrapText="1"/>
    </xf>
    <xf numFmtId="0" fontId="23" fillId="8" borderId="4" xfId="0" applyFont="1" applyFill="1" applyBorder="1" applyAlignment="1">
      <alignment vertical="center" wrapText="1"/>
    </xf>
    <xf numFmtId="0" fontId="23" fillId="8" borderId="14" xfId="0" applyFont="1" applyFill="1" applyBorder="1" applyAlignment="1">
      <alignment vertical="center" wrapText="1"/>
    </xf>
    <xf numFmtId="0" fontId="23" fillId="8" borderId="15" xfId="0" applyFont="1" applyFill="1" applyBorder="1" applyAlignment="1">
      <alignment vertical="center" wrapText="1"/>
    </xf>
    <xf numFmtId="0" fontId="23" fillId="8" borderId="1" xfId="0" applyFont="1" applyFill="1" applyBorder="1" applyAlignment="1">
      <alignment horizontal="center" vertical="center" wrapText="1"/>
    </xf>
    <xf numFmtId="3" fontId="24" fillId="9" borderId="1" xfId="0" applyNumberFormat="1" applyFont="1" applyFill="1" applyBorder="1" applyAlignment="1">
      <alignment horizontal="right" vertical="center" wrapText="1"/>
    </xf>
    <xf numFmtId="0" fontId="24" fillId="8" borderId="2" xfId="0" applyFont="1" applyFill="1" applyBorder="1" applyAlignment="1">
      <alignment vertical="center" wrapText="1"/>
    </xf>
    <xf numFmtId="0" fontId="29" fillId="8" borderId="1" xfId="0" applyFont="1" applyFill="1" applyBorder="1" applyAlignment="1">
      <alignment horizontal="center" vertical="center"/>
    </xf>
    <xf numFmtId="0" fontId="34" fillId="8" borderId="1" xfId="21" applyFill="1" applyBorder="1" applyAlignment="1">
      <alignment horizontal="center" vertical="center"/>
    </xf>
    <xf numFmtId="0" fontId="30" fillId="8" borderId="1" xfId="0" applyFont="1" applyFill="1" applyBorder="1" applyAlignment="1">
      <alignment vertical="center"/>
    </xf>
    <xf numFmtId="0" fontId="29" fillId="8" borderId="1" xfId="0" applyFont="1" applyFill="1" applyBorder="1" applyAlignment="1">
      <alignment vertical="center"/>
    </xf>
    <xf numFmtId="0" fontId="34" fillId="8" borderId="1" xfId="21" applyFill="1" applyBorder="1" applyAlignment="1">
      <alignment vertical="center"/>
    </xf>
    <xf numFmtId="0" fontId="34" fillId="0" borderId="1" xfId="21" applyBorder="1" applyAlignment="1">
      <alignment horizontal="justify" vertical="center"/>
    </xf>
    <xf numFmtId="0" fontId="30" fillId="0" borderId="1" xfId="0" applyFont="1" applyBorder="1" applyAlignment="1">
      <alignment horizontal="right" vertical="center"/>
    </xf>
    <xf numFmtId="3" fontId="30" fillId="0" borderId="1" xfId="0" applyNumberFormat="1" applyFont="1" applyBorder="1" applyAlignment="1">
      <alignment horizontal="right" vertical="center"/>
    </xf>
    <xf numFmtId="3" fontId="29" fillId="8" borderId="1" xfId="0" applyNumberFormat="1" applyFont="1" applyFill="1" applyBorder="1" applyAlignment="1">
      <alignment horizontal="right" vertical="center"/>
    </xf>
    <xf numFmtId="164" fontId="30" fillId="0" borderId="1" xfId="1" applyNumberFormat="1" applyFont="1" applyBorder="1" applyAlignment="1">
      <alignment horizontal="right" vertical="center"/>
    </xf>
    <xf numFmtId="164" fontId="0" fillId="0" borderId="0" xfId="1" applyNumberFormat="1" applyFont="1" applyFill="1"/>
    <xf numFmtId="0" fontId="5" fillId="0" borderId="3" xfId="0" applyFont="1" applyFill="1" applyBorder="1"/>
    <xf numFmtId="164" fontId="0" fillId="0" borderId="11" xfId="0" applyNumberFormat="1" applyFill="1" applyBorder="1"/>
    <xf numFmtId="43" fontId="0" fillId="0" borderId="0" xfId="1" applyFont="1" applyFill="1"/>
    <xf numFmtId="166" fontId="0" fillId="0" borderId="0" xfId="0" applyNumberFormat="1" applyFill="1"/>
    <xf numFmtId="164" fontId="0" fillId="0" borderId="1" xfId="1" applyNumberFormat="1" applyFont="1" applyFill="1" applyBorder="1" applyAlignment="1">
      <alignment horizontal="center"/>
    </xf>
    <xf numFmtId="0" fontId="0" fillId="0" borderId="0" xfId="0" applyFill="1" applyAlignment="1">
      <alignment horizontal="center"/>
    </xf>
    <xf numFmtId="164" fontId="2" fillId="0" borderId="0" xfId="1" applyNumberFormat="1" applyFont="1" applyFill="1"/>
    <xf numFmtId="0" fontId="0" fillId="0" borderId="11" xfId="0" applyFill="1" applyBorder="1"/>
    <xf numFmtId="0" fontId="2" fillId="10" borderId="2" xfId="0" applyFont="1" applyFill="1" applyBorder="1" applyAlignment="1"/>
    <xf numFmtId="0" fontId="2" fillId="10" borderId="1" xfId="0" applyFont="1" applyFill="1" applyBorder="1" applyAlignment="1">
      <alignment horizontal="center"/>
    </xf>
    <xf numFmtId="0" fontId="2" fillId="0" borderId="0" xfId="0" applyFont="1" applyFill="1" applyBorder="1" applyAlignment="1"/>
    <xf numFmtId="0" fontId="2" fillId="0" borderId="11" xfId="0" applyFont="1" applyFill="1" applyBorder="1" applyAlignment="1">
      <alignment horizontal="center"/>
    </xf>
    <xf numFmtId="10" fontId="0" fillId="0" borderId="0" xfId="3" applyNumberFormat="1" applyFont="1" applyFill="1"/>
    <xf numFmtId="170" fontId="0" fillId="0" borderId="0" xfId="3" applyNumberFormat="1" applyFont="1" applyFill="1"/>
    <xf numFmtId="9" fontId="0" fillId="0" borderId="0" xfId="3" applyFont="1" applyFill="1"/>
    <xf numFmtId="0" fontId="2" fillId="0" borderId="0" xfId="0" applyFont="1" applyFill="1"/>
    <xf numFmtId="9" fontId="0" fillId="0" borderId="0" xfId="3" applyNumberFormat="1" applyFont="1" applyFill="1"/>
    <xf numFmtId="166" fontId="0" fillId="0" borderId="0" xfId="2" applyNumberFormat="1" applyFont="1" applyFill="1"/>
    <xf numFmtId="166" fontId="12" fillId="0" borderId="1" xfId="2" applyNumberFormat="1" applyFont="1" applyFill="1" applyBorder="1"/>
    <xf numFmtId="164" fontId="2" fillId="0" borderId="7" xfId="0" applyNumberFormat="1" applyFont="1" applyFill="1" applyBorder="1"/>
    <xf numFmtId="166" fontId="2" fillId="0" borderId="5" xfId="2" applyNumberFormat="1" applyFont="1" applyFill="1" applyBorder="1"/>
    <xf numFmtId="166" fontId="2" fillId="0" borderId="8" xfId="2" applyNumberFormat="1" applyFont="1" applyFill="1" applyBorder="1"/>
    <xf numFmtId="170" fontId="2" fillId="0" borderId="0" xfId="3" applyNumberFormat="1" applyFont="1" applyFill="1"/>
    <xf numFmtId="3" fontId="0" fillId="0" borderId="0" xfId="0" applyNumberFormat="1" applyFill="1"/>
    <xf numFmtId="164" fontId="2" fillId="0" borderId="0" xfId="0" applyNumberFormat="1" applyFont="1" applyFill="1"/>
    <xf numFmtId="0" fontId="0" fillId="0" borderId="1" xfId="0" applyFont="1" applyBorder="1" applyAlignment="1">
      <alignment horizontal="left"/>
    </xf>
    <xf numFmtId="169" fontId="0" fillId="0" borderId="11" xfId="1" applyNumberFormat="1" applyFont="1" applyBorder="1"/>
    <xf numFmtId="164" fontId="0" fillId="0" borderId="11" xfId="1" applyNumberFormat="1" applyFont="1" applyBorder="1" applyAlignment="1">
      <alignment horizontal="center"/>
    </xf>
    <xf numFmtId="0" fontId="2" fillId="0" borderId="1" xfId="0" applyFont="1" applyFill="1" applyBorder="1" applyAlignment="1">
      <alignment vertical="top" wrapText="1"/>
    </xf>
    <xf numFmtId="164" fontId="2" fillId="0" borderId="1" xfId="0" applyNumberFormat="1" applyFont="1" applyFill="1" applyBorder="1" applyAlignment="1">
      <alignment vertical="top" wrapText="1"/>
    </xf>
    <xf numFmtId="171" fontId="0" fillId="0" borderId="1" xfId="0" quotePrefix="1" applyNumberFormat="1" applyFont="1" applyBorder="1" applyAlignment="1">
      <alignment horizontal="left" wrapText="1"/>
    </xf>
    <xf numFmtId="166" fontId="0" fillId="0" borderId="11" xfId="2" applyNumberFormat="1" applyFont="1" applyBorder="1" applyAlignment="1">
      <alignment horizontal="center"/>
    </xf>
    <xf numFmtId="43" fontId="0" fillId="0" borderId="11" xfId="1" applyNumberFormat="1" applyFont="1" applyBorder="1"/>
    <xf numFmtId="43" fontId="0" fillId="0" borderId="1" xfId="1" applyNumberFormat="1" applyFont="1" applyFill="1" applyBorder="1"/>
    <xf numFmtId="164" fontId="12" fillId="0" borderId="1" xfId="0" applyNumberFormat="1" applyFont="1" applyFill="1" applyBorder="1" applyAlignment="1">
      <alignment wrapText="1"/>
    </xf>
    <xf numFmtId="164" fontId="12" fillId="0" borderId="1" xfId="0" applyNumberFormat="1" applyFont="1" applyFill="1" applyBorder="1"/>
    <xf numFmtId="41" fontId="12" fillId="0" borderId="1" xfId="0" applyNumberFormat="1" applyFont="1" applyFill="1" applyBorder="1" applyAlignment="1">
      <alignment wrapText="1"/>
    </xf>
    <xf numFmtId="41" fontId="12" fillId="0" borderId="1" xfId="0" applyNumberFormat="1" applyFont="1" applyFill="1" applyBorder="1"/>
    <xf numFmtId="37" fontId="12" fillId="0" borderId="1" xfId="0" applyNumberFormat="1" applyFont="1" applyFill="1" applyBorder="1" applyAlignment="1">
      <alignment wrapText="1"/>
    </xf>
    <xf numFmtId="37" fontId="12" fillId="0" borderId="1" xfId="0" applyNumberFormat="1" applyFont="1" applyFill="1" applyBorder="1"/>
    <xf numFmtId="164" fontId="12" fillId="0" borderId="1" xfId="1" applyNumberFormat="1" applyFont="1" applyFill="1" applyBorder="1" applyAlignment="1">
      <alignment wrapText="1"/>
    </xf>
    <xf numFmtId="164" fontId="12" fillId="0" borderId="12" xfId="1" applyNumberFormat="1" applyFont="1" applyFill="1" applyBorder="1" applyAlignment="1">
      <alignment wrapText="1"/>
    </xf>
    <xf numFmtId="164" fontId="12" fillId="0" borderId="12" xfId="1" applyNumberFormat="1" applyFont="1" applyFill="1" applyBorder="1"/>
    <xf numFmtId="164" fontId="12" fillId="0" borderId="13" xfId="1" applyNumberFormat="1" applyFont="1" applyFill="1" applyBorder="1"/>
    <xf numFmtId="164" fontId="2" fillId="0" borderId="0" xfId="0" applyNumberFormat="1" applyFont="1" applyFill="1" applyBorder="1"/>
    <xf numFmtId="166" fontId="2" fillId="0" borderId="0" xfId="2" applyNumberFormat="1" applyFont="1" applyFill="1" applyBorder="1"/>
    <xf numFmtId="0" fontId="2" fillId="0" borderId="0" xfId="0" applyFont="1" applyAlignment="1">
      <alignment horizontal="center"/>
    </xf>
    <xf numFmtId="0" fontId="0" fillId="0" borderId="0" xfId="0" applyAlignment="1">
      <alignment horizontal="center"/>
    </xf>
    <xf numFmtId="164" fontId="11" fillId="0" borderId="1" xfId="1" applyNumberFormat="1" applyFont="1" applyFill="1" applyBorder="1"/>
    <xf numFmtId="3" fontId="0" fillId="0" borderId="0" xfId="0" applyNumberFormat="1"/>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4" fillId="0" borderId="1" xfId="0" applyFont="1" applyFill="1" applyBorder="1" applyAlignment="1">
      <alignment vertical="center" wrapText="1"/>
    </xf>
    <xf numFmtId="3" fontId="24" fillId="0" borderId="1" xfId="0" applyNumberFormat="1" applyFont="1" applyFill="1" applyBorder="1" applyAlignment="1">
      <alignment horizontal="right" vertical="center" wrapText="1"/>
    </xf>
    <xf numFmtId="0" fontId="24" fillId="0" borderId="2" xfId="0" applyFont="1" applyFill="1" applyBorder="1" applyAlignment="1">
      <alignment vertical="center" wrapText="1"/>
    </xf>
    <xf numFmtId="0" fontId="24" fillId="0" borderId="1" xfId="0" applyFont="1" applyFill="1" applyBorder="1" applyAlignment="1">
      <alignment horizontal="right" vertical="center" wrapText="1"/>
    </xf>
    <xf numFmtId="0" fontId="24" fillId="0" borderId="1" xfId="0" applyFont="1" applyFill="1" applyBorder="1" applyAlignment="1">
      <alignment horizontal="left" vertical="center" wrapText="1" indent="1"/>
    </xf>
    <xf numFmtId="0" fontId="17" fillId="0" borderId="1" xfId="0" applyFont="1" applyFill="1" applyBorder="1" applyAlignment="1">
      <alignment horizontal="left" vertical="center" wrapText="1" indent="1"/>
    </xf>
    <xf numFmtId="0" fontId="23" fillId="0" borderId="1" xfId="0" applyFont="1" applyFill="1" applyBorder="1" applyAlignment="1">
      <alignment horizontal="left" vertical="center" wrapText="1" indent="1"/>
    </xf>
    <xf numFmtId="3" fontId="23" fillId="0" borderId="1" xfId="0" applyNumberFormat="1" applyFont="1" applyFill="1" applyBorder="1" applyAlignment="1">
      <alignment horizontal="right" vertical="center" wrapText="1"/>
    </xf>
    <xf numFmtId="0" fontId="23" fillId="0" borderId="1" xfId="0" applyFont="1" applyFill="1" applyBorder="1" applyAlignment="1">
      <alignment horizontal="left" vertical="center" wrapText="1" indent="2"/>
    </xf>
    <xf numFmtId="0" fontId="34" fillId="0" borderId="1" xfId="21" applyFill="1" applyBorder="1" applyAlignment="1">
      <alignment horizontal="left" vertical="center" wrapText="1" indent="1"/>
    </xf>
    <xf numFmtId="0" fontId="23" fillId="0" borderId="1" xfId="0" applyFont="1" applyFill="1" applyBorder="1" applyAlignment="1">
      <alignment vertical="center" wrapText="1"/>
    </xf>
    <xf numFmtId="0" fontId="23" fillId="0" borderId="1" xfId="0" applyFont="1" applyFill="1" applyBorder="1" applyAlignment="1">
      <alignment horizontal="right" vertical="center" wrapText="1"/>
    </xf>
    <xf numFmtId="0" fontId="34" fillId="0" borderId="1" xfId="21" applyFill="1" applyBorder="1" applyAlignment="1">
      <alignment vertical="center" wrapText="1"/>
    </xf>
    <xf numFmtId="0" fontId="35" fillId="0" borderId="1" xfId="0" applyFont="1" applyFill="1" applyBorder="1" applyAlignment="1">
      <alignment horizontal="right" vertical="center" wrapText="1"/>
    </xf>
    <xf numFmtId="164" fontId="24" fillId="0" borderId="1" xfId="1" applyNumberFormat="1" applyFont="1" applyFill="1" applyBorder="1" applyAlignment="1">
      <alignment horizontal="right" vertical="center" wrapText="1"/>
    </xf>
    <xf numFmtId="164" fontId="23" fillId="0" borderId="1" xfId="1" applyNumberFormat="1" applyFont="1" applyFill="1" applyBorder="1" applyAlignment="1">
      <alignment horizontal="right" vertical="center" wrapText="1"/>
    </xf>
    <xf numFmtId="170" fontId="35" fillId="0" borderId="1" xfId="0" applyNumberFormat="1" applyFont="1" applyFill="1" applyBorder="1" applyAlignment="1">
      <alignment horizontal="right" vertical="center" wrapText="1"/>
    </xf>
    <xf numFmtId="0" fontId="37" fillId="0" borderId="1" xfId="0" applyFont="1" applyFill="1" applyBorder="1" applyAlignment="1">
      <alignment horizontal="center"/>
    </xf>
    <xf numFmtId="164" fontId="38" fillId="0" borderId="1" xfId="1" applyNumberFormat="1" applyFont="1" applyFill="1" applyBorder="1"/>
    <xf numFmtId="0" fontId="23" fillId="0" borderId="1" xfId="0" applyFont="1" applyFill="1" applyBorder="1" applyAlignment="1">
      <alignment vertical="center" wrapText="1"/>
    </xf>
    <xf numFmtId="0" fontId="24" fillId="0" borderId="11" xfId="0" applyFont="1" applyFill="1" applyBorder="1" applyAlignment="1">
      <alignment vertical="center" wrapText="1"/>
    </xf>
    <xf numFmtId="3" fontId="24" fillId="0" borderId="11" xfId="0" applyNumberFormat="1" applyFont="1" applyFill="1" applyBorder="1" applyAlignment="1">
      <alignment horizontal="right" vertical="center" wrapText="1"/>
    </xf>
    <xf numFmtId="0" fontId="23" fillId="0" borderId="8" xfId="0" applyFont="1" applyFill="1" applyBorder="1" applyAlignment="1">
      <alignment vertical="center" wrapText="1"/>
    </xf>
    <xf numFmtId="0" fontId="23" fillId="0" borderId="10" xfId="0" applyFont="1" applyFill="1" applyBorder="1" applyAlignment="1">
      <alignment vertical="center" wrapText="1"/>
    </xf>
    <xf numFmtId="0" fontId="24" fillId="0" borderId="4" xfId="0" applyFont="1" applyFill="1" applyBorder="1" applyAlignment="1">
      <alignment vertical="center" wrapText="1"/>
    </xf>
    <xf numFmtId="0" fontId="23" fillId="0" borderId="2" xfId="0" applyFont="1" applyFill="1" applyBorder="1" applyAlignment="1">
      <alignment vertical="center" wrapText="1"/>
    </xf>
    <xf numFmtId="0" fontId="23" fillId="0" borderId="4" xfId="0" applyFont="1" applyFill="1" applyBorder="1" applyAlignment="1">
      <alignment vertical="center" wrapText="1"/>
    </xf>
    <xf numFmtId="0" fontId="24" fillId="0" borderId="2" xfId="0" applyFont="1" applyFill="1" applyBorder="1" applyAlignment="1">
      <alignment horizontal="left" vertical="center" wrapText="1" indent="1"/>
    </xf>
    <xf numFmtId="0" fontId="24" fillId="0" borderId="4" xfId="0" applyFont="1" applyFill="1" applyBorder="1" applyAlignment="1">
      <alignment horizontal="left" vertical="center" wrapText="1" indent="1"/>
    </xf>
    <xf numFmtId="0" fontId="23" fillId="0" borderId="14" xfId="0" applyFont="1" applyFill="1" applyBorder="1" applyAlignment="1">
      <alignment vertical="center" wrapText="1"/>
    </xf>
    <xf numFmtId="0" fontId="23" fillId="0" borderId="15" xfId="0" applyFont="1" applyFill="1" applyBorder="1" applyAlignment="1">
      <alignment vertical="center" wrapText="1"/>
    </xf>
    <xf numFmtId="170" fontId="23" fillId="0" borderId="1" xfId="0" applyNumberFormat="1" applyFont="1" applyFill="1" applyBorder="1" applyAlignment="1">
      <alignment horizontal="right" vertical="center" wrapText="1"/>
    </xf>
    <xf numFmtId="0" fontId="17" fillId="0" borderId="1" xfId="0" applyFont="1" applyBorder="1" applyAlignment="1">
      <alignment horizontal="center" vertical="center" wrapText="1"/>
    </xf>
    <xf numFmtId="3" fontId="17" fillId="0" borderId="1" xfId="0" applyNumberFormat="1" applyFont="1" applyBorder="1" applyAlignment="1">
      <alignment horizontal="right" vertical="center"/>
    </xf>
    <xf numFmtId="0" fontId="31" fillId="8" borderId="1" xfId="0" applyFont="1" applyFill="1" applyBorder="1" applyAlignment="1">
      <alignment vertical="center"/>
    </xf>
    <xf numFmtId="0" fontId="31" fillId="8" borderId="1" xfId="0" applyFont="1" applyFill="1" applyBorder="1" applyAlignment="1">
      <alignment horizontal="right" vertical="center"/>
    </xf>
    <xf numFmtId="0" fontId="34" fillId="0" borderId="1" xfId="21" applyFill="1" applyBorder="1" applyAlignment="1">
      <alignment vertical="center"/>
    </xf>
    <xf numFmtId="0" fontId="24" fillId="0" borderId="1" xfId="0" applyFont="1" applyFill="1" applyBorder="1" applyAlignment="1">
      <alignment horizontal="center" vertical="center"/>
    </xf>
    <xf numFmtId="3" fontId="24" fillId="0" borderId="1" xfId="0" applyNumberFormat="1" applyFont="1" applyFill="1" applyBorder="1" applyAlignment="1">
      <alignment vertical="center"/>
    </xf>
    <xf numFmtId="0" fontId="24" fillId="0" borderId="1"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3" fontId="23" fillId="0" borderId="1" xfId="0" applyNumberFormat="1" applyFont="1" applyFill="1" applyBorder="1" applyAlignment="1">
      <alignment vertical="center"/>
    </xf>
    <xf numFmtId="0" fontId="22" fillId="0" borderId="0" xfId="0" applyFont="1" applyFill="1"/>
    <xf numFmtId="0" fontId="17" fillId="0" borderId="1" xfId="0" applyFont="1" applyFill="1" applyBorder="1" applyAlignment="1">
      <alignment horizontal="center" vertical="center" wrapText="1"/>
    </xf>
    <xf numFmtId="3" fontId="17" fillId="0" borderId="1" xfId="0" applyNumberFormat="1" applyFont="1" applyFill="1" applyBorder="1" applyAlignment="1">
      <alignment horizontal="right" vertical="center"/>
    </xf>
    <xf numFmtId="0" fontId="17" fillId="0" borderId="1" xfId="0" applyFont="1" applyFill="1" applyBorder="1" applyAlignment="1">
      <alignment vertical="center"/>
    </xf>
    <xf numFmtId="0" fontId="31" fillId="0" borderId="1" xfId="0" applyFont="1" applyFill="1" applyBorder="1" applyAlignment="1">
      <alignment vertical="center"/>
    </xf>
    <xf numFmtId="0" fontId="31" fillId="0" borderId="1" xfId="0" applyFont="1" applyFill="1" applyBorder="1" applyAlignment="1">
      <alignment horizontal="right" vertical="center"/>
    </xf>
    <xf numFmtId="0" fontId="33" fillId="0" borderId="0" xfId="0" applyFont="1" applyFill="1" applyBorder="1" applyAlignment="1">
      <alignment horizontal="justify" vertical="center"/>
    </xf>
    <xf numFmtId="0" fontId="0" fillId="0" borderId="0" xfId="0" applyFill="1" applyBorder="1"/>
    <xf numFmtId="0" fontId="25" fillId="0" borderId="1" xfId="0" applyFont="1" applyFill="1" applyBorder="1" applyAlignment="1">
      <alignment horizontal="center" vertical="center" wrapText="1"/>
    </xf>
    <xf numFmtId="0" fontId="21" fillId="0" borderId="1" xfId="0" applyFont="1" applyFill="1" applyBorder="1" applyAlignment="1">
      <alignment horizontal="left" vertical="center" wrapText="1" indent="2"/>
    </xf>
    <xf numFmtId="0" fontId="21" fillId="0" borderId="1" xfId="0" applyFont="1" applyFill="1" applyBorder="1" applyAlignment="1">
      <alignment horizontal="center" vertical="center" wrapText="1"/>
    </xf>
    <xf numFmtId="3" fontId="21" fillId="0" borderId="1" xfId="0" applyNumberFormat="1" applyFont="1" applyFill="1" applyBorder="1" applyAlignment="1">
      <alignment horizontal="right" vertical="center" wrapText="1"/>
    </xf>
    <xf numFmtId="164" fontId="21" fillId="0" borderId="1" xfId="1" applyNumberFormat="1" applyFont="1" applyFill="1" applyBorder="1" applyAlignment="1">
      <alignment horizontal="right" vertical="center" wrapText="1"/>
    </xf>
    <xf numFmtId="0" fontId="21" fillId="0" borderId="1" xfId="0" applyFont="1" applyFill="1" applyBorder="1" applyAlignment="1">
      <alignment horizontal="left" vertical="center" wrapText="1" indent="1"/>
    </xf>
    <xf numFmtId="0" fontId="25" fillId="0" borderId="1" xfId="0" applyFont="1" applyFill="1" applyBorder="1" applyAlignment="1">
      <alignment vertical="center" wrapText="1"/>
    </xf>
    <xf numFmtId="3" fontId="25" fillId="0" borderId="1" xfId="0" applyNumberFormat="1" applyFont="1" applyFill="1" applyBorder="1" applyAlignment="1">
      <alignment horizontal="right" vertical="center" wrapText="1"/>
    </xf>
    <xf numFmtId="0" fontId="21" fillId="0" borderId="1" xfId="0" applyFont="1" applyFill="1" applyBorder="1" applyAlignment="1">
      <alignment vertical="center" wrapText="1"/>
    </xf>
    <xf numFmtId="0" fontId="40" fillId="0" borderId="1" xfId="0" applyFont="1" applyFill="1" applyBorder="1" applyAlignment="1">
      <alignment horizontal="center" vertical="center" wrapText="1"/>
    </xf>
    <xf numFmtId="180" fontId="25" fillId="0" borderId="1" xfId="0" applyNumberFormat="1" applyFont="1" applyFill="1" applyBorder="1" applyAlignment="1">
      <alignment horizontal="right" vertical="center" wrapText="1"/>
    </xf>
    <xf numFmtId="0" fontId="25" fillId="0" borderId="1" xfId="0" applyFont="1" applyFill="1" applyBorder="1" applyAlignment="1">
      <alignment horizontal="right"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181" fontId="24" fillId="0" borderId="1" xfId="1" applyNumberFormat="1" applyFont="1" applyFill="1" applyBorder="1" applyAlignment="1">
      <alignment horizontal="justify" vertical="center" wrapText="1"/>
    </xf>
    <xf numFmtId="181" fontId="23" fillId="0" borderId="1" xfId="0" applyNumberFormat="1" applyFont="1" applyFill="1" applyBorder="1" applyAlignment="1">
      <alignment horizontal="right" vertical="center" wrapText="1"/>
    </xf>
    <xf numFmtId="0" fontId="21" fillId="0" borderId="14" xfId="0" applyFont="1" applyFill="1" applyBorder="1"/>
    <xf numFmtId="0" fontId="21" fillId="0" borderId="15" xfId="0" applyFont="1" applyFill="1" applyBorder="1"/>
    <xf numFmtId="0" fontId="25" fillId="0" borderId="11" xfId="0" applyFont="1" applyFill="1" applyBorder="1" applyAlignment="1">
      <alignment horizontal="center" wrapText="1"/>
    </xf>
    <xf numFmtId="0" fontId="21" fillId="0" borderId="1" xfId="0" applyFont="1" applyFill="1" applyBorder="1"/>
    <xf numFmtId="0" fontId="21" fillId="0" borderId="1" xfId="0" applyFont="1" applyFill="1" applyBorder="1" applyAlignment="1">
      <alignment horizontal="center"/>
    </xf>
    <xf numFmtId="164" fontId="21" fillId="0" borderId="1" xfId="1" applyNumberFormat="1" applyFont="1" applyFill="1" applyBorder="1"/>
    <xf numFmtId="0" fontId="21" fillId="0" borderId="1" xfId="0" applyFont="1" applyFill="1" applyBorder="1" applyAlignment="1">
      <alignment wrapText="1"/>
    </xf>
    <xf numFmtId="0" fontId="25" fillId="0" borderId="1" xfId="0" applyFont="1" applyFill="1" applyBorder="1"/>
    <xf numFmtId="0" fontId="25" fillId="0" borderId="1" xfId="0" applyFont="1" applyFill="1" applyBorder="1" applyAlignment="1">
      <alignment horizontal="center"/>
    </xf>
    <xf numFmtId="164" fontId="25" fillId="0" borderId="1" xfId="1" applyNumberFormat="1" applyFont="1" applyFill="1" applyBorder="1"/>
    <xf numFmtId="0" fontId="25" fillId="0" borderId="1" xfId="0" applyFont="1" applyFill="1" applyBorder="1" applyAlignment="1">
      <alignment wrapText="1"/>
    </xf>
    <xf numFmtId="0" fontId="31" fillId="8"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17" fillId="0" borderId="1" xfId="0" applyFont="1" applyFill="1" applyBorder="1" applyAlignment="1">
      <alignment horizontal="left" vertical="center" indent="1"/>
    </xf>
    <xf numFmtId="3" fontId="17" fillId="0" borderId="1" xfId="0" applyNumberFormat="1" applyFont="1" applyFill="1" applyBorder="1" applyAlignment="1">
      <alignment horizontal="right" vertical="center" wrapText="1"/>
    </xf>
    <xf numFmtId="180" fontId="17" fillId="0" borderId="1" xfId="0" applyNumberFormat="1" applyFont="1" applyFill="1" applyBorder="1" applyAlignment="1">
      <alignment horizontal="right" vertical="center" wrapText="1"/>
    </xf>
    <xf numFmtId="0" fontId="31" fillId="0" borderId="1" xfId="0" applyFont="1" applyFill="1" applyBorder="1" applyAlignment="1">
      <alignment horizontal="left" vertical="center" indent="1"/>
    </xf>
    <xf numFmtId="181" fontId="31" fillId="0" borderId="1" xfId="1" applyNumberFormat="1" applyFont="1" applyFill="1" applyBorder="1" applyAlignment="1">
      <alignment horizontal="right" vertical="center" wrapText="1"/>
    </xf>
    <xf numFmtId="166" fontId="21" fillId="0" borderId="11" xfId="2" applyNumberFormat="1" applyFont="1" applyBorder="1"/>
    <xf numFmtId="166" fontId="25" fillId="0" borderId="1" xfId="0" applyNumberFormat="1" applyFont="1" applyBorder="1"/>
    <xf numFmtId="166" fontId="0" fillId="0" borderId="0" xfId="2" applyNumberFormat="1" applyFont="1"/>
    <xf numFmtId="0" fontId="17" fillId="0" borderId="1" xfId="0" applyFont="1" applyBorder="1" applyAlignment="1">
      <alignment vertical="center"/>
    </xf>
    <xf numFmtId="0" fontId="37" fillId="12" borderId="1" xfId="0" applyFont="1" applyFill="1" applyBorder="1" applyAlignment="1">
      <alignment horizontal="center" wrapText="1"/>
    </xf>
    <xf numFmtId="0" fontId="37" fillId="12" borderId="1" xfId="0" applyFont="1" applyFill="1" applyBorder="1" applyAlignment="1">
      <alignment horizontal="center"/>
    </xf>
    <xf numFmtId="0" fontId="38" fillId="0" borderId="0" xfId="0" applyFont="1"/>
    <xf numFmtId="0" fontId="38" fillId="0" borderId="14" xfId="0" applyFont="1" applyBorder="1"/>
    <xf numFmtId="0" fontId="38" fillId="0" borderId="0" xfId="0" applyFont="1" applyBorder="1"/>
    <xf numFmtId="0" fontId="38" fillId="0" borderId="15" xfId="0" applyFont="1" applyBorder="1"/>
    <xf numFmtId="40" fontId="38" fillId="0" borderId="0" xfId="0" applyNumberFormat="1" applyFont="1" applyBorder="1"/>
    <xf numFmtId="40" fontId="38" fillId="0" borderId="15" xfId="0" applyNumberFormat="1" applyFont="1" applyBorder="1"/>
    <xf numFmtId="176" fontId="38" fillId="13" borderId="14" xfId="0" applyNumberFormat="1" applyFont="1" applyFill="1" applyBorder="1" applyAlignment="1">
      <alignment horizontal="center"/>
    </xf>
    <xf numFmtId="38" fontId="38" fillId="0" borderId="0" xfId="0" applyNumberFormat="1" applyFont="1" applyBorder="1"/>
    <xf numFmtId="40" fontId="38" fillId="0" borderId="0" xfId="0" applyNumberFormat="1" applyFont="1" applyFill="1" applyBorder="1"/>
    <xf numFmtId="0" fontId="38" fillId="11" borderId="2" xfId="0" applyFont="1" applyFill="1" applyBorder="1"/>
    <xf numFmtId="38" fontId="38" fillId="11" borderId="3" xfId="0" applyNumberFormat="1" applyFont="1" applyFill="1" applyBorder="1"/>
    <xf numFmtId="40" fontId="38" fillId="11" borderId="4" xfId="0" applyNumberFormat="1" applyFont="1" applyFill="1" applyBorder="1"/>
    <xf numFmtId="164" fontId="38" fillId="0" borderId="0" xfId="1" applyNumberFormat="1" applyFont="1"/>
    <xf numFmtId="166" fontId="38" fillId="0" borderId="0" xfId="0" applyNumberFormat="1" applyFont="1"/>
    <xf numFmtId="0" fontId="38" fillId="0" borderId="0" xfId="0" applyFont="1" applyBorder="1" applyAlignment="1">
      <alignment horizontal="center"/>
    </xf>
    <xf numFmtId="0" fontId="38" fillId="0" borderId="15" xfId="0" applyFont="1" applyBorder="1" applyAlignment="1">
      <alignment horizontal="center"/>
    </xf>
    <xf numFmtId="17" fontId="38" fillId="0" borderId="14" xfId="0" applyNumberFormat="1" applyFont="1" applyFill="1" applyBorder="1" applyAlignment="1">
      <alignment horizontal="left"/>
    </xf>
    <xf numFmtId="164" fontId="38" fillId="0" borderId="0" xfId="1" applyNumberFormat="1" applyFont="1" applyBorder="1"/>
    <xf numFmtId="164" fontId="38" fillId="0" borderId="0" xfId="0" applyNumberFormat="1" applyFont="1" applyBorder="1"/>
    <xf numFmtId="43" fontId="38" fillId="0" borderId="0" xfId="0" applyNumberFormat="1" applyFont="1" applyFill="1" applyBorder="1"/>
    <xf numFmtId="43" fontId="38" fillId="0" borderId="0" xfId="0" applyNumberFormat="1" applyFont="1" applyBorder="1"/>
    <xf numFmtId="10" fontId="38" fillId="0" borderId="0" xfId="3" applyNumberFormat="1" applyFont="1" applyBorder="1"/>
    <xf numFmtId="43" fontId="38" fillId="0" borderId="15" xfId="0" applyNumberFormat="1" applyFont="1" applyBorder="1"/>
    <xf numFmtId="17" fontId="38" fillId="0" borderId="14" xfId="0" applyNumberFormat="1" applyFont="1" applyFill="1" applyBorder="1"/>
    <xf numFmtId="0" fontId="38" fillId="0" borderId="9" xfId="0" applyFont="1" applyBorder="1"/>
    <xf numFmtId="0" fontId="38" fillId="0" borderId="6" xfId="0" applyFont="1" applyBorder="1"/>
    <xf numFmtId="0" fontId="38" fillId="0" borderId="10" xfId="0" applyFont="1" applyBorder="1"/>
    <xf numFmtId="166" fontId="38" fillId="0" borderId="15" xfId="2" applyNumberFormat="1" applyFont="1" applyBorder="1"/>
    <xf numFmtId="0" fontId="38" fillId="0" borderId="10" xfId="0" applyFont="1" applyBorder="1" applyAlignment="1">
      <alignment horizontal="center"/>
    </xf>
    <xf numFmtId="164" fontId="38" fillId="0" borderId="15" xfId="1" applyNumberFormat="1" applyFont="1" applyBorder="1"/>
    <xf numFmtId="164" fontId="38" fillId="0" borderId="10" xfId="1" applyNumberFormat="1" applyFont="1" applyBorder="1"/>
    <xf numFmtId="0" fontId="37" fillId="0" borderId="9" xfId="0" applyFont="1" applyBorder="1"/>
    <xf numFmtId="166" fontId="37" fillId="0" borderId="4" xfId="0" applyNumberFormat="1" applyFont="1" applyBorder="1"/>
    <xf numFmtId="0" fontId="17" fillId="0" borderId="1" xfId="0" applyFont="1" applyBorder="1" applyAlignment="1">
      <alignment horizontal="right" vertical="center"/>
    </xf>
    <xf numFmtId="3" fontId="31" fillId="8" borderId="1" xfId="0" applyNumberFormat="1" applyFont="1" applyFill="1" applyBorder="1" applyAlignment="1">
      <alignment horizontal="right" vertical="center"/>
    </xf>
    <xf numFmtId="164" fontId="17" fillId="0" borderId="1" xfId="1" applyNumberFormat="1" applyFont="1" applyBorder="1" applyAlignment="1">
      <alignment horizontal="right" vertical="center"/>
    </xf>
    <xf numFmtId="0" fontId="24" fillId="0" borderId="1" xfId="0" applyFont="1" applyBorder="1" applyAlignment="1">
      <alignment horizontal="center"/>
    </xf>
    <xf numFmtId="0" fontId="24" fillId="0" borderId="1" xfId="0" applyFont="1" applyBorder="1" applyAlignment="1">
      <alignment horizontal="center" wrapText="1"/>
    </xf>
    <xf numFmtId="38" fontId="24" fillId="0" borderId="1" xfId="0" applyNumberFormat="1" applyFont="1" applyBorder="1"/>
    <xf numFmtId="37" fontId="24" fillId="0" borderId="1" xfId="0" applyNumberFormat="1" applyFont="1" applyBorder="1"/>
    <xf numFmtId="37" fontId="24" fillId="0" borderId="1" xfId="1" applyNumberFormat="1" applyFont="1" applyBorder="1"/>
    <xf numFmtId="0" fontId="23" fillId="0" borderId="1" xfId="0" applyFont="1" applyBorder="1" applyAlignment="1">
      <alignment horizontal="center"/>
    </xf>
    <xf numFmtId="38" fontId="23" fillId="0" borderId="1" xfId="0" applyNumberFormat="1" applyFont="1" applyBorder="1"/>
    <xf numFmtId="37" fontId="23" fillId="0" borderId="1" xfId="0" applyNumberFormat="1" applyFont="1" applyBorder="1"/>
    <xf numFmtId="0" fontId="0" fillId="0" borderId="0" xfId="0" applyAlignment="1">
      <alignment vertical="center" wrapText="1"/>
    </xf>
    <xf numFmtId="0" fontId="0" fillId="8" borderId="1" xfId="0" applyFill="1" applyBorder="1"/>
    <xf numFmtId="0" fontId="31" fillId="8" borderId="1" xfId="0" applyFont="1" applyFill="1" applyBorder="1" applyAlignment="1">
      <alignment horizontal="center" vertical="center"/>
    </xf>
    <xf numFmtId="170" fontId="38" fillId="0" borderId="1" xfId="3" applyNumberFormat="1" applyFont="1" applyFill="1" applyBorder="1"/>
    <xf numFmtId="9" fontId="0" fillId="0" borderId="0" xfId="3" applyFont="1"/>
    <xf numFmtId="0" fontId="0" fillId="10" borderId="1" xfId="0" applyFill="1" applyBorder="1" applyAlignment="1">
      <alignment horizontal="center"/>
    </xf>
    <xf numFmtId="168" fontId="0" fillId="10" borderId="1" xfId="0" applyNumberFormat="1" applyFill="1" applyBorder="1" applyAlignment="1">
      <alignment horizontal="center"/>
    </xf>
    <xf numFmtId="0" fontId="30" fillId="0" borderId="1" xfId="0" applyFont="1" applyBorder="1" applyAlignment="1">
      <alignment vertical="center"/>
    </xf>
    <xf numFmtId="167" fontId="30" fillId="0" borderId="1" xfId="1" applyNumberFormat="1" applyFont="1" applyBorder="1" applyAlignment="1">
      <alignment vertical="center"/>
    </xf>
    <xf numFmtId="170" fontId="30" fillId="0" borderId="1" xfId="0" applyNumberFormat="1" applyFont="1" applyBorder="1" applyAlignment="1">
      <alignment horizontal="center" vertical="center"/>
    </xf>
    <xf numFmtId="44" fontId="17" fillId="8" borderId="1" xfId="0" applyNumberFormat="1" applyFont="1" applyFill="1" applyBorder="1" applyAlignment="1">
      <alignment horizontal="right" vertical="center"/>
    </xf>
    <xf numFmtId="0" fontId="34" fillId="8" borderId="1" xfId="21" applyFill="1" applyBorder="1" applyAlignment="1">
      <alignment horizontal="right" vertical="center"/>
    </xf>
    <xf numFmtId="170" fontId="31" fillId="8" borderId="1" xfId="0" applyNumberFormat="1" applyFont="1" applyFill="1" applyBorder="1" applyAlignment="1">
      <alignment horizontal="right" vertical="center"/>
    </xf>
    <xf numFmtId="0" fontId="2" fillId="0" borderId="10"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xf numFmtId="164" fontId="2" fillId="0" borderId="0" xfId="1" applyNumberFormat="1" applyFont="1" applyFill="1" applyBorder="1"/>
    <xf numFmtId="164" fontId="1" fillId="0" borderId="11" xfId="1" applyNumberFormat="1" applyFont="1" applyFill="1" applyBorder="1" applyAlignment="1">
      <alignment horizontal="center"/>
    </xf>
    <xf numFmtId="0" fontId="0" fillId="0" borderId="4" xfId="0" applyFill="1" applyBorder="1"/>
    <xf numFmtId="164" fontId="0" fillId="0" borderId="11" xfId="1" applyNumberFormat="1" applyFont="1" applyFill="1" applyBorder="1" applyAlignment="1">
      <alignment horizontal="center"/>
    </xf>
    <xf numFmtId="164" fontId="0" fillId="0" borderId="11" xfId="0" applyNumberFormat="1" applyFont="1" applyFill="1" applyBorder="1" applyAlignment="1">
      <alignment horizontal="center"/>
    </xf>
    <xf numFmtId="0" fontId="24" fillId="0" borderId="4" xfId="0" applyFont="1" applyBorder="1" applyAlignment="1">
      <alignment horizontal="center" vertical="center" wrapText="1"/>
    </xf>
    <xf numFmtId="0" fontId="24" fillId="0" borderId="8" xfId="0" applyFont="1" applyBorder="1" applyAlignment="1">
      <alignment horizontal="center" vertical="center" wrapText="1"/>
    </xf>
    <xf numFmtId="0" fontId="0" fillId="0" borderId="3" xfId="0" applyFill="1" applyBorder="1"/>
    <xf numFmtId="0" fontId="0" fillId="0" borderId="2" xfId="0" applyFont="1" applyFill="1" applyBorder="1" applyAlignment="1">
      <alignment horizontal="left"/>
    </xf>
    <xf numFmtId="164" fontId="0" fillId="14" borderId="0" xfId="0" applyNumberFormat="1" applyFill="1"/>
    <xf numFmtId="0" fontId="0" fillId="0" borderId="0" xfId="0" applyAlignment="1"/>
    <xf numFmtId="164" fontId="0" fillId="14" borderId="0" xfId="1" applyNumberFormat="1" applyFont="1" applyFill="1"/>
    <xf numFmtId="0" fontId="0" fillId="14" borderId="0" xfId="0" applyFill="1"/>
    <xf numFmtId="0" fontId="7" fillId="0" borderId="6" xfId="0" applyFont="1" applyBorder="1"/>
    <xf numFmtId="0" fontId="5" fillId="0" borderId="0" xfId="0" applyFont="1"/>
    <xf numFmtId="0" fontId="0" fillId="14" borderId="0" xfId="0" applyFill="1" applyAlignment="1">
      <alignment horizontal="center"/>
    </xf>
    <xf numFmtId="0" fontId="23" fillId="0" borderId="0" xfId="0" applyFont="1" applyFill="1" applyBorder="1" applyAlignment="1">
      <alignment horizontal="center" vertical="center"/>
    </xf>
    <xf numFmtId="0" fontId="0" fillId="0" borderId="0" xfId="0" applyNumberFormat="1" applyAlignment="1">
      <alignment horizontal="center"/>
    </xf>
    <xf numFmtId="164" fontId="0" fillId="0" borderId="0" xfId="0" applyNumberFormat="1" applyAlignment="1">
      <alignment horizontal="center" wrapText="1"/>
    </xf>
    <xf numFmtId="0" fontId="23" fillId="0" borderId="0" xfId="0" applyFont="1" applyFill="1" applyBorder="1" applyAlignment="1">
      <alignment vertical="center"/>
    </xf>
    <xf numFmtId="3" fontId="23" fillId="0" borderId="0" xfId="0" applyNumberFormat="1" applyFont="1" applyFill="1" applyBorder="1" applyAlignment="1">
      <alignment vertical="center"/>
    </xf>
    <xf numFmtId="164" fontId="0" fillId="0" borderId="10" xfId="0" applyNumberFormat="1" applyBorder="1"/>
    <xf numFmtId="41" fontId="0" fillId="0" borderId="4" xfId="0" applyNumberFormat="1" applyBorder="1"/>
    <xf numFmtId="164" fontId="0" fillId="0" borderId="4" xfId="1" applyNumberFormat="1" applyFont="1" applyBorder="1"/>
    <xf numFmtId="164" fontId="0" fillId="0" borderId="4" xfId="0" applyNumberFormat="1" applyBorder="1"/>
    <xf numFmtId="0" fontId="0" fillId="0" borderId="5" xfId="0" applyBorder="1"/>
    <xf numFmtId="0" fontId="0" fillId="0" borderId="0" xfId="0" applyBorder="1"/>
    <xf numFmtId="0" fontId="0" fillId="0" borderId="7" xfId="0" applyBorder="1"/>
    <xf numFmtId="166" fontId="0" fillId="0" borderId="1" xfId="2" applyNumberFormat="1" applyFont="1" applyFill="1" applyBorder="1" applyAlignment="1">
      <alignment horizontal="center"/>
    </xf>
    <xf numFmtId="164" fontId="2" fillId="0" borderId="1" xfId="1" applyNumberFormat="1" applyFont="1" applyFill="1" applyBorder="1" applyAlignment="1">
      <alignment horizontal="left"/>
    </xf>
    <xf numFmtId="8" fontId="23" fillId="0" borderId="1" xfId="2" applyNumberFormat="1" applyFont="1" applyBorder="1"/>
    <xf numFmtId="8" fontId="17" fillId="8" borderId="1" xfId="0" applyNumberFormat="1" applyFont="1" applyFill="1" applyBorder="1" applyAlignment="1">
      <alignment horizontal="right" vertical="center"/>
    </xf>
    <xf numFmtId="0" fontId="2" fillId="0" borderId="0" xfId="0" applyFont="1" applyAlignment="1">
      <alignment horizontal="center"/>
    </xf>
    <xf numFmtId="0" fontId="0" fillId="0" borderId="0" xfId="0" applyAlignment="1">
      <alignment horizontal="center"/>
    </xf>
    <xf numFmtId="0" fontId="21" fillId="0" borderId="0" xfId="0" applyFont="1" applyAlignment="1">
      <alignment horizontal="left" vertical="center"/>
    </xf>
    <xf numFmtId="0" fontId="31" fillId="7" borderId="7" xfId="0" applyFont="1" applyFill="1" applyBorder="1" applyAlignment="1">
      <alignment horizontal="center" vertical="center"/>
    </xf>
    <xf numFmtId="0" fontId="31" fillId="7" borderId="5" xfId="0" applyFont="1" applyFill="1" applyBorder="1" applyAlignment="1">
      <alignment horizontal="center" vertical="center"/>
    </xf>
    <xf numFmtId="0" fontId="31" fillId="7" borderId="8" xfId="0" applyFont="1" applyFill="1" applyBorder="1" applyAlignment="1">
      <alignment horizontal="center" vertical="center"/>
    </xf>
    <xf numFmtId="0" fontId="31" fillId="7" borderId="14" xfId="0" applyFont="1" applyFill="1" applyBorder="1" applyAlignment="1">
      <alignment horizontal="center" vertical="center"/>
    </xf>
    <xf numFmtId="0" fontId="31" fillId="7" borderId="0" xfId="0" applyFont="1" applyFill="1" applyBorder="1" applyAlignment="1">
      <alignment horizontal="center" vertical="center"/>
    </xf>
    <xf numFmtId="0" fontId="31" fillId="7" borderId="15" xfId="0" applyFont="1" applyFill="1" applyBorder="1" applyAlignment="1">
      <alignment horizontal="center" vertical="center"/>
    </xf>
    <xf numFmtId="0" fontId="31" fillId="7" borderId="9" xfId="0" applyFont="1" applyFill="1" applyBorder="1" applyAlignment="1">
      <alignment horizontal="center" vertical="center"/>
    </xf>
    <xf numFmtId="0" fontId="31" fillId="7" borderId="6" xfId="0" applyFont="1" applyFill="1" applyBorder="1" applyAlignment="1">
      <alignment horizontal="center" vertical="center"/>
    </xf>
    <xf numFmtId="0" fontId="31" fillId="7" borderId="10" xfId="0" applyFont="1" applyFill="1" applyBorder="1" applyAlignment="1">
      <alignment horizontal="center" vertical="center"/>
    </xf>
    <xf numFmtId="0" fontId="0" fillId="8" borderId="1" xfId="0" applyFill="1" applyBorder="1"/>
    <xf numFmtId="0" fontId="31" fillId="8" borderId="1" xfId="0" applyFont="1" applyFill="1" applyBorder="1" applyAlignment="1">
      <alignment horizontal="center" vertical="center"/>
    </xf>
    <xf numFmtId="0" fontId="29" fillId="7" borderId="7" xfId="0" applyFont="1" applyFill="1" applyBorder="1" applyAlignment="1">
      <alignment horizontal="center" vertical="center"/>
    </xf>
    <xf numFmtId="0" fontId="29" fillId="7" borderId="5" xfId="0" applyFont="1" applyFill="1" applyBorder="1" applyAlignment="1">
      <alignment horizontal="center" vertical="center"/>
    </xf>
    <xf numFmtId="0" fontId="29" fillId="7" borderId="8" xfId="0" applyFont="1" applyFill="1" applyBorder="1" applyAlignment="1">
      <alignment horizontal="center" vertical="center"/>
    </xf>
    <xf numFmtId="0" fontId="29" fillId="7" borderId="14" xfId="0" applyFont="1" applyFill="1" applyBorder="1" applyAlignment="1">
      <alignment horizontal="center" vertical="center"/>
    </xf>
    <xf numFmtId="0" fontId="29" fillId="7" borderId="0" xfId="0" applyFont="1" applyFill="1" applyBorder="1" applyAlignment="1">
      <alignment horizontal="center" vertical="center"/>
    </xf>
    <xf numFmtId="0" fontId="29" fillId="7" borderId="15" xfId="0" applyFont="1" applyFill="1" applyBorder="1" applyAlignment="1">
      <alignment horizontal="center" vertical="center"/>
    </xf>
    <xf numFmtId="0" fontId="29" fillId="7" borderId="9" xfId="0" applyFont="1" applyFill="1" applyBorder="1" applyAlignment="1">
      <alignment horizontal="center" vertical="center"/>
    </xf>
    <xf numFmtId="0" fontId="29" fillId="7" borderId="6" xfId="0" applyFont="1" applyFill="1" applyBorder="1" applyAlignment="1">
      <alignment horizontal="center" vertical="center"/>
    </xf>
    <xf numFmtId="0" fontId="29" fillId="7" borderId="10" xfId="0" applyFont="1" applyFill="1" applyBorder="1" applyAlignment="1">
      <alignment horizontal="center" vertical="center"/>
    </xf>
    <xf numFmtId="0" fontId="29" fillId="8" borderId="1" xfId="0" applyFont="1" applyFill="1" applyBorder="1" applyAlignment="1">
      <alignment horizontal="center" vertical="center"/>
    </xf>
    <xf numFmtId="0" fontId="29" fillId="8" borderId="1"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4" fillId="8" borderId="2" xfId="0" applyFont="1" applyFill="1" applyBorder="1" applyAlignment="1">
      <alignment horizontal="left" vertical="center" wrapText="1"/>
    </xf>
    <xf numFmtId="0" fontId="24" fillId="8" borderId="4" xfId="0" applyFont="1" applyFill="1" applyBorder="1" applyAlignment="1">
      <alignment horizontal="left" vertical="center" wrapText="1"/>
    </xf>
    <xf numFmtId="0" fontId="29" fillId="7" borderId="1" xfId="0" applyFont="1" applyFill="1" applyBorder="1" applyAlignment="1">
      <alignment horizontal="center" vertical="center"/>
    </xf>
    <xf numFmtId="0" fontId="0" fillId="8" borderId="1" xfId="0" applyFill="1" applyBorder="1" applyAlignment="1">
      <alignment vertical="center"/>
    </xf>
    <xf numFmtId="0" fontId="23" fillId="7" borderId="7"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3" fillId="7" borderId="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 fillId="0" borderId="2" xfId="0" quotePrefix="1" applyFont="1" applyBorder="1" applyAlignment="1">
      <alignment horizontal="center"/>
    </xf>
    <xf numFmtId="0" fontId="2" fillId="0" borderId="3" xfId="0" quotePrefix="1" applyFont="1" applyBorder="1" applyAlignment="1">
      <alignment horizontal="center"/>
    </xf>
    <xf numFmtId="0" fontId="2" fillId="0" borderId="4" xfId="0" quotePrefix="1" applyFont="1" applyBorder="1" applyAlignment="1">
      <alignment horizontal="center"/>
    </xf>
    <xf numFmtId="0" fontId="2" fillId="0" borderId="9" xfId="0" applyFont="1" applyFill="1" applyBorder="1" applyAlignment="1">
      <alignment horizontal="center"/>
    </xf>
    <xf numFmtId="0" fontId="2" fillId="0" borderId="6" xfId="0" applyFont="1" applyFill="1" applyBorder="1" applyAlignment="1">
      <alignment horizontal="center"/>
    </xf>
    <xf numFmtId="0" fontId="2" fillId="0" borderId="10" xfId="0" applyFont="1" applyFill="1" applyBorder="1" applyAlignment="1">
      <alignment horizontal="center"/>
    </xf>
    <xf numFmtId="0" fontId="2" fillId="0" borderId="7" xfId="0" applyFont="1" applyFill="1" applyBorder="1" applyAlignment="1">
      <alignment horizontal="center"/>
    </xf>
    <xf numFmtId="0" fontId="2" fillId="0" borderId="5" xfId="0" applyFont="1" applyFill="1" applyBorder="1" applyAlignment="1">
      <alignment horizontal="center"/>
    </xf>
    <xf numFmtId="0" fontId="2" fillId="0" borderId="8"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7" xfId="0" quotePrefix="1" applyFont="1" applyBorder="1" applyAlignment="1">
      <alignment horizontal="center"/>
    </xf>
    <xf numFmtId="0" fontId="2" fillId="0" borderId="5" xfId="0" quotePrefix="1" applyFont="1" applyBorder="1" applyAlignment="1">
      <alignment horizontal="center"/>
    </xf>
    <xf numFmtId="0" fontId="2" fillId="0" borderId="8" xfId="0" quotePrefix="1" applyFont="1" applyBorder="1" applyAlignment="1">
      <alignment horizontal="center"/>
    </xf>
    <xf numFmtId="0" fontId="2" fillId="0" borderId="9"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31" fillId="0" borderId="9"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10" xfId="0" applyFont="1" applyFill="1" applyBorder="1" applyAlignment="1">
      <alignment horizontal="center" vertical="center"/>
    </xf>
    <xf numFmtId="0" fontId="39" fillId="0" borderId="0" xfId="21" applyFont="1" applyFill="1" applyBorder="1" applyAlignment="1">
      <alignment horizontal="left" vertical="center" wrapText="1"/>
    </xf>
    <xf numFmtId="0" fontId="23" fillId="0" borderId="7"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0"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5" xfId="0" applyFont="1" applyFill="1" applyBorder="1" applyAlignment="1">
      <alignment horizontal="center" vertical="center"/>
    </xf>
    <xf numFmtId="0" fontId="2" fillId="11" borderId="7" xfId="0" applyFont="1" applyFill="1" applyBorder="1" applyAlignment="1">
      <alignment horizontal="center"/>
    </xf>
    <xf numFmtId="0" fontId="2" fillId="11" borderId="5" xfId="0" applyFont="1" applyFill="1" applyBorder="1" applyAlignment="1">
      <alignment horizontal="center"/>
    </xf>
    <xf numFmtId="0" fontId="2" fillId="11" borderId="8" xfId="0" applyFont="1" applyFill="1" applyBorder="1" applyAlignment="1">
      <alignment horizontal="center"/>
    </xf>
    <xf numFmtId="0" fontId="25" fillId="11" borderId="9" xfId="0" applyFont="1" applyFill="1" applyBorder="1" applyAlignment="1">
      <alignment horizontal="center"/>
    </xf>
    <xf numFmtId="0" fontId="25" fillId="11" borderId="6" xfId="0" applyFont="1" applyFill="1" applyBorder="1" applyAlignment="1">
      <alignment horizontal="center"/>
    </xf>
    <xf numFmtId="0" fontId="25" fillId="11" borderId="10" xfId="0" applyFont="1" applyFill="1" applyBorder="1" applyAlignment="1">
      <alignment horizontal="center"/>
    </xf>
    <xf numFmtId="0" fontId="25" fillId="0" borderId="7"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9"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24" fillId="0" borderId="1" xfId="0" applyFont="1" applyFill="1" applyBorder="1" applyAlignment="1">
      <alignment vertical="center" wrapText="1"/>
    </xf>
    <xf numFmtId="0" fontId="31" fillId="0" borderId="9"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5" fillId="0" borderId="7" xfId="0" applyFont="1" applyFill="1" applyBorder="1" applyAlignment="1">
      <alignment horizontal="center"/>
    </xf>
    <xf numFmtId="0" fontId="25" fillId="0" borderId="5" xfId="0" applyFont="1" applyFill="1" applyBorder="1" applyAlignment="1">
      <alignment horizontal="center"/>
    </xf>
    <xf numFmtId="0" fontId="25" fillId="0" borderId="8" xfId="0" applyFont="1" applyFill="1" applyBorder="1" applyAlignment="1">
      <alignment horizontal="center"/>
    </xf>
    <xf numFmtId="0" fontId="25" fillId="0" borderId="9" xfId="0" applyFont="1" applyFill="1" applyBorder="1" applyAlignment="1">
      <alignment horizontal="center"/>
    </xf>
    <xf numFmtId="0" fontId="25" fillId="0" borderId="6" xfId="0" applyFont="1" applyFill="1" applyBorder="1" applyAlignment="1">
      <alignment horizontal="center"/>
    </xf>
    <xf numFmtId="0" fontId="25" fillId="0" borderId="10" xfId="0" applyFont="1" applyFill="1" applyBorder="1" applyAlignment="1">
      <alignment horizontal="center"/>
    </xf>
    <xf numFmtId="0" fontId="23" fillId="11" borderId="7" xfId="0" applyFont="1" applyFill="1" applyBorder="1" applyAlignment="1">
      <alignment horizontal="center"/>
    </xf>
    <xf numFmtId="0" fontId="23" fillId="11" borderId="5" xfId="0" applyFont="1" applyFill="1" applyBorder="1" applyAlignment="1">
      <alignment horizontal="center"/>
    </xf>
    <xf numFmtId="0" fontId="23" fillId="11" borderId="8" xfId="0" applyFont="1" applyFill="1" applyBorder="1" applyAlignment="1">
      <alignment horizontal="center"/>
    </xf>
    <xf numFmtId="0" fontId="23" fillId="11" borderId="9" xfId="0" applyFont="1" applyFill="1" applyBorder="1" applyAlignment="1">
      <alignment horizontal="center"/>
    </xf>
    <xf numFmtId="0" fontId="23" fillId="11" borderId="6" xfId="0" applyFont="1" applyFill="1" applyBorder="1" applyAlignment="1">
      <alignment horizontal="center"/>
    </xf>
    <xf numFmtId="0" fontId="23" fillId="11" borderId="10" xfId="0" applyFont="1" applyFill="1" applyBorder="1" applyAlignment="1">
      <alignment horizontal="center"/>
    </xf>
    <xf numFmtId="0" fontId="17" fillId="0" borderId="1"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7" xfId="0" applyFont="1" applyFill="1" applyBorder="1" applyAlignment="1">
      <alignment vertical="center" wrapText="1"/>
    </xf>
    <xf numFmtId="0" fontId="23" fillId="0" borderId="9" xfId="0" applyFont="1" applyFill="1" applyBorder="1" applyAlignment="1">
      <alignment vertical="center" wrapText="1"/>
    </xf>
    <xf numFmtId="0" fontId="23" fillId="0" borderId="12" xfId="0" applyFont="1" applyFill="1" applyBorder="1" applyAlignment="1">
      <alignment vertical="center" wrapText="1"/>
    </xf>
    <xf numFmtId="0" fontId="23" fillId="0" borderId="11" xfId="0" applyFont="1" applyFill="1" applyBorder="1" applyAlignment="1">
      <alignment vertical="center" wrapText="1"/>
    </xf>
    <xf numFmtId="0" fontId="23" fillId="0" borderId="1" xfId="0" applyFont="1" applyFill="1" applyBorder="1" applyAlignment="1">
      <alignment vertical="center" wrapText="1"/>
    </xf>
    <xf numFmtId="0" fontId="34" fillId="0" borderId="1" xfId="21" applyFill="1" applyBorder="1" applyAlignment="1">
      <alignment vertical="center" wrapText="1"/>
    </xf>
    <xf numFmtId="0" fontId="21" fillId="0" borderId="0" xfId="0" applyFont="1" applyAlignment="1">
      <alignment horizontal="left" vertical="center" wrapText="1"/>
    </xf>
    <xf numFmtId="0" fontId="36" fillId="0" borderId="0" xfId="0" applyFont="1" applyAlignment="1">
      <alignment horizontal="left" vertical="center"/>
    </xf>
    <xf numFmtId="0" fontId="37" fillId="0" borderId="2" xfId="0" applyFont="1" applyFill="1" applyBorder="1" applyAlignment="1">
      <alignment horizontal="center"/>
    </xf>
    <xf numFmtId="0" fontId="37" fillId="0" borderId="3" xfId="0" applyFont="1" applyFill="1" applyBorder="1" applyAlignment="1">
      <alignment horizontal="center"/>
    </xf>
    <xf numFmtId="0" fontId="37" fillId="0" borderId="4" xfId="0" applyFont="1" applyFill="1" applyBorder="1" applyAlignment="1">
      <alignment horizontal="center"/>
    </xf>
    <xf numFmtId="0" fontId="37" fillId="0" borderId="2" xfId="0" applyFont="1" applyFill="1" applyBorder="1" applyAlignment="1">
      <alignment horizontal="left"/>
    </xf>
    <xf numFmtId="0" fontId="37" fillId="0" borderId="4" xfId="0" applyFont="1" applyFill="1" applyBorder="1" applyAlignment="1">
      <alignment horizontal="left"/>
    </xf>
    <xf numFmtId="169" fontId="38" fillId="0" borderId="2" xfId="1" applyNumberFormat="1" applyFont="1" applyFill="1" applyBorder="1" applyAlignment="1">
      <alignment horizontal="left"/>
    </xf>
    <xf numFmtId="169" fontId="38" fillId="0" borderId="4" xfId="1" applyNumberFormat="1" applyFont="1" applyFill="1" applyBorder="1" applyAlignment="1">
      <alignment horizontal="left"/>
    </xf>
    <xf numFmtId="0" fontId="36" fillId="0" borderId="0" xfId="0" applyFont="1" applyAlignment="1">
      <alignment horizontal="left" vertical="center" wrapText="1"/>
    </xf>
    <xf numFmtId="0" fontId="41" fillId="0" borderId="0" xfId="0" applyFont="1" applyAlignment="1">
      <alignment horizontal="left" vertical="center" wrapText="1"/>
    </xf>
    <xf numFmtId="43" fontId="25" fillId="0" borderId="9" xfId="0" applyNumberFormat="1" applyFont="1" applyBorder="1" applyAlignment="1">
      <alignment horizontal="center"/>
    </xf>
    <xf numFmtId="43" fontId="25" fillId="0" borderId="6" xfId="0" applyNumberFormat="1" applyFont="1" applyBorder="1" applyAlignment="1">
      <alignment horizontal="center"/>
    </xf>
    <xf numFmtId="43" fontId="25" fillId="0" borderId="10" xfId="0" applyNumberFormat="1" applyFont="1" applyBorder="1" applyAlignment="1">
      <alignment horizontal="center"/>
    </xf>
    <xf numFmtId="0" fontId="25" fillId="0" borderId="7" xfId="0" applyFont="1" applyBorder="1" applyAlignment="1">
      <alignment horizontal="center"/>
    </xf>
    <xf numFmtId="0" fontId="25" fillId="0" borderId="5" xfId="0" applyFont="1" applyBorder="1" applyAlignment="1">
      <alignment horizontal="center"/>
    </xf>
    <xf numFmtId="0" fontId="25" fillId="0" borderId="8" xfId="0" applyFont="1" applyBorder="1" applyAlignment="1">
      <alignment horizontal="center"/>
    </xf>
    <xf numFmtId="0" fontId="25" fillId="0" borderId="9" xfId="0" applyFont="1" applyBorder="1" applyAlignment="1">
      <alignment horizontal="center"/>
    </xf>
    <xf numFmtId="0" fontId="25" fillId="0" borderId="6" xfId="0" applyFont="1" applyBorder="1" applyAlignment="1">
      <alignment horizontal="center"/>
    </xf>
    <xf numFmtId="0" fontId="25" fillId="0" borderId="10" xfId="0" applyFont="1" applyBorder="1" applyAlignment="1">
      <alignment horizontal="center"/>
    </xf>
    <xf numFmtId="43" fontId="25" fillId="0" borderId="14" xfId="0" applyNumberFormat="1" applyFont="1" applyBorder="1" applyAlignment="1">
      <alignment horizontal="center"/>
    </xf>
    <xf numFmtId="43" fontId="25" fillId="0" borderId="0" xfId="0" applyNumberFormat="1" applyFont="1" applyBorder="1" applyAlignment="1">
      <alignment horizontal="center"/>
    </xf>
    <xf numFmtId="43" fontId="25" fillId="0" borderId="15" xfId="0" applyNumberFormat="1" applyFont="1" applyBorder="1" applyAlignment="1">
      <alignment horizontal="center"/>
    </xf>
    <xf numFmtId="0" fontId="25" fillId="0" borderId="14" xfId="0" applyFont="1" applyBorder="1" applyAlignment="1">
      <alignment horizontal="center"/>
    </xf>
    <xf numFmtId="0" fontId="25" fillId="0" borderId="0" xfId="0" applyFont="1" applyBorder="1" applyAlignment="1">
      <alignment horizontal="center"/>
    </xf>
    <xf numFmtId="0" fontId="25" fillId="0" borderId="15" xfId="0" applyFont="1" applyBorder="1" applyAlignment="1">
      <alignment horizontal="center"/>
    </xf>
    <xf numFmtId="0" fontId="23" fillId="0" borderId="9" xfId="0" applyFont="1" applyBorder="1" applyAlignment="1">
      <alignment horizontal="center"/>
    </xf>
    <xf numFmtId="0" fontId="23" fillId="0" borderId="6" xfId="0" applyFont="1" applyBorder="1" applyAlignment="1">
      <alignment horizontal="center"/>
    </xf>
    <xf numFmtId="0" fontId="23" fillId="0" borderId="10"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23" fillId="0" borderId="4" xfId="0" applyFont="1" applyBorder="1" applyAlignment="1">
      <alignment horizontal="center"/>
    </xf>
    <xf numFmtId="0" fontId="23" fillId="0" borderId="7" xfId="0" applyFont="1" applyBorder="1" applyAlignment="1">
      <alignment horizontal="center"/>
    </xf>
    <xf numFmtId="172" fontId="9" fillId="0" borderId="9" xfId="2" applyNumberFormat="1" applyFont="1" applyBorder="1" applyAlignment="1">
      <alignment horizontal="center"/>
    </xf>
    <xf numFmtId="172" fontId="9" fillId="0" borderId="6" xfId="2" applyNumberFormat="1" applyFont="1" applyBorder="1" applyAlignment="1">
      <alignment horizontal="center"/>
    </xf>
    <xf numFmtId="172" fontId="9" fillId="0" borderId="10" xfId="2" applyNumberFormat="1" applyFont="1" applyBorder="1" applyAlignment="1">
      <alignment horizontal="center"/>
    </xf>
    <xf numFmtId="0" fontId="23" fillId="0" borderId="2" xfId="0" applyFont="1" applyFill="1" applyBorder="1" applyAlignment="1">
      <alignment horizontal="center"/>
    </xf>
    <xf numFmtId="0" fontId="23" fillId="0" borderId="3" xfId="0" applyFont="1" applyFill="1" applyBorder="1" applyAlignment="1">
      <alignment horizontal="center"/>
    </xf>
    <xf numFmtId="0" fontId="23" fillId="0" borderId="4" xfId="0" applyFont="1" applyFill="1" applyBorder="1" applyAlignment="1">
      <alignment horizontal="center"/>
    </xf>
    <xf numFmtId="0" fontId="23" fillId="0" borderId="7" xfId="0" applyFont="1" applyFill="1" applyBorder="1" applyAlignment="1">
      <alignment horizontal="center"/>
    </xf>
    <xf numFmtId="0" fontId="23" fillId="0" borderId="5" xfId="0" applyFont="1" applyFill="1" applyBorder="1" applyAlignment="1">
      <alignment horizontal="center"/>
    </xf>
    <xf numFmtId="0" fontId="23" fillId="0" borderId="8" xfId="0" applyFont="1" applyFill="1" applyBorder="1" applyAlignment="1">
      <alignment horizontal="center"/>
    </xf>
    <xf numFmtId="172" fontId="9" fillId="0" borderId="14" xfId="2" applyNumberFormat="1" applyFont="1" applyFill="1" applyBorder="1" applyAlignment="1">
      <alignment horizontal="center"/>
    </xf>
    <xf numFmtId="172" fontId="9" fillId="0" borderId="0" xfId="2" applyNumberFormat="1" applyFont="1" applyFill="1" applyBorder="1" applyAlignment="1">
      <alignment horizontal="center"/>
    </xf>
    <xf numFmtId="172" fontId="9" fillId="0" borderId="15" xfId="2" applyNumberFormat="1" applyFont="1" applyFill="1" applyBorder="1" applyAlignment="1">
      <alignment horizontal="center"/>
    </xf>
    <xf numFmtId="172" fontId="9" fillId="0" borderId="2" xfId="2" applyNumberFormat="1" applyFont="1" applyBorder="1" applyAlignment="1">
      <alignment horizontal="center"/>
    </xf>
    <xf numFmtId="172" fontId="9" fillId="0" borderId="3" xfId="2" applyNumberFormat="1" applyFont="1" applyBorder="1" applyAlignment="1">
      <alignment horizontal="center"/>
    </xf>
    <xf numFmtId="172" fontId="9" fillId="0" borderId="4" xfId="2" applyNumberFormat="1" applyFont="1" applyBorder="1" applyAlignment="1">
      <alignment horizontal="center"/>
    </xf>
    <xf numFmtId="172" fontId="9" fillId="0" borderId="7" xfId="2" applyNumberFormat="1" applyFont="1" applyFill="1" applyBorder="1" applyAlignment="1">
      <alignment horizontal="center"/>
    </xf>
    <xf numFmtId="172" fontId="9" fillId="0" borderId="5" xfId="2" applyNumberFormat="1" applyFont="1" applyFill="1" applyBorder="1" applyAlignment="1">
      <alignment horizontal="center"/>
    </xf>
    <xf numFmtId="172" fontId="9" fillId="0" borderId="8" xfId="2" applyNumberFormat="1" applyFont="1" applyFill="1" applyBorder="1" applyAlignment="1">
      <alignment horizontal="center"/>
    </xf>
    <xf numFmtId="164" fontId="2" fillId="0" borderId="7" xfId="1" applyNumberFormat="1" applyFont="1" applyFill="1" applyBorder="1" applyAlignment="1">
      <alignment horizontal="center"/>
    </xf>
    <xf numFmtId="164" fontId="2" fillId="0" borderId="5" xfId="1" applyNumberFormat="1" applyFont="1" applyFill="1" applyBorder="1" applyAlignment="1">
      <alignment horizontal="center"/>
    </xf>
    <xf numFmtId="164" fontId="2" fillId="0" borderId="8" xfId="1" applyNumberFormat="1" applyFont="1" applyFill="1" applyBorder="1" applyAlignment="1">
      <alignment horizontal="center"/>
    </xf>
    <xf numFmtId="164" fontId="2" fillId="0" borderId="14" xfId="1" applyNumberFormat="1" applyFont="1" applyFill="1" applyBorder="1" applyAlignment="1">
      <alignment horizontal="center"/>
    </xf>
    <xf numFmtId="164" fontId="2" fillId="0" borderId="0" xfId="1" applyNumberFormat="1" applyFont="1" applyFill="1" applyBorder="1" applyAlignment="1">
      <alignment horizontal="center"/>
    </xf>
    <xf numFmtId="164" fontId="2" fillId="0" borderId="6" xfId="1" applyNumberFormat="1" applyFont="1" applyFill="1" applyBorder="1" applyAlignment="1">
      <alignment horizontal="center"/>
    </xf>
    <xf numFmtId="164" fontId="2" fillId="0" borderId="10" xfId="1" applyNumberFormat="1" applyFont="1" applyFill="1" applyBorder="1" applyAlignment="1">
      <alignment horizontal="center"/>
    </xf>
    <xf numFmtId="164" fontId="2" fillId="0" borderId="9" xfId="1" applyNumberFormat="1" applyFont="1" applyFill="1" applyBorder="1" applyAlignment="1">
      <alignment horizontal="center"/>
    </xf>
    <xf numFmtId="0" fontId="2" fillId="0" borderId="2" xfId="0" quotePrefix="1" applyFont="1" applyFill="1" applyBorder="1" applyAlignment="1">
      <alignment horizontal="center"/>
    </xf>
    <xf numFmtId="0" fontId="2" fillId="0" borderId="3" xfId="0" quotePrefix="1" applyFont="1" applyFill="1" applyBorder="1" applyAlignment="1">
      <alignment horizontal="center"/>
    </xf>
    <xf numFmtId="0" fontId="2" fillId="0" borderId="4" xfId="0" quotePrefix="1" applyFont="1" applyFill="1" applyBorder="1" applyAlignment="1">
      <alignment horizontal="center"/>
    </xf>
    <xf numFmtId="0" fontId="10" fillId="0" borderId="0" xfId="0" applyFont="1" applyAlignment="1">
      <alignment horizontal="center"/>
    </xf>
    <xf numFmtId="0" fontId="2" fillId="10" borderId="2" xfId="0" applyFont="1" applyFill="1" applyBorder="1" applyAlignment="1">
      <alignment horizontal="center"/>
    </xf>
    <xf numFmtId="0" fontId="2" fillId="10" borderId="3" xfId="0" applyFont="1" applyFill="1" applyBorder="1" applyAlignment="1">
      <alignment horizontal="center"/>
    </xf>
    <xf numFmtId="0" fontId="2" fillId="10" borderId="4" xfId="0" applyFont="1" applyFill="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21" fillId="0" borderId="7" xfId="0" applyFont="1" applyFill="1" applyBorder="1" applyAlignment="1">
      <alignment horizontal="center"/>
    </xf>
    <xf numFmtId="0" fontId="21" fillId="0" borderId="5" xfId="0" applyFont="1" applyFill="1" applyBorder="1" applyAlignment="1">
      <alignment horizontal="center"/>
    </xf>
    <xf numFmtId="0" fontId="37" fillId="12" borderId="7" xfId="0" applyFont="1" applyFill="1" applyBorder="1" applyAlignment="1">
      <alignment horizontal="center"/>
    </xf>
    <xf numFmtId="0" fontId="37" fillId="12" borderId="5" xfId="0" applyFont="1" applyFill="1" applyBorder="1" applyAlignment="1">
      <alignment horizontal="center"/>
    </xf>
    <xf numFmtId="0" fontId="37" fillId="12" borderId="8" xfId="0" applyFont="1" applyFill="1" applyBorder="1" applyAlignment="1">
      <alignment horizontal="center"/>
    </xf>
    <xf numFmtId="0" fontId="37" fillId="11" borderId="7" xfId="0" applyFont="1" applyFill="1" applyBorder="1" applyAlignment="1">
      <alignment horizontal="center"/>
    </xf>
    <xf numFmtId="0" fontId="37" fillId="11" borderId="5" xfId="0" applyFont="1" applyFill="1" applyBorder="1" applyAlignment="1">
      <alignment horizontal="center"/>
    </xf>
    <xf numFmtId="0" fontId="37" fillId="11" borderId="8" xfId="0" applyFont="1" applyFill="1" applyBorder="1" applyAlignment="1">
      <alignment horizontal="center"/>
    </xf>
    <xf numFmtId="0" fontId="37" fillId="12" borderId="14" xfId="0" applyFont="1" applyFill="1" applyBorder="1" applyAlignment="1">
      <alignment horizontal="center"/>
    </xf>
    <xf numFmtId="0" fontId="37" fillId="12" borderId="0" xfId="0" applyFont="1" applyFill="1" applyBorder="1" applyAlignment="1">
      <alignment horizontal="center"/>
    </xf>
    <xf numFmtId="0" fontId="37" fillId="12" borderId="15" xfId="0" applyFont="1" applyFill="1" applyBorder="1" applyAlignment="1">
      <alignment horizontal="center"/>
    </xf>
    <xf numFmtId="0" fontId="37" fillId="12" borderId="9" xfId="0" applyFont="1" applyFill="1" applyBorder="1" applyAlignment="1">
      <alignment horizontal="center"/>
    </xf>
    <xf numFmtId="0" fontId="37" fillId="12" borderId="6" xfId="0" applyFont="1" applyFill="1" applyBorder="1" applyAlignment="1">
      <alignment horizontal="center"/>
    </xf>
    <xf numFmtId="0" fontId="37" fillId="12" borderId="10" xfId="0" applyFont="1" applyFill="1" applyBorder="1" applyAlignment="1">
      <alignment horizontal="center"/>
    </xf>
    <xf numFmtId="0" fontId="37" fillId="0" borderId="7" xfId="0" applyFont="1" applyBorder="1" applyAlignment="1">
      <alignment horizontal="center"/>
    </xf>
    <xf numFmtId="0" fontId="37" fillId="0" borderId="8" xfId="0" applyFont="1" applyBorder="1" applyAlignment="1">
      <alignment horizontal="center"/>
    </xf>
    <xf numFmtId="0" fontId="38" fillId="0" borderId="7" xfId="0" applyFont="1" applyBorder="1" applyAlignment="1">
      <alignment horizontal="center"/>
    </xf>
    <xf numFmtId="0" fontId="38" fillId="0" borderId="5" xfId="0" applyFont="1" applyBorder="1" applyAlignment="1">
      <alignment horizontal="center"/>
    </xf>
    <xf numFmtId="0" fontId="38" fillId="0" borderId="8" xfId="0" applyFont="1" applyBorder="1" applyAlignment="1">
      <alignment horizontal="center"/>
    </xf>
    <xf numFmtId="0" fontId="25" fillId="11" borderId="7" xfId="0" applyFont="1" applyFill="1" applyBorder="1" applyAlignment="1">
      <alignment horizontal="center"/>
    </xf>
    <xf numFmtId="0" fontId="25" fillId="11" borderId="5" xfId="0" applyFont="1" applyFill="1" applyBorder="1" applyAlignment="1">
      <alignment horizontal="center"/>
    </xf>
    <xf numFmtId="0" fontId="25" fillId="11" borderId="8" xfId="0" applyFont="1" applyFill="1" applyBorder="1" applyAlignment="1">
      <alignment horizontal="center"/>
    </xf>
  </cellXfs>
  <cellStyles count="22">
    <cellStyle name="60% - Accent1 2" xfId="12" xr:uid="{00000000-0005-0000-0000-000000000000}"/>
    <cellStyle name="Accent1 2" xfId="11" xr:uid="{00000000-0005-0000-0000-000001000000}"/>
    <cellStyle name="Accent2 2" xfId="13" xr:uid="{00000000-0005-0000-0000-000002000000}"/>
    <cellStyle name="Comma" xfId="1" builtinId="3"/>
    <cellStyle name="Comma 2" xfId="17" xr:uid="{00000000-0005-0000-0000-000004000000}"/>
    <cellStyle name="Comma 3" xfId="5" xr:uid="{00000000-0005-0000-0000-000005000000}"/>
    <cellStyle name="Currency" xfId="2" builtinId="4"/>
    <cellStyle name="Currency 2" xfId="18" xr:uid="{00000000-0005-0000-0000-000007000000}"/>
    <cellStyle name="Currency 3" xfId="6" xr:uid="{00000000-0005-0000-0000-000008000000}"/>
    <cellStyle name="FRxAmtStyle" xfId="7" xr:uid="{00000000-0005-0000-0000-000009000000}"/>
    <cellStyle name="Hyperlink" xfId="21" builtinId="8"/>
    <cellStyle name="Normal" xfId="0" builtinId="0"/>
    <cellStyle name="Normal 2" xfId="14" xr:uid="{00000000-0005-0000-0000-00000C000000}"/>
    <cellStyle name="Normal 3" xfId="15" xr:uid="{00000000-0005-0000-0000-00000D000000}"/>
    <cellStyle name="Normal 4" xfId="16" xr:uid="{00000000-0005-0000-0000-00000E000000}"/>
    <cellStyle name="Normal 5" xfId="4" xr:uid="{00000000-0005-0000-0000-00000F000000}"/>
    <cellStyle name="Normal 6" xfId="19" xr:uid="{00000000-0005-0000-0000-000010000000}"/>
    <cellStyle name="Normal_Financial Frcst (Section 14) P1" xfId="20" xr:uid="{00000000-0005-0000-0000-000011000000}"/>
    <cellStyle name="Percent" xfId="3" builtinId="5"/>
    <cellStyle name="Percent 2" xfId="8" xr:uid="{00000000-0005-0000-0000-000013000000}"/>
    <cellStyle name="STYLE1" xfId="9" xr:uid="{00000000-0005-0000-0000-000014000000}"/>
    <cellStyle name="STYLE2" xfId="10" xr:uid="{00000000-0005-0000-0000-00001500000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a:solidFill>
                  <a:sysClr val="windowText" lastClr="000000"/>
                </a:solidFill>
                <a:latin typeface="Arial" panose="020B0604020202020204" pitchFamily="34" charset="0"/>
                <a:cs typeface="Arial" panose="020B0604020202020204" pitchFamily="34" charset="0"/>
              </a:rPr>
              <a:t>Chart 3-1</a:t>
            </a:r>
          </a:p>
          <a:p>
            <a:pPr>
              <a:defRPr sz="1200">
                <a:solidFill>
                  <a:sysClr val="windowText" lastClr="000000"/>
                </a:solidFill>
                <a:latin typeface="Arial" panose="020B0604020202020204" pitchFamily="34" charset="0"/>
                <a:cs typeface="Arial" panose="020B0604020202020204" pitchFamily="34" charset="0"/>
              </a:defRPr>
            </a:pPr>
            <a:r>
              <a:rPr lang="en-US" sz="1200">
                <a:solidFill>
                  <a:sysClr val="windowText" lastClr="000000"/>
                </a:solidFill>
                <a:latin typeface="Arial" panose="020B0604020202020204" pitchFamily="34" charset="0"/>
                <a:cs typeface="Arial" panose="020B0604020202020204" pitchFamily="34" charset="0"/>
              </a:rPr>
              <a:t>Breakdown of Increase in Average Customer Cost of Electricity </a:t>
            </a:r>
          </a:p>
          <a:p>
            <a:pPr>
              <a:defRPr sz="1200">
                <a:solidFill>
                  <a:sysClr val="windowText" lastClr="000000"/>
                </a:solidFill>
                <a:latin typeface="Arial" panose="020B0604020202020204" pitchFamily="34" charset="0"/>
                <a:cs typeface="Arial" panose="020B0604020202020204" pitchFamily="34" charset="0"/>
              </a:defRPr>
            </a:pPr>
            <a:r>
              <a:rPr lang="en-US" sz="1200">
                <a:solidFill>
                  <a:sysClr val="windowText" lastClr="000000"/>
                </a:solidFill>
                <a:latin typeface="Arial" panose="020B0604020202020204" pitchFamily="34" charset="0"/>
                <a:cs typeface="Arial" panose="020B0604020202020204" pitchFamily="34" charset="0"/>
              </a:rPr>
              <a:t>2023-2025</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tx>
            <c:v>Breakdown of Changes in Average Customer Costs</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58-4BA9-8ADC-3601697705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58-4BA9-8ADC-3601697705A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58-4BA9-8ADC-3601697705A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58-4BA9-8ADC-3601697705A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58-4BA9-8ADC-3601697705A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58-4BA9-8ADC-3601697705AD}"/>
              </c:ext>
            </c:extLst>
          </c:dPt>
          <c:dPt>
            <c:idx val="6"/>
            <c:bubble3D val="0"/>
            <c:spPr>
              <a:solidFill>
                <a:srgbClr val="FFFF66"/>
              </a:solidFill>
              <a:ln w="19050">
                <a:solidFill>
                  <a:schemeClr val="lt1"/>
                </a:solidFill>
              </a:ln>
              <a:effectLst/>
            </c:spPr>
            <c:extLst>
              <c:ext xmlns:c16="http://schemas.microsoft.com/office/drawing/2014/chart" uri="{C3380CC4-5D6E-409C-BE32-E72D297353CC}">
                <c16:uniqueId val="{0000000D-A958-4BA9-8ADC-3601697705A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 3-1'!$A$43:$A$49</c:f>
              <c:strCache>
                <c:ptCount val="7"/>
                <c:pt idx="0">
                  <c:v>Energy-Related Costs </c:v>
                </c:pt>
                <c:pt idx="1">
                  <c:v>Depreciation</c:v>
                </c:pt>
                <c:pt idx="2">
                  <c:v>Return</c:v>
                </c:pt>
                <c:pt idx="3">
                  <c:v>Operating Costs</c:v>
                </c:pt>
                <c:pt idx="4">
                  <c:v>Income Taxes</c:v>
                </c:pt>
                <c:pt idx="5">
                  <c:v>Finance Charges</c:v>
                </c:pt>
                <c:pt idx="6">
                  <c:v>Other</c:v>
                </c:pt>
              </c:strCache>
            </c:strRef>
          </c:cat>
          <c:val>
            <c:numRef>
              <c:f>'Chart 3-1'!$C$43:$C$49</c:f>
              <c:numCache>
                <c:formatCode>0%</c:formatCode>
                <c:ptCount val="7"/>
                <c:pt idx="0">
                  <c:v>0.46342539651461118</c:v>
                </c:pt>
                <c:pt idx="1">
                  <c:v>0.15270127809097053</c:v>
                </c:pt>
                <c:pt idx="2">
                  <c:v>0.1339627331638121</c:v>
                </c:pt>
                <c:pt idx="3">
                  <c:v>0.10107812606333751</c:v>
                </c:pt>
                <c:pt idx="4">
                  <c:v>5.9985101817254714E-2</c:v>
                </c:pt>
                <c:pt idx="5">
                  <c:v>4.8115269336459897E-2</c:v>
                </c:pt>
                <c:pt idx="6">
                  <c:v>4.0732095013554272E-2</c:v>
                </c:pt>
              </c:numCache>
            </c:numRef>
          </c:val>
          <c:extLst>
            <c:ext xmlns:c16="http://schemas.microsoft.com/office/drawing/2014/chart" uri="{C3380CC4-5D6E-409C-BE32-E72D297353CC}">
              <c16:uniqueId val="{0000000E-A958-4BA9-8ADC-3601697705AD}"/>
            </c:ext>
          </c:extLst>
        </c:ser>
        <c:ser>
          <c:idx val="1"/>
          <c:order val="1"/>
          <c:tx>
            <c:strRef>
              <c:f>'Chart 3-1'!$A$61</c:f>
              <c:strCache>
                <c:ptCount val="1"/>
                <c:pt idx="0">
                  <c:v>Operating Costs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0-A958-4BA9-8ADC-3601697705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2-A958-4BA9-8ADC-3601697705A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4-A958-4BA9-8ADC-3601697705A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6-A958-4BA9-8ADC-3601697705A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8-A958-4BA9-8ADC-3601697705A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A-A958-4BA9-8ADC-3601697705A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C-A958-4BA9-8ADC-3601697705A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E-A958-4BA9-8ADC-3601697705AD}"/>
              </c:ext>
            </c:extLst>
          </c:dPt>
          <c:cat>
            <c:strRef>
              <c:f>'Chart 3-1'!$A$43:$A$49</c:f>
              <c:strCache>
                <c:ptCount val="7"/>
                <c:pt idx="0">
                  <c:v>Energy-Related Costs </c:v>
                </c:pt>
                <c:pt idx="1">
                  <c:v>Depreciation</c:v>
                </c:pt>
                <c:pt idx="2">
                  <c:v>Return</c:v>
                </c:pt>
                <c:pt idx="3">
                  <c:v>Operating Costs</c:v>
                </c:pt>
                <c:pt idx="4">
                  <c:v>Income Taxes</c:v>
                </c:pt>
                <c:pt idx="5">
                  <c:v>Finance Charges</c:v>
                </c:pt>
                <c:pt idx="6">
                  <c:v>Other</c:v>
                </c:pt>
              </c:strCache>
            </c:strRef>
          </c:cat>
          <c:val>
            <c:numRef>
              <c:f>'Chart 3-1'!$B$46:$G$46</c:f>
              <c:numCache>
                <c:formatCode>0%</c:formatCode>
                <c:ptCount val="6"/>
                <c:pt idx="0" formatCode="0.0%">
                  <c:v>9.3370720198603166E-3</c:v>
                </c:pt>
                <c:pt idx="1">
                  <c:v>0.10107812606333751</c:v>
                </c:pt>
              </c:numCache>
            </c:numRef>
          </c:val>
          <c:extLst>
            <c:ext xmlns:c16="http://schemas.microsoft.com/office/drawing/2014/chart" uri="{C3380CC4-5D6E-409C-BE32-E72D297353CC}">
              <c16:uniqueId val="{0000001F-A958-4BA9-8ADC-3601697705AD}"/>
            </c:ext>
          </c:extLst>
        </c:ser>
        <c:ser>
          <c:idx val="2"/>
          <c:order val="2"/>
          <c:tx>
            <c:strRef>
              <c:f>'Chart 3-1'!$A$59</c:f>
              <c:strCache>
                <c:ptCount val="1"/>
                <c:pt idx="0">
                  <c:v>Depreciation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21-A958-4BA9-8ADC-3601697705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3-A958-4BA9-8ADC-3601697705A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5-A958-4BA9-8ADC-3601697705A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7-A958-4BA9-8ADC-3601697705A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9-A958-4BA9-8ADC-3601697705A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B-A958-4BA9-8ADC-3601697705A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D-A958-4BA9-8ADC-3601697705A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F-A958-4BA9-8ADC-3601697705AD}"/>
              </c:ext>
            </c:extLst>
          </c:dPt>
          <c:cat>
            <c:strRef>
              <c:f>'Chart 3-1'!$A$43:$A$49</c:f>
              <c:strCache>
                <c:ptCount val="7"/>
                <c:pt idx="0">
                  <c:v>Energy-Related Costs </c:v>
                </c:pt>
                <c:pt idx="1">
                  <c:v>Depreciation</c:v>
                </c:pt>
                <c:pt idx="2">
                  <c:v>Return</c:v>
                </c:pt>
                <c:pt idx="3">
                  <c:v>Operating Costs</c:v>
                </c:pt>
                <c:pt idx="4">
                  <c:v>Income Taxes</c:v>
                </c:pt>
                <c:pt idx="5">
                  <c:v>Finance Charges</c:v>
                </c:pt>
                <c:pt idx="6">
                  <c:v>Other</c:v>
                </c:pt>
              </c:strCache>
            </c:strRef>
          </c:cat>
          <c:val>
            <c:numRef>
              <c:f>'Chart 3-1'!$B$44:$G$44</c:f>
              <c:numCache>
                <c:formatCode>0%</c:formatCode>
                <c:ptCount val="6"/>
                <c:pt idx="0" formatCode="0.0%">
                  <c:v>1.410575053762559E-2</c:v>
                </c:pt>
                <c:pt idx="1">
                  <c:v>0.15270127809097053</c:v>
                </c:pt>
              </c:numCache>
            </c:numRef>
          </c:val>
          <c:extLst>
            <c:ext xmlns:c16="http://schemas.microsoft.com/office/drawing/2014/chart" uri="{C3380CC4-5D6E-409C-BE32-E72D297353CC}">
              <c16:uniqueId val="{00000030-A958-4BA9-8ADC-3601697705AD}"/>
            </c:ext>
          </c:extLst>
        </c:ser>
        <c:ser>
          <c:idx val="3"/>
          <c:order val="3"/>
          <c:tx>
            <c:strRef>
              <c:f>'Chart 3-1'!$A$63</c:f>
              <c:strCache>
                <c:ptCount val="1"/>
                <c:pt idx="0">
                  <c:v>Finance Charges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32-A958-4BA9-8ADC-3601697705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34-A958-4BA9-8ADC-3601697705A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36-A958-4BA9-8ADC-3601697705A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38-A958-4BA9-8ADC-3601697705A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3A-A958-4BA9-8ADC-3601697705A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3C-A958-4BA9-8ADC-3601697705A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3E-A958-4BA9-8ADC-3601697705A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40-A958-4BA9-8ADC-3601697705AD}"/>
              </c:ext>
            </c:extLst>
          </c:dPt>
          <c:cat>
            <c:strRef>
              <c:f>'Chart 3-1'!$A$43:$A$49</c:f>
              <c:strCache>
                <c:ptCount val="7"/>
                <c:pt idx="0">
                  <c:v>Energy-Related Costs </c:v>
                </c:pt>
                <c:pt idx="1">
                  <c:v>Depreciation</c:v>
                </c:pt>
                <c:pt idx="2">
                  <c:v>Return</c:v>
                </c:pt>
                <c:pt idx="3">
                  <c:v>Operating Costs</c:v>
                </c:pt>
                <c:pt idx="4">
                  <c:v>Income Taxes</c:v>
                </c:pt>
                <c:pt idx="5">
                  <c:v>Finance Charges</c:v>
                </c:pt>
                <c:pt idx="6">
                  <c:v>Other</c:v>
                </c:pt>
              </c:strCache>
            </c:strRef>
          </c:cat>
          <c:val>
            <c:numRef>
              <c:f>'Chart 3-1'!$B$48:$G$48</c:f>
              <c:numCache>
                <c:formatCode>0%</c:formatCode>
                <c:ptCount val="6"/>
                <c:pt idx="0" formatCode="0.0%">
                  <c:v>4.4446385439317546E-3</c:v>
                </c:pt>
                <c:pt idx="1">
                  <c:v>4.8115269336459897E-2</c:v>
                </c:pt>
              </c:numCache>
            </c:numRef>
          </c:val>
          <c:extLst>
            <c:ext xmlns:c16="http://schemas.microsoft.com/office/drawing/2014/chart" uri="{C3380CC4-5D6E-409C-BE32-E72D297353CC}">
              <c16:uniqueId val="{00000041-A958-4BA9-8ADC-3601697705AD}"/>
            </c:ext>
          </c:extLst>
        </c:ser>
        <c:ser>
          <c:idx val="4"/>
          <c:order val="4"/>
          <c:tx>
            <c:strRef>
              <c:f>'Chart 3-1'!$A$62</c:f>
              <c:strCache>
                <c:ptCount val="1"/>
                <c:pt idx="0">
                  <c:v>Income Taxes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43-A958-4BA9-8ADC-3601697705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45-A958-4BA9-8ADC-3601697705A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47-A958-4BA9-8ADC-3601697705A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49-A958-4BA9-8ADC-3601697705A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4B-A958-4BA9-8ADC-3601697705A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4D-A958-4BA9-8ADC-3601697705A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4F-A958-4BA9-8ADC-3601697705A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51-A958-4BA9-8ADC-3601697705AD}"/>
              </c:ext>
            </c:extLst>
          </c:dPt>
          <c:cat>
            <c:strRef>
              <c:f>'Chart 3-1'!$A$43:$A$49</c:f>
              <c:strCache>
                <c:ptCount val="7"/>
                <c:pt idx="0">
                  <c:v>Energy-Related Costs </c:v>
                </c:pt>
                <c:pt idx="1">
                  <c:v>Depreciation</c:v>
                </c:pt>
                <c:pt idx="2">
                  <c:v>Return</c:v>
                </c:pt>
                <c:pt idx="3">
                  <c:v>Operating Costs</c:v>
                </c:pt>
                <c:pt idx="4">
                  <c:v>Income Taxes</c:v>
                </c:pt>
                <c:pt idx="5">
                  <c:v>Finance Charges</c:v>
                </c:pt>
                <c:pt idx="6">
                  <c:v>Other</c:v>
                </c:pt>
              </c:strCache>
            </c:strRef>
          </c:cat>
          <c:val>
            <c:numRef>
              <c:f>'Chart 3-1'!$B$47:$G$47</c:f>
              <c:numCache>
                <c:formatCode>0%</c:formatCode>
                <c:ptCount val="6"/>
                <c:pt idx="0" formatCode="0.0%">
                  <c:v>5.5411119853508266E-3</c:v>
                </c:pt>
                <c:pt idx="1">
                  <c:v>5.9985101817254714E-2</c:v>
                </c:pt>
              </c:numCache>
            </c:numRef>
          </c:val>
          <c:extLst>
            <c:ext xmlns:c16="http://schemas.microsoft.com/office/drawing/2014/chart" uri="{C3380CC4-5D6E-409C-BE32-E72D297353CC}">
              <c16:uniqueId val="{00000052-A958-4BA9-8ADC-3601697705AD}"/>
            </c:ext>
          </c:extLst>
        </c:ser>
        <c:ser>
          <c:idx val="5"/>
          <c:order val="5"/>
          <c:tx>
            <c:strRef>
              <c:f>'Chart 3-1'!$A$60</c:f>
              <c:strCache>
                <c:ptCount val="1"/>
                <c:pt idx="0">
                  <c:v>Return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54-A958-4BA9-8ADC-3601697705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56-A958-4BA9-8ADC-3601697705A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58-A958-4BA9-8ADC-3601697705A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5A-A958-4BA9-8ADC-3601697705A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5C-A958-4BA9-8ADC-3601697705A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5E-A958-4BA9-8ADC-3601697705A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60-A958-4BA9-8ADC-3601697705A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62-A958-4BA9-8ADC-3601697705AD}"/>
              </c:ext>
            </c:extLst>
          </c:dPt>
          <c:cat>
            <c:strRef>
              <c:f>'Chart 3-1'!$A$43:$A$49</c:f>
              <c:strCache>
                <c:ptCount val="7"/>
                <c:pt idx="0">
                  <c:v>Energy-Related Costs </c:v>
                </c:pt>
                <c:pt idx="1">
                  <c:v>Depreciation</c:v>
                </c:pt>
                <c:pt idx="2">
                  <c:v>Return</c:v>
                </c:pt>
                <c:pt idx="3">
                  <c:v>Operating Costs</c:v>
                </c:pt>
                <c:pt idx="4">
                  <c:v>Income Taxes</c:v>
                </c:pt>
                <c:pt idx="5">
                  <c:v>Finance Charges</c:v>
                </c:pt>
                <c:pt idx="6">
                  <c:v>Other</c:v>
                </c:pt>
              </c:strCache>
            </c:strRef>
          </c:cat>
          <c:val>
            <c:numRef>
              <c:f>'Chart 3-1'!$B$45:$G$45</c:f>
              <c:numCache>
                <c:formatCode>0%</c:formatCode>
                <c:ptCount val="6"/>
                <c:pt idx="0" formatCode="0.0%">
                  <c:v>1.2374781134585497E-2</c:v>
                </c:pt>
                <c:pt idx="1">
                  <c:v>0.1339627331638121</c:v>
                </c:pt>
              </c:numCache>
            </c:numRef>
          </c:val>
          <c:extLst>
            <c:ext xmlns:c16="http://schemas.microsoft.com/office/drawing/2014/chart" uri="{C3380CC4-5D6E-409C-BE32-E72D297353CC}">
              <c16:uniqueId val="{00000063-A958-4BA9-8ADC-3601697705AD}"/>
            </c:ext>
          </c:extLst>
        </c:ser>
        <c:ser>
          <c:idx val="6"/>
          <c:order val="6"/>
          <c:tx>
            <c:strRef>
              <c:f>'Chart 3-1'!$A$64</c:f>
              <c:strCache>
                <c:ptCount val="1"/>
                <c:pt idx="0">
                  <c:v>Other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65-A958-4BA9-8ADC-3601697705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67-A958-4BA9-8ADC-3601697705A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69-A958-4BA9-8ADC-3601697705A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6B-A958-4BA9-8ADC-3601697705A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6D-A958-4BA9-8ADC-3601697705A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6F-A958-4BA9-8ADC-3601697705A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71-A958-4BA9-8ADC-3601697705A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73-A958-4BA9-8ADC-3601697705AD}"/>
              </c:ext>
            </c:extLst>
          </c:dPt>
          <c:cat>
            <c:strRef>
              <c:f>'Chart 3-1'!$A$43:$A$49</c:f>
              <c:strCache>
                <c:ptCount val="7"/>
                <c:pt idx="0">
                  <c:v>Energy-Related Costs </c:v>
                </c:pt>
                <c:pt idx="1">
                  <c:v>Depreciation</c:v>
                </c:pt>
                <c:pt idx="2">
                  <c:v>Return</c:v>
                </c:pt>
                <c:pt idx="3">
                  <c:v>Operating Costs</c:v>
                </c:pt>
                <c:pt idx="4">
                  <c:v>Income Taxes</c:v>
                </c:pt>
                <c:pt idx="5">
                  <c:v>Finance Charges</c:v>
                </c:pt>
                <c:pt idx="6">
                  <c:v>Other</c:v>
                </c:pt>
              </c:strCache>
            </c:strRef>
          </c:cat>
          <c:val>
            <c:numRef>
              <c:f>'Chart 3-1'!$B$49:$G$49</c:f>
              <c:numCache>
                <c:formatCode>0%</c:formatCode>
                <c:ptCount val="6"/>
                <c:pt idx="0" formatCode="0.0%">
                  <c:v>3.7626192676250701E-3</c:v>
                </c:pt>
                <c:pt idx="1">
                  <c:v>4.0732095013554272E-2</c:v>
                </c:pt>
              </c:numCache>
            </c:numRef>
          </c:val>
          <c:extLst>
            <c:ext xmlns:c16="http://schemas.microsoft.com/office/drawing/2014/chart" uri="{C3380CC4-5D6E-409C-BE32-E72D297353CC}">
              <c16:uniqueId val="{00000074-A958-4BA9-8ADC-3601697705A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465667</xdr:colOff>
      <xdr:row>39</xdr:row>
      <xdr:rowOff>179385</xdr:rowOff>
    </xdr:from>
    <xdr:to>
      <xdr:col>19</xdr:col>
      <xdr:colOff>31750</xdr:colOff>
      <xdr:row>65</xdr:row>
      <xdr:rowOff>148166</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5"/>
  <sheetViews>
    <sheetView tabSelected="1" topLeftCell="A10" zoomScale="90" zoomScaleNormal="90" workbookViewId="0">
      <selection activeCell="D30" sqref="D30"/>
    </sheetView>
  </sheetViews>
  <sheetFormatPr defaultRowHeight="15" x14ac:dyDescent="0.25"/>
  <cols>
    <col min="1" max="1" width="46.5703125" bestFit="1" customWidth="1"/>
    <col min="2" max="2" width="17.28515625" bestFit="1" customWidth="1"/>
    <col min="3" max="3" width="13.42578125" bestFit="1" customWidth="1"/>
    <col min="4" max="4" width="15" bestFit="1" customWidth="1"/>
    <col min="5" max="5" width="13.42578125" bestFit="1" customWidth="1"/>
    <col min="6" max="6" width="17.28515625" bestFit="1" customWidth="1"/>
    <col min="7" max="7" width="3.28515625" customWidth="1"/>
    <col min="8" max="8" width="12.140625" bestFit="1" customWidth="1"/>
    <col min="9" max="9" width="12.85546875" customWidth="1"/>
    <col min="10" max="10" width="12.85546875" bestFit="1" customWidth="1"/>
    <col min="11" max="11" width="12.85546875" customWidth="1"/>
    <col min="12" max="12" width="14.28515625" bestFit="1" customWidth="1"/>
    <col min="14" max="14" width="5.5703125" customWidth="1"/>
    <col min="15" max="15" width="11.140625" bestFit="1" customWidth="1"/>
    <col min="16" max="16" width="17.7109375" bestFit="1" customWidth="1"/>
  </cols>
  <sheetData>
    <row r="1" spans="1:16" x14ac:dyDescent="0.25">
      <c r="A1" t="s">
        <v>611</v>
      </c>
    </row>
    <row r="4" spans="1:16" x14ac:dyDescent="0.25">
      <c r="H4" s="497"/>
      <c r="I4" s="497"/>
      <c r="J4" s="497"/>
      <c r="K4" s="497"/>
      <c r="L4" s="497"/>
      <c r="M4" s="497"/>
    </row>
    <row r="5" spans="1:16" x14ac:dyDescent="0.25">
      <c r="B5" s="502" t="s">
        <v>314</v>
      </c>
      <c r="H5" s="520">
        <f>+D6</f>
        <v>2023</v>
      </c>
      <c r="I5" s="520"/>
      <c r="J5" s="520">
        <f>+E6</f>
        <v>2024</v>
      </c>
      <c r="K5" s="520"/>
      <c r="L5" s="520">
        <f>+F6</f>
        <v>2025</v>
      </c>
      <c r="M5" s="520"/>
      <c r="O5" s="519" t="s">
        <v>614</v>
      </c>
      <c r="P5" s="519"/>
    </row>
    <row r="6" spans="1:16" x14ac:dyDescent="0.25">
      <c r="B6" s="502">
        <f>+'Energy Supply'!D33</f>
        <v>2021</v>
      </c>
      <c r="C6">
        <f>+'Energy Supply'!E33</f>
        <v>2022</v>
      </c>
      <c r="D6">
        <f>+'Energy Supply'!F33</f>
        <v>2023</v>
      </c>
      <c r="E6">
        <f>+'Energy Supply'!G33</f>
        <v>2024</v>
      </c>
      <c r="F6">
        <f>+'Energy Supply'!H33</f>
        <v>2025</v>
      </c>
      <c r="H6" s="329" t="s">
        <v>211</v>
      </c>
      <c r="I6" s="329" t="s">
        <v>212</v>
      </c>
      <c r="J6" s="329" t="s">
        <v>211</v>
      </c>
      <c r="K6" s="329" t="s">
        <v>212</v>
      </c>
      <c r="L6" s="329" t="s">
        <v>211</v>
      </c>
      <c r="M6" s="329" t="s">
        <v>212</v>
      </c>
      <c r="O6" s="328" t="s">
        <v>219</v>
      </c>
      <c r="P6" s="328" t="s">
        <v>220</v>
      </c>
    </row>
    <row r="7" spans="1:16" x14ac:dyDescent="0.25">
      <c r="H7" s="329"/>
      <c r="I7" s="329"/>
      <c r="J7" s="329"/>
      <c r="K7" s="329"/>
      <c r="L7" s="329"/>
      <c r="M7" s="329"/>
      <c r="O7" s="329"/>
      <c r="P7" s="329"/>
    </row>
    <row r="8" spans="1:16" x14ac:dyDescent="0.25">
      <c r="A8" s="1" t="s">
        <v>218</v>
      </c>
      <c r="B8" s="1"/>
      <c r="C8" s="1"/>
      <c r="D8" s="1"/>
      <c r="E8" s="1"/>
      <c r="F8" s="1"/>
      <c r="G8" s="1"/>
      <c r="H8" s="1"/>
      <c r="I8" s="124">
        <v>3.0896411159227543E-2</v>
      </c>
      <c r="J8" s="1"/>
      <c r="K8" s="124">
        <v>3.0562124024841649E-2</v>
      </c>
      <c r="L8" s="124"/>
      <c r="M8" s="124">
        <v>3.0916268183471755E-2</v>
      </c>
      <c r="N8" s="1"/>
      <c r="O8" s="124">
        <f>+I8+K8+M8</f>
        <v>9.2374803367540947E-2</v>
      </c>
      <c r="P8" s="124">
        <f>AVERAGE(I8,K8,M8)</f>
        <v>3.079160112251365E-2</v>
      </c>
    </row>
    <row r="9" spans="1:16" x14ac:dyDescent="0.25">
      <c r="H9" s="329"/>
      <c r="I9" s="329"/>
      <c r="J9" s="329"/>
      <c r="K9" s="329"/>
      <c r="L9" s="329"/>
      <c r="M9" s="329"/>
      <c r="O9" s="329"/>
      <c r="P9" s="329"/>
    </row>
    <row r="10" spans="1:16" x14ac:dyDescent="0.25">
      <c r="A10" t="s">
        <v>203</v>
      </c>
      <c r="B10" s="498">
        <f>+'Energy Supply'!D26</f>
        <v>138545152.93000001</v>
      </c>
      <c r="C10" s="2"/>
      <c r="D10" s="2">
        <f>+'Energy Supply'!F26</f>
        <v>148885700</v>
      </c>
      <c r="E10" s="2">
        <f>+'Energy Supply'!G26</f>
        <v>155484100</v>
      </c>
      <c r="F10" s="2">
        <f>+'Energy Supply'!H26</f>
        <v>158798100</v>
      </c>
      <c r="G10" s="3"/>
    </row>
    <row r="11" spans="1:16" x14ac:dyDescent="0.25">
      <c r="A11" t="s">
        <v>204</v>
      </c>
      <c r="B11" s="498">
        <v>-5430574</v>
      </c>
      <c r="C11" s="2"/>
      <c r="D11" s="2">
        <v>-4219300</v>
      </c>
      <c r="E11" s="2">
        <v>-3746500</v>
      </c>
      <c r="F11" s="2">
        <v>-728800</v>
      </c>
      <c r="G11" s="3"/>
    </row>
    <row r="12" spans="1:16" x14ac:dyDescent="0.25">
      <c r="A12" t="s">
        <v>217</v>
      </c>
      <c r="B12" s="496">
        <f t="shared" ref="B12:F12" si="0">SUM(B10:B11)</f>
        <v>133114578.93000001</v>
      </c>
      <c r="C12" s="3"/>
      <c r="D12" s="3">
        <f t="shared" si="0"/>
        <v>144666400</v>
      </c>
      <c r="E12" s="3">
        <f t="shared" si="0"/>
        <v>151737600</v>
      </c>
      <c r="F12" s="3">
        <f t="shared" si="0"/>
        <v>158069300</v>
      </c>
      <c r="G12" s="3"/>
      <c r="H12" s="3">
        <f>+D12-B12</f>
        <v>11551821.069999993</v>
      </c>
      <c r="I12" s="13">
        <f>+H12/H$39*I$8</f>
        <v>2.2002470821354252E-2</v>
      </c>
      <c r="J12" s="3">
        <f>+E12-D12</f>
        <v>7071200</v>
      </c>
      <c r="K12" s="13">
        <f>+J12/J$39*K$8</f>
        <v>1.7002356774095402E-2</v>
      </c>
      <c r="L12" s="3">
        <f>+F12-E12</f>
        <v>6331700</v>
      </c>
      <c r="M12" s="13">
        <f>+L12/L$39*M$8</f>
        <v>1.6504257516269879E-2</v>
      </c>
      <c r="O12" s="123">
        <f>+I12+K12+M12</f>
        <v>5.5509085111719536E-2</v>
      </c>
      <c r="P12" s="123">
        <f>AVERAGE(I12,K12,M12)</f>
        <v>1.8503028370573178E-2</v>
      </c>
    </row>
    <row r="13" spans="1:16" x14ac:dyDescent="0.25">
      <c r="B13" s="496"/>
      <c r="C13" s="3"/>
      <c r="D13" s="3"/>
      <c r="E13" s="3"/>
      <c r="F13" s="3"/>
      <c r="G13" s="3"/>
    </row>
    <row r="14" spans="1:16" x14ac:dyDescent="0.25">
      <c r="A14" t="s">
        <v>207</v>
      </c>
      <c r="B14" s="498">
        <f>+'T &amp; D'!D7</f>
        <v>6031640</v>
      </c>
      <c r="C14" s="2"/>
      <c r="D14" s="2">
        <f>+'T &amp; D'!F7</f>
        <v>6109600</v>
      </c>
      <c r="E14" s="2">
        <f>+'T &amp; D'!G7</f>
        <v>6943200</v>
      </c>
      <c r="F14" s="2">
        <f>+'T &amp; D'!H7</f>
        <v>7606600</v>
      </c>
      <c r="G14" s="3"/>
      <c r="H14" s="3">
        <f>+D14-B14</f>
        <v>77960</v>
      </c>
      <c r="I14" s="13">
        <f>+H14/H$39*I$8</f>
        <v>1.4848850366003621E-4</v>
      </c>
      <c r="J14" s="3">
        <f>+E14-D14</f>
        <v>833600</v>
      </c>
      <c r="K14" s="13">
        <f t="shared" ref="K14:K17" si="1">+J14/J$39*K$8</f>
        <v>2.0043506910971164E-3</v>
      </c>
      <c r="L14" s="3">
        <f>+F14-E14</f>
        <v>663400</v>
      </c>
      <c r="M14" s="13">
        <f>+L14/L$39*M$8</f>
        <v>1.7292235002121766E-3</v>
      </c>
      <c r="O14" s="122">
        <f t="shared" ref="O14:O17" si="2">+I14+K14+M14</f>
        <v>3.882062694969329E-3</v>
      </c>
      <c r="P14" s="122">
        <f t="shared" ref="P14:P17" si="3">AVERAGE(I14,K14,M14)</f>
        <v>1.2940208983231096E-3</v>
      </c>
    </row>
    <row r="15" spans="1:16" x14ac:dyDescent="0.25">
      <c r="A15" t="s">
        <v>208</v>
      </c>
      <c r="B15" s="498">
        <f>+'T &amp; D'!D5</f>
        <v>1077430</v>
      </c>
      <c r="C15" s="2"/>
      <c r="D15" s="2">
        <f>+'T &amp; D'!F5</f>
        <v>1170600</v>
      </c>
      <c r="E15" s="2">
        <f>+'T &amp; D'!G5</f>
        <v>1278700</v>
      </c>
      <c r="F15" s="2">
        <f>+'T &amp; D'!H5</f>
        <v>1386000</v>
      </c>
      <c r="G15" s="3"/>
      <c r="H15" s="3">
        <f>+D15-B15</f>
        <v>93170</v>
      </c>
      <c r="I15" s="13">
        <f>+H15/H$39*I$8</f>
        <v>1.7745861834281138E-4</v>
      </c>
      <c r="J15" s="3">
        <f>+E15-D15</f>
        <v>108100</v>
      </c>
      <c r="K15" s="13">
        <f t="shared" si="1"/>
        <v>2.5992119686612077E-4</v>
      </c>
      <c r="L15" s="3">
        <f>+F15-E15</f>
        <v>107300</v>
      </c>
      <c r="M15" s="13">
        <f>+L15/L$39*M$8</f>
        <v>2.7968899845156247E-4</v>
      </c>
      <c r="O15" s="122">
        <f t="shared" si="2"/>
        <v>7.1706881366049463E-4</v>
      </c>
      <c r="P15" s="122">
        <f t="shared" si="3"/>
        <v>2.3902293788683154E-4</v>
      </c>
    </row>
    <row r="16" spans="1:16" x14ac:dyDescent="0.25">
      <c r="A16" t="s">
        <v>209</v>
      </c>
      <c r="B16" s="498">
        <f>+'T &amp; D'!D8</f>
        <v>2513170</v>
      </c>
      <c r="C16" s="2"/>
      <c r="D16" s="2">
        <f>+'T &amp; D'!F8</f>
        <v>2693300</v>
      </c>
      <c r="E16" s="2">
        <f>+'T &amp; D'!G8</f>
        <v>2865600</v>
      </c>
      <c r="F16" s="2">
        <f>+'T &amp; D'!H8</f>
        <v>3009400</v>
      </c>
      <c r="G16" s="3"/>
      <c r="H16" s="3">
        <f>+D16-B16</f>
        <v>180130</v>
      </c>
      <c r="I16" s="13">
        <f>+H16/H$39*I$8</f>
        <v>3.4308920169679737E-4</v>
      </c>
      <c r="J16" s="3">
        <f>+E16-D16</f>
        <v>172300</v>
      </c>
      <c r="K16" s="13">
        <f t="shared" si="1"/>
        <v>4.1428697705858105E-4</v>
      </c>
      <c r="L16" s="3">
        <f>+F16-E16</f>
        <v>143800</v>
      </c>
      <c r="M16" s="13">
        <f>+L16/L$39*M$8</f>
        <v>3.7483017686239223E-4</v>
      </c>
      <c r="O16" s="122">
        <f t="shared" si="2"/>
        <v>1.1322063556177707E-3</v>
      </c>
      <c r="P16" s="122">
        <f t="shared" si="3"/>
        <v>3.774021185392569E-4</v>
      </c>
    </row>
    <row r="17" spans="1:16" x14ac:dyDescent="0.25">
      <c r="A17" t="s">
        <v>210</v>
      </c>
      <c r="B17" s="498">
        <f>+General!D12</f>
        <v>12328885</v>
      </c>
      <c r="C17" s="2"/>
      <c r="D17" s="2">
        <f>+General!F12</f>
        <v>13185000</v>
      </c>
      <c r="E17" s="2">
        <f>+General!G12</f>
        <v>13558500</v>
      </c>
      <c r="F17" s="2">
        <f>+General!H12</f>
        <v>13971700</v>
      </c>
      <c r="G17" s="3"/>
      <c r="H17" s="3">
        <f>+D17-B17</f>
        <v>856115</v>
      </c>
      <c r="I17" s="13">
        <f>+H17/H$39*I$8</f>
        <v>1.6306212841317586E-3</v>
      </c>
      <c r="J17" s="3">
        <f>+E17-D17</f>
        <v>373500</v>
      </c>
      <c r="K17" s="13">
        <f t="shared" si="1"/>
        <v>8.9806259971781787E-4</v>
      </c>
      <c r="L17" s="3">
        <f>+F17-E17</f>
        <v>413200</v>
      </c>
      <c r="M17" s="13">
        <f>+L17/L$39*M$8</f>
        <v>1.0770502717631465E-3</v>
      </c>
      <c r="O17" s="122">
        <f t="shared" si="2"/>
        <v>3.6057341556127226E-3</v>
      </c>
      <c r="P17" s="122">
        <f t="shared" si="3"/>
        <v>1.2019113852042409E-3</v>
      </c>
    </row>
    <row r="18" spans="1:16" x14ac:dyDescent="0.25">
      <c r="B18" s="499"/>
      <c r="G18" s="3"/>
    </row>
    <row r="19" spans="1:16" x14ac:dyDescent="0.25">
      <c r="A19" t="s">
        <v>2</v>
      </c>
      <c r="B19" s="498">
        <f>+'Other Revenue &amp; Costs'!D34</f>
        <v>26602261</v>
      </c>
      <c r="C19" s="2"/>
      <c r="D19" s="2">
        <f>+'Other Revenue &amp; Costs'!F34</f>
        <v>29093700</v>
      </c>
      <c r="E19" s="2">
        <f>+'Other Revenue &amp; Costs'!G34</f>
        <v>30785200</v>
      </c>
      <c r="F19" s="2">
        <f>+'Other Revenue &amp; Costs'!H34</f>
        <v>32815900</v>
      </c>
      <c r="G19" s="3"/>
      <c r="H19" s="3">
        <f>+D19-B19</f>
        <v>2491439</v>
      </c>
      <c r="I19" s="13">
        <f>+H19/H$39*I$8</f>
        <v>4.7453828767349531E-3</v>
      </c>
      <c r="J19" s="3">
        <f>+E19-D19</f>
        <v>1691500</v>
      </c>
      <c r="K19" s="13">
        <f>+J19/J$39*K$8</f>
        <v>4.0671295513325005E-3</v>
      </c>
      <c r="L19" s="3">
        <f>+F19-E19</f>
        <v>2030700</v>
      </c>
      <c r="M19" s="13">
        <f>+L19/L$39*M$8</f>
        <v>5.2932381095581356E-3</v>
      </c>
      <c r="O19" s="122">
        <f>+I19+K19+M19</f>
        <v>1.410575053762559E-2</v>
      </c>
      <c r="P19" s="122">
        <f>AVERAGE(I19,K19,M19)</f>
        <v>4.7019168458751967E-3</v>
      </c>
    </row>
    <row r="20" spans="1:16" x14ac:dyDescent="0.25">
      <c r="B20" s="499"/>
      <c r="G20" s="3"/>
    </row>
    <row r="21" spans="1:16" x14ac:dyDescent="0.25">
      <c r="A21" t="s">
        <v>4</v>
      </c>
      <c r="B21" s="498">
        <f>+'Other Revenue &amp; Costs'!D44</f>
        <v>12502569</v>
      </c>
      <c r="C21" s="2"/>
      <c r="D21" s="2">
        <f>+'Other Revenue &amp; Costs'!F44</f>
        <v>13797600</v>
      </c>
      <c r="E21" s="2">
        <f>+'Other Revenue &amp; Costs'!G44</f>
        <v>14277900</v>
      </c>
      <c r="F21" s="2">
        <f>+'Other Revenue &amp; Costs'!H44</f>
        <v>14593700</v>
      </c>
      <c r="G21" s="3"/>
      <c r="H21" s="3">
        <f>+D21-B21</f>
        <v>1295031</v>
      </c>
      <c r="I21" s="13">
        <f>+H21/H$39*I$8</f>
        <v>2.4666138453483884E-3</v>
      </c>
      <c r="J21" s="3">
        <f>+E21-D21</f>
        <v>480300</v>
      </c>
      <c r="K21" s="13">
        <f>+J21/J$39*K$8</f>
        <v>1.1548580097576115E-3</v>
      </c>
      <c r="L21" s="3">
        <f>+F21-E21</f>
        <v>315800</v>
      </c>
      <c r="M21" s="13">
        <f>+L21/L$39*M$8</f>
        <v>8.2316668882575432E-4</v>
      </c>
      <c r="O21" s="122">
        <f>+I21+K21+M21</f>
        <v>4.4446385439317546E-3</v>
      </c>
      <c r="P21" s="122">
        <f>AVERAGE(I21,K21,M21)</f>
        <v>1.4815461813105849E-3</v>
      </c>
    </row>
    <row r="22" spans="1:16" x14ac:dyDescent="0.25">
      <c r="B22" s="498"/>
      <c r="C22" s="2"/>
      <c r="D22" s="2"/>
      <c r="E22" s="2"/>
      <c r="F22" s="2"/>
      <c r="G22" s="3"/>
      <c r="H22" s="3"/>
      <c r="I22" s="13"/>
      <c r="J22" s="3"/>
      <c r="K22" s="13"/>
      <c r="L22" s="3"/>
      <c r="M22" s="13"/>
    </row>
    <row r="23" spans="1:16" x14ac:dyDescent="0.25">
      <c r="A23" t="s">
        <v>215</v>
      </c>
      <c r="B23" s="498">
        <f>+'Other Revenue &amp; Costs'!D80</f>
        <v>6970131</v>
      </c>
      <c r="C23" s="2"/>
      <c r="D23" s="2">
        <f>+'Other Revenue &amp; Costs'!F80</f>
        <v>8459400</v>
      </c>
      <c r="E23" s="2">
        <f>+'Other Revenue &amp; Costs'!G80</f>
        <v>8993600</v>
      </c>
      <c r="F23" s="2">
        <f>+'Other Revenue &amp; Costs'!H80</f>
        <v>9538400</v>
      </c>
      <c r="G23" s="3"/>
      <c r="H23" s="3">
        <f>+D23-B23</f>
        <v>1489269</v>
      </c>
      <c r="I23" s="13">
        <f>+H23/H$39*I$8</f>
        <v>2.8365742093032129E-3</v>
      </c>
      <c r="J23" s="3">
        <f>+E23-D23</f>
        <v>534200</v>
      </c>
      <c r="K23" s="13">
        <f>+J23/J$39*K$8</f>
        <v>1.2844579404799419E-3</v>
      </c>
      <c r="L23" s="3">
        <f>+F23-E23</f>
        <v>544800</v>
      </c>
      <c r="M23" s="13">
        <f>+L23/L$39*M$8</f>
        <v>1.4200798355676722E-3</v>
      </c>
      <c r="O23" s="122">
        <f>+I23+K23+M23</f>
        <v>5.5411119853508266E-3</v>
      </c>
      <c r="P23" s="122">
        <f>AVERAGE(I23,K23,M23)</f>
        <v>1.8470373284502756E-3</v>
      </c>
    </row>
    <row r="24" spans="1:16" x14ac:dyDescent="0.25">
      <c r="B24" s="499"/>
      <c r="G24" s="3"/>
    </row>
    <row r="25" spans="1:16" x14ac:dyDescent="0.25">
      <c r="A25" t="s">
        <v>214</v>
      </c>
      <c r="B25" s="498">
        <f>+'ROE, Capital Structure, Divds'!D10</f>
        <v>15329827</v>
      </c>
      <c r="C25" s="2"/>
      <c r="D25" s="2">
        <f>+'ROE, Capital Structure, Divds'!F10</f>
        <v>18660100</v>
      </c>
      <c r="E25" s="2">
        <f>+'ROE, Capital Structure, Divds'!G10</f>
        <v>19851500</v>
      </c>
      <c r="F25" s="2">
        <f>+'ROE, Capital Structure, Divds'!H10</f>
        <v>21066500</v>
      </c>
      <c r="G25" s="3"/>
      <c r="H25" s="3">
        <f>+D25-B25</f>
        <v>3330273</v>
      </c>
      <c r="I25" s="13">
        <f>+H25/H$39*I$8</f>
        <v>6.3430894631788066E-3</v>
      </c>
      <c r="J25" s="3">
        <f>+E25-D25</f>
        <v>1191400</v>
      </c>
      <c r="K25" s="13">
        <f>+J25/J$39*K$8</f>
        <v>2.8646634037585226E-3</v>
      </c>
      <c r="L25" s="3">
        <f>+F25-E25</f>
        <v>1215000</v>
      </c>
      <c r="M25" s="13">
        <f>+L25/L$39*M$8</f>
        <v>3.1670282676481681E-3</v>
      </c>
      <c r="O25" s="122">
        <f>+I25+K25+M25</f>
        <v>1.2374781134585497E-2</v>
      </c>
      <c r="P25" s="122">
        <f>AVERAGE(I25,K25,M25)</f>
        <v>4.1249270448618326E-3</v>
      </c>
    </row>
    <row r="26" spans="1:16" x14ac:dyDescent="0.25">
      <c r="B26" s="499"/>
      <c r="G26" s="3"/>
    </row>
    <row r="27" spans="1:16" x14ac:dyDescent="0.25">
      <c r="A27" t="s">
        <v>213</v>
      </c>
      <c r="B27" s="496">
        <f>SUM(B12:B25)</f>
        <v>216470491.93000001</v>
      </c>
      <c r="C27" s="3"/>
      <c r="D27" s="3">
        <f t="shared" ref="D27:F27" si="4">SUM(D12:D25)</f>
        <v>237835700</v>
      </c>
      <c r="E27" s="3">
        <f t="shared" si="4"/>
        <v>250291800</v>
      </c>
      <c r="F27" s="3">
        <f t="shared" si="4"/>
        <v>262057500</v>
      </c>
      <c r="G27" s="3"/>
      <c r="H27" s="3">
        <f>SUM(H12:H25)</f>
        <v>21365208.069999993</v>
      </c>
      <c r="I27" s="13"/>
      <c r="J27" s="3">
        <f>SUM(J12:J25)</f>
        <v>12456100</v>
      </c>
      <c r="K27" s="13"/>
      <c r="L27" s="3">
        <f>SUM(L12:L25)</f>
        <v>11765700</v>
      </c>
      <c r="M27" s="13"/>
    </row>
    <row r="28" spans="1:16" x14ac:dyDescent="0.25">
      <c r="B28" s="496"/>
      <c r="C28" s="3"/>
      <c r="D28" s="3"/>
      <c r="E28" s="3"/>
      <c r="F28" s="3"/>
      <c r="G28" s="3"/>
      <c r="H28" s="3"/>
      <c r="I28" s="13"/>
      <c r="J28" s="3"/>
      <c r="K28" s="13"/>
      <c r="L28" s="3"/>
      <c r="M28" s="13"/>
    </row>
    <row r="29" spans="1:16" x14ac:dyDescent="0.25">
      <c r="A29" t="s">
        <v>618</v>
      </c>
      <c r="B29" s="496"/>
      <c r="C29" s="3"/>
      <c r="D29" s="3"/>
      <c r="E29" s="3"/>
      <c r="F29" s="3"/>
      <c r="G29" s="3"/>
      <c r="H29" s="3">
        <f>+D29-B29</f>
        <v>0</v>
      </c>
      <c r="I29" s="13">
        <f>+H29/H$39*I$8</f>
        <v>0</v>
      </c>
      <c r="J29" s="3">
        <f>+E29-D29</f>
        <v>0</v>
      </c>
      <c r="K29" s="13">
        <f>+J29/J$39*K$8</f>
        <v>0</v>
      </c>
      <c r="L29" s="3">
        <f>+F29-E29</f>
        <v>0</v>
      </c>
      <c r="M29" s="13">
        <f>+L29/L$39*M$8</f>
        <v>0</v>
      </c>
      <c r="O29" s="122">
        <f>+I29+K29+M29</f>
        <v>0</v>
      </c>
      <c r="P29" s="122">
        <f>AVERAGE(I29,K29,M29)</f>
        <v>0</v>
      </c>
    </row>
    <row r="30" spans="1:16" x14ac:dyDescent="0.25">
      <c r="B30" s="496"/>
      <c r="C30" s="3"/>
      <c r="D30" s="3"/>
      <c r="E30" s="3"/>
      <c r="F30" s="3"/>
      <c r="G30" s="3"/>
      <c r="H30" s="3"/>
      <c r="I30" s="13"/>
      <c r="J30" s="3"/>
      <c r="K30" s="13"/>
      <c r="L30" s="3"/>
      <c r="M30" s="13"/>
    </row>
    <row r="31" spans="1:16" x14ac:dyDescent="0.25">
      <c r="A31" t="s">
        <v>216</v>
      </c>
      <c r="B31" s="498">
        <f t="shared" ref="B31:F31" si="5">SUM(B27:B29)</f>
        <v>216470491.93000001</v>
      </c>
      <c r="C31" s="2"/>
      <c r="D31" s="2">
        <f t="shared" si="5"/>
        <v>237835700</v>
      </c>
      <c r="E31" s="2">
        <f t="shared" si="5"/>
        <v>250291800</v>
      </c>
      <c r="F31" s="2">
        <f t="shared" si="5"/>
        <v>262057500</v>
      </c>
      <c r="G31" s="3"/>
      <c r="H31" s="3">
        <f>+D31-B31</f>
        <v>21365208.069999993</v>
      </c>
      <c r="I31" s="13"/>
      <c r="J31" s="3">
        <f>+E31-D31</f>
        <v>12456100</v>
      </c>
      <c r="K31" s="13"/>
      <c r="L31" s="3">
        <f>+F31-E31</f>
        <v>11765700</v>
      </c>
      <c r="M31" s="13"/>
    </row>
    <row r="32" spans="1:16" x14ac:dyDescent="0.25">
      <c r="B32" s="496"/>
      <c r="C32" s="3"/>
      <c r="D32" s="3"/>
      <c r="E32" s="3"/>
      <c r="F32" s="3"/>
    </row>
    <row r="33" spans="1:16" x14ac:dyDescent="0.25">
      <c r="A33" t="s">
        <v>221</v>
      </c>
      <c r="B33" s="499"/>
    </row>
    <row r="34" spans="1:16" x14ac:dyDescent="0.25">
      <c r="A34" t="s">
        <v>205</v>
      </c>
      <c r="B34" s="498">
        <f>ROUND(+'ECAM Account'!C30,-2)</f>
        <v>0</v>
      </c>
      <c r="C34" s="498">
        <f>ROUND(+'ECAM Account'!D31,-2)</f>
        <v>4485400</v>
      </c>
      <c r="D34" s="2">
        <f>ROUND(+'ECAM Account'!E31,-2)</f>
        <v>6528600</v>
      </c>
      <c r="E34" s="2">
        <f>ROUND(+'ECAM Account'!F31,-2)</f>
        <v>4946500</v>
      </c>
      <c r="F34" s="2">
        <f>ROUND(+'ECAM Account'!G31,-2)</f>
        <v>3528700</v>
      </c>
      <c r="H34" s="496">
        <f>+D34-C34</f>
        <v>2043200</v>
      </c>
      <c r="I34" s="13">
        <f>+H34/H$39*I$8</f>
        <v>3.891633025630913E-3</v>
      </c>
      <c r="J34" s="3">
        <f>+E34-D34</f>
        <v>-1582100</v>
      </c>
      <c r="K34" s="13">
        <f>+J34/J$39*K$8</f>
        <v>-3.8040825676400524E-3</v>
      </c>
      <c r="L34" s="3">
        <f>+F34-E34</f>
        <v>-1417800</v>
      </c>
      <c r="M34" s="13">
        <f>+L34/L$39*M$8</f>
        <v>-3.695648294544504E-3</v>
      </c>
      <c r="O34" s="123">
        <f t="shared" ref="O34:O37" si="6">+I34+K34+M34</f>
        <v>-3.6080978365536434E-3</v>
      </c>
      <c r="P34" s="123">
        <f t="shared" ref="P34:P37" si="7">AVERAGE(I34,K34,M34)</f>
        <v>-1.2026992788512145E-3</v>
      </c>
    </row>
    <row r="35" spans="1:16" x14ac:dyDescent="0.25">
      <c r="A35" t="s">
        <v>612</v>
      </c>
      <c r="B35" s="496">
        <f>-'Energy Sales &amp; Revenue'!D35*1000000*0.0007</f>
        <v>-928199.82920000004</v>
      </c>
      <c r="C35" s="3"/>
      <c r="D35" s="3">
        <f>-'ECAM Account'!D28*'Section 5.3 Reg Deferrals'!C100</f>
        <v>-1617857.5786715001</v>
      </c>
      <c r="E35" s="3">
        <f>-'ECAM Account'!F25*'Section 5.3 Reg Deferrals'!C100</f>
        <v>-412688.5190429783</v>
      </c>
      <c r="F35" s="3">
        <v>0</v>
      </c>
      <c r="H35" s="3">
        <f>+D35-B35</f>
        <v>-689657.74947150005</v>
      </c>
      <c r="I35" s="13">
        <f>+H35/H$39*I$8</f>
        <v>-1.313574233665613E-3</v>
      </c>
      <c r="J35" s="3">
        <f>+E35-D35</f>
        <v>1205169.0596285218</v>
      </c>
      <c r="K35" s="13">
        <f>+J35/J$39*K$8</f>
        <v>2.8977704385260194E-3</v>
      </c>
      <c r="L35" s="3">
        <f>+F35-E35</f>
        <v>412688.5190429783</v>
      </c>
      <c r="M35" s="13">
        <f>+L35/L$39*M$8</f>
        <v>1.0757170415991535E-3</v>
      </c>
      <c r="O35" s="122">
        <f t="shared" si="6"/>
        <v>2.6599132464595601E-3</v>
      </c>
      <c r="P35" s="122">
        <f t="shared" si="7"/>
        <v>8.8663774881985336E-4</v>
      </c>
    </row>
    <row r="36" spans="1:16" x14ac:dyDescent="0.25">
      <c r="A36" t="s">
        <v>223</v>
      </c>
      <c r="B36" s="496">
        <f>+'Energy Sales &amp; Revenue'!D35*1000000*0.0036</f>
        <v>4773599.1216000002</v>
      </c>
      <c r="C36" s="3"/>
      <c r="D36" s="3">
        <v>0</v>
      </c>
      <c r="E36" s="3">
        <v>0</v>
      </c>
      <c r="F36" s="3">
        <v>0</v>
      </c>
      <c r="H36" s="3">
        <f>+D36-B36</f>
        <v>-4773599.1216000002</v>
      </c>
      <c r="I36" s="13">
        <f>+H36/H$39*I$8</f>
        <v>-9.0921573966039927E-3</v>
      </c>
      <c r="J36" s="3">
        <f>+E36-D36</f>
        <v>0</v>
      </c>
      <c r="K36" s="13">
        <f>+J36/J$39*K$8</f>
        <v>0</v>
      </c>
      <c r="L36" s="3">
        <f>+F36-E36</f>
        <v>0</v>
      </c>
      <c r="M36" s="13">
        <f>+L36/L$39*M$8</f>
        <v>0</v>
      </c>
      <c r="O36" s="123">
        <f t="shared" si="6"/>
        <v>-9.0921573966039927E-3</v>
      </c>
      <c r="P36" s="123">
        <f t="shared" si="7"/>
        <v>-3.0307191322013309E-3</v>
      </c>
    </row>
    <row r="37" spans="1:16" x14ac:dyDescent="0.25">
      <c r="A37" t="s">
        <v>224</v>
      </c>
      <c r="B37" s="496">
        <f>+'Energy Sales &amp; Revenue'!D35*1000000*0.0013</f>
        <v>1723799.6827999998</v>
      </c>
      <c r="C37" s="3"/>
      <c r="D37" s="3">
        <v>0</v>
      </c>
      <c r="E37" s="3">
        <f>+'ECAM Account'!F28*'Section 5.3 Reg Deferrals'!C128</f>
        <v>631474.19270719728</v>
      </c>
      <c r="F37" s="3">
        <f>+'ECAM Account'!G28*'Section 5.3 Reg Deferrals'!D128+'ECAM Account'!G25*'Section 5.3 Reg Deferrals'!D128</f>
        <v>1731615.2499154063</v>
      </c>
      <c r="H37" s="3">
        <f>+D37-B37</f>
        <v>-1723799.6827999998</v>
      </c>
      <c r="I37" s="13">
        <f>+H37/H$39*I$8</f>
        <v>-3.2832790598847747E-3</v>
      </c>
      <c r="J37" s="3">
        <f>+E37-D37</f>
        <v>631474.19270719728</v>
      </c>
      <c r="K37" s="13">
        <f>+J37/J$39*K$8</f>
        <v>1.5183490097920639E-3</v>
      </c>
      <c r="L37" s="3">
        <f>+F37-E37</f>
        <v>1100141.0572082091</v>
      </c>
      <c r="M37" s="13">
        <f>+L37/L$39*M$8</f>
        <v>2.8676360712582209E-3</v>
      </c>
      <c r="O37" s="122">
        <f t="shared" si="6"/>
        <v>1.1027060211655101E-3</v>
      </c>
      <c r="P37" s="122">
        <f t="shared" si="7"/>
        <v>3.675686737218367E-4</v>
      </c>
    </row>
    <row r="38" spans="1:16" x14ac:dyDescent="0.25">
      <c r="B38" s="498"/>
      <c r="C38" s="2"/>
      <c r="D38" s="2"/>
      <c r="E38" s="2"/>
      <c r="F38" s="2"/>
      <c r="H38" s="3"/>
      <c r="I38" s="13"/>
      <c r="J38" s="3"/>
      <c r="K38" s="13"/>
      <c r="L38" s="3"/>
      <c r="M38" s="13"/>
      <c r="O38" s="122"/>
      <c r="P38" s="122"/>
    </row>
    <row r="39" spans="1:16" x14ac:dyDescent="0.25">
      <c r="A39" t="s">
        <v>222</v>
      </c>
      <c r="B39" s="496">
        <f>SUM(B31:B37)</f>
        <v>222039690.9052</v>
      </c>
      <c r="C39" s="496">
        <f t="shared" ref="C39:F39" si="8">SUM(C31:C37)</f>
        <v>4485400</v>
      </c>
      <c r="D39" s="3">
        <f t="shared" si="8"/>
        <v>242746442.42132849</v>
      </c>
      <c r="E39" s="3">
        <f t="shared" si="8"/>
        <v>255457085.67366424</v>
      </c>
      <c r="F39" s="3">
        <f t="shared" si="8"/>
        <v>267317815.24991542</v>
      </c>
      <c r="G39" s="3"/>
      <c r="H39" s="3">
        <f>SUM(H31:H37)</f>
        <v>16221351.51612849</v>
      </c>
      <c r="I39" s="124">
        <f>SUM(I12:I37)</f>
        <v>3.089641115922755E-2</v>
      </c>
      <c r="J39" s="3">
        <f>SUM(J31:J37)</f>
        <v>12710643.25233572</v>
      </c>
      <c r="K39" s="124">
        <f>+J39/J$39*K$8</f>
        <v>3.0562124024841649E-2</v>
      </c>
      <c r="L39" s="3">
        <f>SUM(L31:L37)</f>
        <v>11860729.576251186</v>
      </c>
      <c r="M39" s="124">
        <f>+L39/L$39*M$8</f>
        <v>3.0916268183471755E-2</v>
      </c>
      <c r="O39" s="125">
        <f>+I39+K39+M39</f>
        <v>9.2374803367540947E-2</v>
      </c>
      <c r="P39" s="125">
        <f>SUM(P12:P37)</f>
        <v>3.0791601122513654E-2</v>
      </c>
    </row>
    <row r="40" spans="1:16" x14ac:dyDescent="0.25">
      <c r="A40" s="4" t="s">
        <v>231</v>
      </c>
      <c r="B40" s="7">
        <f>B31-'Energy Sales &amp; Revenue'!D43</f>
        <v>3267966.9300000072</v>
      </c>
      <c r="C40" s="7"/>
      <c r="D40" s="7">
        <f>D31-'Energy Sales &amp; Revenue'!F43</f>
        <v>4767500</v>
      </c>
      <c r="E40" s="7">
        <f>E31-'Energy Sales &amp; Revenue'!G43</f>
        <v>4935200</v>
      </c>
      <c r="F40" s="7">
        <f>F31-'Energy Sales &amp; Revenue'!H43</f>
        <v>5063200</v>
      </c>
    </row>
    <row r="41" spans="1:16" x14ac:dyDescent="0.25">
      <c r="B41" s="3"/>
      <c r="C41" s="3"/>
      <c r="D41" s="3"/>
      <c r="E41" s="3"/>
      <c r="F41" s="3"/>
    </row>
    <row r="42" spans="1:16" x14ac:dyDescent="0.25">
      <c r="A42" s="501" t="s">
        <v>610</v>
      </c>
    </row>
    <row r="43" spans="1:16" x14ac:dyDescent="0.25">
      <c r="A43" s="132" t="s">
        <v>235</v>
      </c>
      <c r="B43" s="123">
        <f>+O12+O34+O36</f>
        <v>4.2808829878561896E-2</v>
      </c>
      <c r="C43" s="244">
        <f t="shared" ref="C43:C49" si="9">+B43/B$50</f>
        <v>0.46342539651461118</v>
      </c>
    </row>
    <row r="44" spans="1:16" x14ac:dyDescent="0.25">
      <c r="A44" s="132" t="s">
        <v>234</v>
      </c>
      <c r="B44" s="122">
        <f>+O19</f>
        <v>1.410575053762559E-2</v>
      </c>
      <c r="C44" s="130">
        <f t="shared" si="9"/>
        <v>0.15270127809097053</v>
      </c>
    </row>
    <row r="45" spans="1:16" x14ac:dyDescent="0.25">
      <c r="A45" s="132" t="s">
        <v>237</v>
      </c>
      <c r="B45" s="122">
        <f>+O25</f>
        <v>1.2374781134585497E-2</v>
      </c>
      <c r="C45" s="130">
        <f t="shared" si="9"/>
        <v>0.1339627331638121</v>
      </c>
    </row>
    <row r="46" spans="1:16" x14ac:dyDescent="0.25">
      <c r="A46" s="132" t="s">
        <v>236</v>
      </c>
      <c r="B46" s="122">
        <f>SUM(O14:O17)+O29</f>
        <v>9.3370720198603166E-3</v>
      </c>
      <c r="C46" s="130">
        <f t="shared" si="9"/>
        <v>0.10107812606333751</v>
      </c>
    </row>
    <row r="47" spans="1:16" x14ac:dyDescent="0.25">
      <c r="A47" s="132" t="s">
        <v>106</v>
      </c>
      <c r="B47" s="122">
        <f>+O23</f>
        <v>5.5411119853508266E-3</v>
      </c>
      <c r="C47" s="130">
        <f t="shared" si="9"/>
        <v>5.9985101817254714E-2</v>
      </c>
    </row>
    <row r="48" spans="1:16" x14ac:dyDescent="0.25">
      <c r="A48" s="132" t="s">
        <v>233</v>
      </c>
      <c r="B48" s="122">
        <f>+O21</f>
        <v>4.4446385439317546E-3</v>
      </c>
      <c r="C48" s="130">
        <f t="shared" si="9"/>
        <v>4.8115269336459897E-2</v>
      </c>
    </row>
    <row r="49" spans="1:6" x14ac:dyDescent="0.25">
      <c r="A49" s="132" t="s">
        <v>118</v>
      </c>
      <c r="B49" s="122">
        <f>+O35+O37</f>
        <v>3.7626192676250701E-3</v>
      </c>
      <c r="C49" s="130">
        <f t="shared" si="9"/>
        <v>4.0732095013554272E-2</v>
      </c>
    </row>
    <row r="50" spans="1:6" x14ac:dyDescent="0.25">
      <c r="B50" s="122">
        <f>SUM(B43:B49)</f>
        <v>9.2374803367540934E-2</v>
      </c>
      <c r="C50" s="131">
        <f>SUM(C43:C49)</f>
        <v>1.0000000000000002</v>
      </c>
    </row>
    <row r="56" spans="1:6" x14ac:dyDescent="0.25">
      <c r="A56" s="500" t="s">
        <v>617</v>
      </c>
    </row>
    <row r="57" spans="1:6" ht="45" customHeight="1" x14ac:dyDescent="0.25">
      <c r="B57" s="505" t="s">
        <v>613</v>
      </c>
      <c r="C57" s="3"/>
      <c r="D57" s="3"/>
      <c r="E57" s="3"/>
      <c r="F57" s="504">
        <f>+F6</f>
        <v>2025</v>
      </c>
    </row>
    <row r="58" spans="1:6" x14ac:dyDescent="0.25">
      <c r="A58" s="132" t="s">
        <v>235</v>
      </c>
      <c r="B58" s="422">
        <f>+B12+B34+B36+C34</f>
        <v>142373578.05160001</v>
      </c>
      <c r="F58" s="422">
        <f>+F12+F34+F36</f>
        <v>161598000</v>
      </c>
    </row>
    <row r="59" spans="1:6" x14ac:dyDescent="0.25">
      <c r="A59" s="132" t="str">
        <f>+A44</f>
        <v>Depreciation</v>
      </c>
      <c r="B59" s="3">
        <f>+B19</f>
        <v>26602261</v>
      </c>
      <c r="F59" s="3">
        <f>+F19</f>
        <v>32815900</v>
      </c>
    </row>
    <row r="60" spans="1:6" x14ac:dyDescent="0.25">
      <c r="A60" s="132" t="s">
        <v>237</v>
      </c>
      <c r="B60" s="3">
        <f>+B25</f>
        <v>15329827</v>
      </c>
      <c r="F60" s="3">
        <f>+F25</f>
        <v>21066500</v>
      </c>
    </row>
    <row r="61" spans="1:6" x14ac:dyDescent="0.25">
      <c r="A61" s="132" t="s">
        <v>236</v>
      </c>
      <c r="B61" s="3">
        <f>+B14+B15+B16+B17+B29</f>
        <v>21951125</v>
      </c>
      <c r="F61" s="3">
        <f>+F14+F15+F16+F17+F29</f>
        <v>25973700</v>
      </c>
    </row>
    <row r="62" spans="1:6" x14ac:dyDescent="0.25">
      <c r="A62" s="132" t="s">
        <v>106</v>
      </c>
      <c r="B62" s="3">
        <f>+B23</f>
        <v>6970131</v>
      </c>
      <c r="F62" s="3">
        <f>+F23</f>
        <v>9538400</v>
      </c>
    </row>
    <row r="63" spans="1:6" x14ac:dyDescent="0.25">
      <c r="A63" s="132" t="s">
        <v>233</v>
      </c>
      <c r="B63" s="3">
        <f>+B21</f>
        <v>12502569</v>
      </c>
      <c r="F63" s="3">
        <f>+F21</f>
        <v>14593700</v>
      </c>
    </row>
    <row r="64" spans="1:6" x14ac:dyDescent="0.25">
      <c r="A64" s="132" t="s">
        <v>118</v>
      </c>
      <c r="B64" s="3">
        <f>+B35+B37</f>
        <v>795599.8535999998</v>
      </c>
      <c r="F64" s="3">
        <f>+F35+F37</f>
        <v>1731615.2499154063</v>
      </c>
    </row>
    <row r="65" spans="1:6" x14ac:dyDescent="0.25">
      <c r="B65" s="422">
        <f>SUM(B58:B64)</f>
        <v>226525090.9052</v>
      </c>
      <c r="F65" s="8">
        <f>SUM(F58:F64)</f>
        <v>267317815.24991542</v>
      </c>
    </row>
    <row r="66" spans="1:6" x14ac:dyDescent="0.25">
      <c r="A66" s="132" t="s">
        <v>235</v>
      </c>
      <c r="D66" s="3">
        <f t="shared" ref="D66:D72" si="10">+F58-B58</f>
        <v>19224421.948399991</v>
      </c>
      <c r="E66" s="474">
        <f t="shared" ref="E66:E72" si="11">+D66/D$73</f>
        <v>0.47127085178096156</v>
      </c>
    </row>
    <row r="67" spans="1:6" x14ac:dyDescent="0.25">
      <c r="A67" s="132" t="str">
        <f>A59</f>
        <v>Depreciation</v>
      </c>
      <c r="D67" s="3">
        <f t="shared" si="10"/>
        <v>6213639</v>
      </c>
      <c r="E67" s="474">
        <f t="shared" si="11"/>
        <v>0.15232223637460887</v>
      </c>
    </row>
    <row r="68" spans="1:6" x14ac:dyDescent="0.25">
      <c r="A68" s="132" t="s">
        <v>237</v>
      </c>
      <c r="D68" s="3">
        <f t="shared" si="10"/>
        <v>5736673</v>
      </c>
      <c r="E68" s="474">
        <f t="shared" si="11"/>
        <v>0.14062980818644866</v>
      </c>
    </row>
    <row r="69" spans="1:6" x14ac:dyDescent="0.25">
      <c r="A69" s="132" t="s">
        <v>236</v>
      </c>
      <c r="D69" s="3">
        <f t="shared" si="10"/>
        <v>4022575</v>
      </c>
      <c r="E69" s="474">
        <f t="shared" si="11"/>
        <v>9.86101091461207E-2</v>
      </c>
    </row>
    <row r="70" spans="1:6" x14ac:dyDescent="0.25">
      <c r="A70" s="132" t="s">
        <v>106</v>
      </c>
      <c r="D70" s="3">
        <f t="shared" si="10"/>
        <v>2568269</v>
      </c>
      <c r="E70" s="474">
        <f t="shared" si="11"/>
        <v>6.2958996763664635E-2</v>
      </c>
    </row>
    <row r="71" spans="1:6" x14ac:dyDescent="0.25">
      <c r="A71" s="132" t="s">
        <v>233</v>
      </c>
      <c r="D71" s="3">
        <f t="shared" si="10"/>
        <v>2091131</v>
      </c>
      <c r="E71" s="474">
        <f t="shared" si="11"/>
        <v>5.1262352137334051E-2</v>
      </c>
    </row>
    <row r="72" spans="1:6" x14ac:dyDescent="0.25">
      <c r="A72" s="132" t="s">
        <v>118</v>
      </c>
      <c r="D72" s="3">
        <f t="shared" si="10"/>
        <v>936015.39631540654</v>
      </c>
      <c r="E72" s="474">
        <f t="shared" si="11"/>
        <v>2.2945645610861615E-2</v>
      </c>
    </row>
    <row r="73" spans="1:6" x14ac:dyDescent="0.25">
      <c r="D73" s="3">
        <f>SUM(D66:D72)</f>
        <v>40792724.344715394</v>
      </c>
      <c r="E73" s="474">
        <f>SUM(E66:E72)</f>
        <v>1.0000000000000002</v>
      </c>
    </row>
    <row r="75" spans="1:6" x14ac:dyDescent="0.25">
      <c r="D75" s="3">
        <f>+F65-B65</f>
        <v>40792724.344715416</v>
      </c>
    </row>
  </sheetData>
  <mergeCells count="4">
    <mergeCell ref="O5:P5"/>
    <mergeCell ref="H5:I5"/>
    <mergeCell ref="J5:K5"/>
    <mergeCell ref="L5:M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H69"/>
  <sheetViews>
    <sheetView topLeftCell="A16" workbookViewId="0">
      <selection activeCell="B26" sqref="B26"/>
    </sheetView>
  </sheetViews>
  <sheetFormatPr defaultRowHeight="15" x14ac:dyDescent="0.25"/>
  <cols>
    <col min="1" max="1" width="36.28515625" style="10" bestFit="1" customWidth="1"/>
    <col min="2" max="2" width="12.5703125" style="10" bestFit="1" customWidth="1"/>
    <col min="3" max="4" width="14.42578125" style="10" bestFit="1" customWidth="1"/>
    <col min="5" max="5" width="15.28515625" style="10" bestFit="1" customWidth="1"/>
    <col min="6" max="6" width="15.28515625" style="10" customWidth="1"/>
    <col min="7" max="7" width="15.28515625" style="10" bestFit="1" customWidth="1"/>
    <col min="8" max="8" width="15.28515625" style="10" customWidth="1"/>
    <col min="9" max="16384" width="9.140625" style="10"/>
  </cols>
  <sheetData>
    <row r="1" spans="1:8" ht="25.5" customHeight="1" x14ac:dyDescent="0.25"/>
    <row r="2" spans="1:8" x14ac:dyDescent="0.25">
      <c r="A2" s="563" t="s">
        <v>578</v>
      </c>
      <c r="B2" s="564"/>
      <c r="C2" s="564"/>
      <c r="D2" s="564"/>
      <c r="E2" s="564"/>
      <c r="F2" s="564"/>
      <c r="G2" s="564"/>
      <c r="H2" s="565"/>
    </row>
    <row r="3" spans="1:8" x14ac:dyDescent="0.25">
      <c r="A3" s="560" t="s">
        <v>338</v>
      </c>
      <c r="B3" s="561"/>
      <c r="C3" s="561"/>
      <c r="D3" s="561"/>
      <c r="E3" s="561"/>
      <c r="F3" s="561"/>
      <c r="G3" s="561"/>
      <c r="H3" s="562"/>
    </row>
    <row r="4" spans="1:8" x14ac:dyDescent="0.25">
      <c r="A4" s="293" t="s">
        <v>27</v>
      </c>
      <c r="B4" s="293">
        <f>B14</f>
        <v>2019</v>
      </c>
      <c r="C4" s="293">
        <f t="shared" ref="C4:H4" si="0">C14</f>
        <v>2020</v>
      </c>
      <c r="D4" s="293">
        <f t="shared" si="0"/>
        <v>2021</v>
      </c>
      <c r="E4" s="293">
        <f t="shared" si="0"/>
        <v>2022</v>
      </c>
      <c r="F4" s="293">
        <f t="shared" si="0"/>
        <v>2023</v>
      </c>
      <c r="G4" s="293">
        <f t="shared" si="0"/>
        <v>2024</v>
      </c>
      <c r="H4" s="293">
        <f t="shared" si="0"/>
        <v>2025</v>
      </c>
    </row>
    <row r="5" spans="1:8" x14ac:dyDescent="0.25">
      <c r="A5" s="34" t="s">
        <v>78</v>
      </c>
      <c r="B5" s="20">
        <f>B20</f>
        <v>670824</v>
      </c>
      <c r="C5" s="20">
        <f t="shared" ref="C5:H5" si="1">C20</f>
        <v>738554</v>
      </c>
      <c r="D5" s="20">
        <f t="shared" si="1"/>
        <v>1077430</v>
      </c>
      <c r="E5" s="20">
        <f t="shared" si="1"/>
        <v>1064200</v>
      </c>
      <c r="F5" s="20">
        <f t="shared" si="1"/>
        <v>1170600</v>
      </c>
      <c r="G5" s="20">
        <f t="shared" si="1"/>
        <v>1278700</v>
      </c>
      <c r="H5" s="20">
        <f t="shared" si="1"/>
        <v>1386000</v>
      </c>
    </row>
    <row r="6" spans="1:8" x14ac:dyDescent="0.25">
      <c r="A6" s="34" t="s">
        <v>110</v>
      </c>
      <c r="B6" s="34">
        <f>B34</f>
        <v>8519015</v>
      </c>
      <c r="C6" s="34">
        <f t="shared" ref="C6:H6" si="2">C34</f>
        <v>8818988</v>
      </c>
      <c r="D6" s="34">
        <f t="shared" si="2"/>
        <v>8786315</v>
      </c>
      <c r="E6" s="34">
        <f t="shared" si="2"/>
        <v>10259200</v>
      </c>
      <c r="F6" s="34">
        <f t="shared" si="2"/>
        <v>11420800</v>
      </c>
      <c r="G6" s="34">
        <f t="shared" si="2"/>
        <v>11611100</v>
      </c>
      <c r="H6" s="34">
        <f t="shared" si="2"/>
        <v>11813400</v>
      </c>
    </row>
    <row r="7" spans="1:8" x14ac:dyDescent="0.25">
      <c r="A7" s="34" t="s">
        <v>79</v>
      </c>
      <c r="B7" s="34">
        <f>B49</f>
        <v>5032505</v>
      </c>
      <c r="C7" s="34">
        <f t="shared" ref="C7:H7" si="3">C49</f>
        <v>5188234</v>
      </c>
      <c r="D7" s="34">
        <f t="shared" si="3"/>
        <v>6031640</v>
      </c>
      <c r="E7" s="34">
        <f t="shared" si="3"/>
        <v>5708200</v>
      </c>
      <c r="F7" s="34">
        <f t="shared" si="3"/>
        <v>6109600</v>
      </c>
      <c r="G7" s="34">
        <f t="shared" si="3"/>
        <v>6943200</v>
      </c>
      <c r="H7" s="34">
        <f t="shared" si="3"/>
        <v>7606600</v>
      </c>
    </row>
    <row r="8" spans="1:8" x14ac:dyDescent="0.25">
      <c r="A8" s="34" t="s">
        <v>118</v>
      </c>
      <c r="B8" s="34">
        <f>B58</f>
        <v>2293834</v>
      </c>
      <c r="C8" s="34">
        <f t="shared" ref="C8:H8" si="4">C58</f>
        <v>2363968</v>
      </c>
      <c r="D8" s="34">
        <f t="shared" si="4"/>
        <v>2513170</v>
      </c>
      <c r="E8" s="34">
        <f t="shared" si="4"/>
        <v>2592900</v>
      </c>
      <c r="F8" s="34">
        <f t="shared" si="4"/>
        <v>2693300</v>
      </c>
      <c r="G8" s="34">
        <f t="shared" si="4"/>
        <v>2865600</v>
      </c>
      <c r="H8" s="34">
        <f t="shared" si="4"/>
        <v>3009400</v>
      </c>
    </row>
    <row r="9" spans="1:8" x14ac:dyDescent="0.25">
      <c r="A9" s="95" t="s">
        <v>5</v>
      </c>
      <c r="B9" s="102">
        <f t="shared" ref="B9:H9" si="5">SUM(B5:B8)</f>
        <v>16516178</v>
      </c>
      <c r="C9" s="102">
        <f t="shared" si="5"/>
        <v>17109744</v>
      </c>
      <c r="D9" s="102">
        <f t="shared" si="5"/>
        <v>18408555</v>
      </c>
      <c r="E9" s="102">
        <f t="shared" si="5"/>
        <v>19624500</v>
      </c>
      <c r="F9" s="102">
        <f t="shared" si="5"/>
        <v>21394300</v>
      </c>
      <c r="G9" s="102">
        <f t="shared" si="5"/>
        <v>22698600</v>
      </c>
      <c r="H9" s="102">
        <f t="shared" si="5"/>
        <v>23815400</v>
      </c>
    </row>
    <row r="10" spans="1:8" x14ac:dyDescent="0.25">
      <c r="A10" s="326"/>
      <c r="B10" s="327"/>
      <c r="C10" s="327"/>
      <c r="D10" s="327"/>
      <c r="E10" s="327"/>
      <c r="F10" s="327"/>
      <c r="G10" s="327"/>
      <c r="H10" s="327"/>
    </row>
    <row r="12" spans="1:8" x14ac:dyDescent="0.25">
      <c r="A12" s="563" t="s">
        <v>333</v>
      </c>
      <c r="B12" s="564"/>
      <c r="C12" s="564"/>
      <c r="D12" s="564"/>
      <c r="E12" s="564"/>
      <c r="F12" s="564"/>
      <c r="G12" s="564"/>
      <c r="H12" s="565"/>
    </row>
    <row r="13" spans="1:8" x14ac:dyDescent="0.25">
      <c r="A13" s="560" t="s">
        <v>339</v>
      </c>
      <c r="B13" s="561"/>
      <c r="C13" s="561"/>
      <c r="D13" s="561"/>
      <c r="E13" s="561"/>
      <c r="F13" s="561"/>
      <c r="G13" s="561"/>
      <c r="H13" s="562"/>
    </row>
    <row r="14" spans="1:8" x14ac:dyDescent="0.25">
      <c r="A14" s="90" t="s">
        <v>27</v>
      </c>
      <c r="B14" s="90">
        <f>+'Energy Supply'!B4</f>
        <v>2019</v>
      </c>
      <c r="C14" s="90">
        <f>+'Energy Supply'!C4</f>
        <v>2020</v>
      </c>
      <c r="D14" s="90">
        <f>+'Energy Supply'!D4</f>
        <v>2021</v>
      </c>
      <c r="E14" s="90">
        <f>+'Energy Supply'!E4</f>
        <v>2022</v>
      </c>
      <c r="F14" s="90">
        <f>+'Energy Supply'!F4</f>
        <v>2023</v>
      </c>
      <c r="G14" s="90">
        <f>+'Energy Supply'!G4</f>
        <v>2024</v>
      </c>
      <c r="H14" s="90">
        <f>+'Energy Supply'!H4</f>
        <v>2025</v>
      </c>
    </row>
    <row r="15" spans="1:8" x14ac:dyDescent="0.25">
      <c r="A15" s="34" t="s">
        <v>40</v>
      </c>
      <c r="B15" s="20">
        <v>61961</v>
      </c>
      <c r="C15" s="20">
        <v>66598</v>
      </c>
      <c r="D15" s="20">
        <v>68563</v>
      </c>
      <c r="E15" s="20">
        <v>79800</v>
      </c>
      <c r="F15" s="20">
        <v>81800</v>
      </c>
      <c r="G15" s="20">
        <v>89000</v>
      </c>
      <c r="H15" s="20">
        <v>91200</v>
      </c>
    </row>
    <row r="16" spans="1:8" x14ac:dyDescent="0.25">
      <c r="A16" s="34" t="s">
        <v>41</v>
      </c>
      <c r="B16" s="34">
        <v>142757</v>
      </c>
      <c r="C16" s="34">
        <v>230494</v>
      </c>
      <c r="D16" s="34">
        <v>544247</v>
      </c>
      <c r="E16" s="34">
        <v>396900</v>
      </c>
      <c r="F16" s="34">
        <v>473500</v>
      </c>
      <c r="G16" s="118">
        <v>550200</v>
      </c>
      <c r="H16" s="34">
        <v>626800</v>
      </c>
    </row>
    <row r="17" spans="1:8" x14ac:dyDescent="0.25">
      <c r="A17" s="34" t="s">
        <v>42</v>
      </c>
      <c r="B17" s="34">
        <v>290383</v>
      </c>
      <c r="C17" s="34">
        <v>245068</v>
      </c>
      <c r="D17" s="34">
        <v>260393</v>
      </c>
      <c r="E17" s="34">
        <v>321600</v>
      </c>
      <c r="F17" s="34">
        <v>325800</v>
      </c>
      <c r="G17" s="34">
        <v>333300</v>
      </c>
      <c r="H17" s="34">
        <v>354200</v>
      </c>
    </row>
    <row r="18" spans="1:8" x14ac:dyDescent="0.25">
      <c r="A18" s="34" t="s">
        <v>43</v>
      </c>
      <c r="B18" s="34">
        <v>46726</v>
      </c>
      <c r="C18" s="34">
        <v>54840</v>
      </c>
      <c r="D18" s="34">
        <v>61289</v>
      </c>
      <c r="E18" s="34">
        <v>79000</v>
      </c>
      <c r="F18" s="34">
        <v>80900</v>
      </c>
      <c r="G18" s="34">
        <v>83000</v>
      </c>
      <c r="H18" s="34">
        <v>85000</v>
      </c>
    </row>
    <row r="19" spans="1:8" x14ac:dyDescent="0.25">
      <c r="A19" s="34" t="s">
        <v>44</v>
      </c>
      <c r="B19" s="34">
        <v>128997</v>
      </c>
      <c r="C19" s="34">
        <v>141554</v>
      </c>
      <c r="D19" s="34">
        <v>142938</v>
      </c>
      <c r="E19" s="34">
        <v>186900</v>
      </c>
      <c r="F19" s="34">
        <v>208600</v>
      </c>
      <c r="G19" s="34">
        <v>223200</v>
      </c>
      <c r="H19" s="34">
        <v>228800</v>
      </c>
    </row>
    <row r="20" spans="1:8" x14ac:dyDescent="0.25">
      <c r="A20" s="95" t="s">
        <v>5</v>
      </c>
      <c r="B20" s="102">
        <f t="shared" ref="B20:H20" si="6">SUM(B15:B19)</f>
        <v>670824</v>
      </c>
      <c r="C20" s="102">
        <f t="shared" si="6"/>
        <v>738554</v>
      </c>
      <c r="D20" s="102">
        <f t="shared" si="6"/>
        <v>1077430</v>
      </c>
      <c r="E20" s="102">
        <f t="shared" si="6"/>
        <v>1064200</v>
      </c>
      <c r="F20" s="102">
        <f t="shared" si="6"/>
        <v>1170600</v>
      </c>
      <c r="G20" s="102">
        <f t="shared" si="6"/>
        <v>1278700</v>
      </c>
      <c r="H20" s="102">
        <f t="shared" si="6"/>
        <v>1386000</v>
      </c>
    </row>
    <row r="23" spans="1:8" x14ac:dyDescent="0.25">
      <c r="A23" s="563" t="s">
        <v>334</v>
      </c>
      <c r="B23" s="564"/>
      <c r="C23" s="564"/>
      <c r="D23" s="564"/>
      <c r="E23" s="564"/>
      <c r="F23" s="564"/>
      <c r="G23" s="564"/>
      <c r="H23" s="565"/>
    </row>
    <row r="24" spans="1:8" x14ac:dyDescent="0.25">
      <c r="A24" s="560" t="s">
        <v>340</v>
      </c>
      <c r="B24" s="561"/>
      <c r="C24" s="561"/>
      <c r="D24" s="561"/>
      <c r="E24" s="561"/>
      <c r="F24" s="561"/>
      <c r="G24" s="561"/>
      <c r="H24" s="562"/>
    </row>
    <row r="25" spans="1:8" x14ac:dyDescent="0.25">
      <c r="A25" s="90" t="s">
        <v>27</v>
      </c>
      <c r="B25" s="90">
        <f t="shared" ref="B25:H25" si="7">+B14</f>
        <v>2019</v>
      </c>
      <c r="C25" s="90">
        <f t="shared" si="7"/>
        <v>2020</v>
      </c>
      <c r="D25" s="90">
        <f t="shared" si="7"/>
        <v>2021</v>
      </c>
      <c r="E25" s="90">
        <f t="shared" si="7"/>
        <v>2022</v>
      </c>
      <c r="F25" s="90">
        <f t="shared" si="7"/>
        <v>2023</v>
      </c>
      <c r="G25" s="90">
        <f t="shared" si="7"/>
        <v>2024</v>
      </c>
      <c r="H25" s="90">
        <f t="shared" si="7"/>
        <v>2025</v>
      </c>
    </row>
    <row r="26" spans="1:8" x14ac:dyDescent="0.25">
      <c r="A26" s="91" t="s">
        <v>45</v>
      </c>
      <c r="B26" s="20">
        <v>7543315</v>
      </c>
      <c r="C26" s="20">
        <v>7808244</v>
      </c>
      <c r="D26" s="20">
        <v>7982210</v>
      </c>
      <c r="E26" s="20">
        <v>9318200</v>
      </c>
      <c r="F26" s="20">
        <v>10577200</v>
      </c>
      <c r="G26" s="20">
        <v>10752000</v>
      </c>
      <c r="H26" s="20">
        <v>10938000</v>
      </c>
    </row>
    <row r="27" spans="1:8" x14ac:dyDescent="0.25">
      <c r="A27" s="91" t="s">
        <v>46</v>
      </c>
      <c r="B27" s="34">
        <v>236563</v>
      </c>
      <c r="C27" s="34">
        <v>244871</v>
      </c>
      <c r="D27" s="34">
        <v>250327</v>
      </c>
      <c r="E27" s="34">
        <v>260700</v>
      </c>
      <c r="F27" s="34">
        <v>266500</v>
      </c>
      <c r="G27" s="34">
        <v>270900</v>
      </c>
      <c r="H27" s="34">
        <v>275600</v>
      </c>
    </row>
    <row r="28" spans="1:8" x14ac:dyDescent="0.25">
      <c r="A28" s="91" t="s">
        <v>47</v>
      </c>
      <c r="B28" s="34">
        <v>316332</v>
      </c>
      <c r="C28" s="34">
        <v>327442</v>
      </c>
      <c r="D28" s="34">
        <v>334737</v>
      </c>
      <c r="E28" s="34">
        <v>270700</v>
      </c>
      <c r="F28" s="34">
        <v>195000</v>
      </c>
      <c r="G28" s="34">
        <v>198200</v>
      </c>
      <c r="H28" s="34">
        <v>201700</v>
      </c>
    </row>
    <row r="29" spans="1:8" x14ac:dyDescent="0.25">
      <c r="A29" s="91" t="s">
        <v>50</v>
      </c>
      <c r="B29" s="34">
        <v>13269</v>
      </c>
      <c r="C29" s="34">
        <v>15638</v>
      </c>
      <c r="D29" s="34">
        <v>13537</v>
      </c>
      <c r="E29" s="34">
        <v>0</v>
      </c>
      <c r="F29" s="34">
        <v>0</v>
      </c>
      <c r="G29" s="34">
        <v>0</v>
      </c>
      <c r="H29" s="34">
        <v>0</v>
      </c>
    </row>
    <row r="30" spans="1:8" x14ac:dyDescent="0.25">
      <c r="A30" s="91" t="s">
        <v>48</v>
      </c>
      <c r="B30" s="34">
        <v>103942</v>
      </c>
      <c r="C30" s="34">
        <v>137964</v>
      </c>
      <c r="D30" s="34">
        <v>-87937</v>
      </c>
      <c r="E30" s="34">
        <v>0</v>
      </c>
      <c r="F30" s="34">
        <v>0</v>
      </c>
      <c r="G30" s="34">
        <v>0</v>
      </c>
      <c r="H30" s="34">
        <v>0</v>
      </c>
    </row>
    <row r="31" spans="1:8" x14ac:dyDescent="0.25">
      <c r="A31" s="91" t="s">
        <v>52</v>
      </c>
      <c r="B31" s="34">
        <v>67123</v>
      </c>
      <c r="C31" s="34">
        <v>67123</v>
      </c>
      <c r="D31" s="34">
        <v>67123</v>
      </c>
      <c r="E31" s="34">
        <v>66700</v>
      </c>
      <c r="F31" s="34">
        <v>66400</v>
      </c>
      <c r="G31" s="34">
        <v>66400</v>
      </c>
      <c r="H31" s="34">
        <v>66400</v>
      </c>
    </row>
    <row r="32" spans="1:8" x14ac:dyDescent="0.25">
      <c r="A32" s="91" t="s">
        <v>51</v>
      </c>
      <c r="B32" s="34">
        <v>0</v>
      </c>
      <c r="C32" s="34"/>
      <c r="D32" s="34">
        <v>0</v>
      </c>
      <c r="E32" s="34">
        <v>0</v>
      </c>
      <c r="F32" s="34">
        <v>0</v>
      </c>
      <c r="G32" s="34">
        <v>0</v>
      </c>
      <c r="H32" s="34">
        <v>0</v>
      </c>
    </row>
    <row r="33" spans="1:8" x14ac:dyDescent="0.25">
      <c r="A33" s="91" t="s">
        <v>49</v>
      </c>
      <c r="B33" s="34">
        <v>238471</v>
      </c>
      <c r="C33" s="34">
        <v>217706</v>
      </c>
      <c r="D33" s="34">
        <v>226318</v>
      </c>
      <c r="E33" s="34">
        <v>342900</v>
      </c>
      <c r="F33" s="34">
        <v>315700</v>
      </c>
      <c r="G33" s="34">
        <v>323600</v>
      </c>
      <c r="H33" s="34">
        <v>331700</v>
      </c>
    </row>
    <row r="34" spans="1:8" x14ac:dyDescent="0.25">
      <c r="A34" s="96" t="s">
        <v>5</v>
      </c>
      <c r="B34" s="102">
        <f t="shared" ref="B34:G34" si="8">SUM(B26:B33)</f>
        <v>8519015</v>
      </c>
      <c r="C34" s="102">
        <f t="shared" si="8"/>
        <v>8818988</v>
      </c>
      <c r="D34" s="102">
        <f t="shared" si="8"/>
        <v>8786315</v>
      </c>
      <c r="E34" s="102">
        <f t="shared" si="8"/>
        <v>10259200</v>
      </c>
      <c r="F34" s="102">
        <f t="shared" si="8"/>
        <v>11420800</v>
      </c>
      <c r="G34" s="102">
        <f t="shared" si="8"/>
        <v>11611100</v>
      </c>
      <c r="H34" s="102">
        <f t="shared" ref="H34" si="9">SUM(H26:H33)</f>
        <v>11813400</v>
      </c>
    </row>
    <row r="35" spans="1:8" x14ac:dyDescent="0.25">
      <c r="E35" s="285"/>
      <c r="F35" s="285"/>
      <c r="G35" s="285"/>
      <c r="H35" s="285"/>
    </row>
    <row r="36" spans="1:8" x14ac:dyDescent="0.25">
      <c r="A36" s="297"/>
      <c r="B36" s="297"/>
      <c r="E36" s="296"/>
      <c r="F36" s="298"/>
      <c r="G36" s="298"/>
      <c r="H36" s="298"/>
    </row>
    <row r="37" spans="1:8" x14ac:dyDescent="0.25">
      <c r="A37" s="563" t="s">
        <v>335</v>
      </c>
      <c r="B37" s="564"/>
      <c r="C37" s="564"/>
      <c r="D37" s="564"/>
      <c r="E37" s="564"/>
      <c r="F37" s="564"/>
      <c r="G37" s="564"/>
      <c r="H37" s="565"/>
    </row>
    <row r="38" spans="1:8" x14ac:dyDescent="0.25">
      <c r="A38" s="560" t="s">
        <v>341</v>
      </c>
      <c r="B38" s="561"/>
      <c r="C38" s="561"/>
      <c r="D38" s="561"/>
      <c r="E38" s="561"/>
      <c r="F38" s="561"/>
      <c r="G38" s="561"/>
      <c r="H38" s="562"/>
    </row>
    <row r="39" spans="1:8" x14ac:dyDescent="0.25">
      <c r="A39" s="90" t="s">
        <v>27</v>
      </c>
      <c r="B39" s="90">
        <f t="shared" ref="B39:G39" si="10">+B25</f>
        <v>2019</v>
      </c>
      <c r="C39" s="90">
        <f t="shared" si="10"/>
        <v>2020</v>
      </c>
      <c r="D39" s="90">
        <f t="shared" si="10"/>
        <v>2021</v>
      </c>
      <c r="E39" s="90">
        <f t="shared" si="10"/>
        <v>2022</v>
      </c>
      <c r="F39" s="90">
        <f t="shared" si="10"/>
        <v>2023</v>
      </c>
      <c r="G39" s="90">
        <f t="shared" si="10"/>
        <v>2024</v>
      </c>
      <c r="H39" s="90">
        <f t="shared" ref="H39" si="11">+H25</f>
        <v>2025</v>
      </c>
    </row>
    <row r="40" spans="1:8" x14ac:dyDescent="0.25">
      <c r="A40" s="34" t="s">
        <v>40</v>
      </c>
      <c r="B40" s="20">
        <v>101197</v>
      </c>
      <c r="C40" s="20">
        <v>119987</v>
      </c>
      <c r="D40" s="20">
        <v>108865</v>
      </c>
      <c r="E40" s="20">
        <v>122300</v>
      </c>
      <c r="F40" s="20">
        <v>126200</v>
      </c>
      <c r="G40" s="20">
        <v>129400</v>
      </c>
      <c r="H40" s="20">
        <v>135500</v>
      </c>
    </row>
    <row r="41" spans="1:8" x14ac:dyDescent="0.25">
      <c r="A41" s="34" t="s">
        <v>41</v>
      </c>
      <c r="B41" s="34">
        <v>1596499</v>
      </c>
      <c r="C41" s="34">
        <v>1414007</v>
      </c>
      <c r="D41" s="34">
        <v>2766364</v>
      </c>
      <c r="E41" s="34">
        <v>1831400</v>
      </c>
      <c r="F41" s="34">
        <v>2143500</v>
      </c>
      <c r="G41" s="34">
        <v>2772600</v>
      </c>
      <c r="H41" s="34">
        <v>3361700</v>
      </c>
    </row>
    <row r="42" spans="1:8" x14ac:dyDescent="0.25">
      <c r="A42" s="34" t="s">
        <v>42</v>
      </c>
      <c r="B42" s="34">
        <f>1802702+2292</f>
        <v>1804994</v>
      </c>
      <c r="C42" s="34">
        <f>183879+1961598-3</f>
        <v>2145474</v>
      </c>
      <c r="D42" s="34">
        <v>1569326</v>
      </c>
      <c r="E42" s="34">
        <v>2058600</v>
      </c>
      <c r="F42" s="34">
        <v>2094300</v>
      </c>
      <c r="G42" s="34">
        <v>2240800</v>
      </c>
      <c r="H42" s="34">
        <v>2241900</v>
      </c>
    </row>
    <row r="43" spans="1:8" x14ac:dyDescent="0.25">
      <c r="A43" s="34" t="s">
        <v>43</v>
      </c>
      <c r="B43" s="34">
        <v>56240</v>
      </c>
      <c r="C43" s="34">
        <v>37399</v>
      </c>
      <c r="D43" s="34">
        <v>41425</v>
      </c>
      <c r="E43" s="34">
        <v>54500</v>
      </c>
      <c r="F43" s="34">
        <v>55900</v>
      </c>
      <c r="G43" s="34">
        <v>57400</v>
      </c>
      <c r="H43" s="34">
        <v>58900</v>
      </c>
    </row>
    <row r="44" spans="1:8" x14ac:dyDescent="0.25">
      <c r="A44" s="34" t="s">
        <v>53</v>
      </c>
      <c r="B44" s="34">
        <v>701066</v>
      </c>
      <c r="C44" s="34">
        <v>638089</v>
      </c>
      <c r="D44" s="34">
        <v>658635</v>
      </c>
      <c r="E44" s="34">
        <v>637200</v>
      </c>
      <c r="F44" s="34">
        <v>641100</v>
      </c>
      <c r="G44" s="34">
        <v>655400</v>
      </c>
      <c r="H44" s="34">
        <v>693600</v>
      </c>
    </row>
    <row r="45" spans="1:8" x14ac:dyDescent="0.25">
      <c r="A45" s="34" t="s">
        <v>54</v>
      </c>
      <c r="B45" s="34">
        <v>172749</v>
      </c>
      <c r="C45" s="34">
        <v>163041</v>
      </c>
      <c r="D45" s="34">
        <v>164604</v>
      </c>
      <c r="E45" s="34">
        <v>189500</v>
      </c>
      <c r="F45" s="34">
        <v>194400</v>
      </c>
      <c r="G45" s="34">
        <v>199400</v>
      </c>
      <c r="H45" s="34">
        <v>204500</v>
      </c>
    </row>
    <row r="46" spans="1:8" x14ac:dyDescent="0.25">
      <c r="A46" s="34" t="s">
        <v>55</v>
      </c>
      <c r="B46" s="34">
        <v>160462</v>
      </c>
      <c r="C46" s="34">
        <v>211333</v>
      </c>
      <c r="D46" s="34">
        <v>236428</v>
      </c>
      <c r="E46" s="34">
        <v>251000</v>
      </c>
      <c r="F46" s="34">
        <v>257400</v>
      </c>
      <c r="G46" s="34">
        <v>264000</v>
      </c>
      <c r="H46" s="34">
        <v>270700</v>
      </c>
    </row>
    <row r="47" spans="1:8" x14ac:dyDescent="0.25">
      <c r="A47" s="34" t="s">
        <v>56</v>
      </c>
      <c r="B47" s="34">
        <v>89399</v>
      </c>
      <c r="C47" s="34">
        <v>92638</v>
      </c>
      <c r="D47" s="34">
        <v>100604</v>
      </c>
      <c r="E47" s="34">
        <v>121300</v>
      </c>
      <c r="F47" s="34">
        <v>124400</v>
      </c>
      <c r="G47" s="34">
        <v>127500</v>
      </c>
      <c r="H47" s="34">
        <v>130700</v>
      </c>
    </row>
    <row r="48" spans="1:8" x14ac:dyDescent="0.25">
      <c r="A48" s="34" t="s">
        <v>44</v>
      </c>
      <c r="B48" s="34">
        <f>-2292+352191</f>
        <v>349899</v>
      </c>
      <c r="C48" s="34">
        <v>366266</v>
      </c>
      <c r="D48" s="34">
        <v>385389</v>
      </c>
      <c r="E48" s="34">
        <v>442400</v>
      </c>
      <c r="F48" s="34">
        <v>472400</v>
      </c>
      <c r="G48" s="34">
        <v>496700</v>
      </c>
      <c r="H48" s="34">
        <v>509100</v>
      </c>
    </row>
    <row r="49" spans="1:8" x14ac:dyDescent="0.25">
      <c r="A49" s="96" t="s">
        <v>5</v>
      </c>
      <c r="B49" s="102">
        <f t="shared" ref="B49:G49" si="12">SUM(B40:B48)</f>
        <v>5032505</v>
      </c>
      <c r="C49" s="102">
        <f t="shared" si="12"/>
        <v>5188234</v>
      </c>
      <c r="D49" s="102">
        <f t="shared" si="12"/>
        <v>6031640</v>
      </c>
      <c r="E49" s="102">
        <f t="shared" si="12"/>
        <v>5708200</v>
      </c>
      <c r="F49" s="102">
        <f t="shared" si="12"/>
        <v>6109600</v>
      </c>
      <c r="G49" s="102">
        <f t="shared" si="12"/>
        <v>6943200</v>
      </c>
      <c r="H49" s="102">
        <f t="shared" ref="H49" si="13">SUM(H40:H48)</f>
        <v>7606600</v>
      </c>
    </row>
    <row r="52" spans="1:8" x14ac:dyDescent="0.25">
      <c r="A52" s="563" t="s">
        <v>336</v>
      </c>
      <c r="B52" s="564"/>
      <c r="C52" s="564"/>
      <c r="D52" s="564"/>
      <c r="E52" s="564"/>
      <c r="F52" s="564"/>
      <c r="G52" s="564"/>
      <c r="H52" s="565"/>
    </row>
    <row r="53" spans="1:8" x14ac:dyDescent="0.25">
      <c r="A53" s="560" t="s">
        <v>342</v>
      </c>
      <c r="B53" s="561"/>
      <c r="C53" s="561"/>
      <c r="D53" s="561"/>
      <c r="E53" s="561"/>
      <c r="F53" s="561"/>
      <c r="G53" s="561"/>
      <c r="H53" s="562"/>
    </row>
    <row r="54" spans="1:8" x14ac:dyDescent="0.25">
      <c r="A54" s="90" t="s">
        <v>27</v>
      </c>
      <c r="B54" s="90">
        <f t="shared" ref="B54:G54" si="14">+B39</f>
        <v>2019</v>
      </c>
      <c r="C54" s="90">
        <f t="shared" si="14"/>
        <v>2020</v>
      </c>
      <c r="D54" s="90">
        <f t="shared" si="14"/>
        <v>2021</v>
      </c>
      <c r="E54" s="90">
        <f t="shared" si="14"/>
        <v>2022</v>
      </c>
      <c r="F54" s="90">
        <f t="shared" si="14"/>
        <v>2023</v>
      </c>
      <c r="G54" s="90">
        <f t="shared" si="14"/>
        <v>2024</v>
      </c>
      <c r="H54" s="90">
        <f t="shared" ref="H54" si="15">+H39</f>
        <v>2025</v>
      </c>
    </row>
    <row r="55" spans="1:8" x14ac:dyDescent="0.25">
      <c r="A55" s="34" t="s">
        <v>36</v>
      </c>
      <c r="B55" s="20">
        <v>143717</v>
      </c>
      <c r="C55" s="20">
        <v>165528</v>
      </c>
      <c r="D55" s="20">
        <v>203424</v>
      </c>
      <c r="E55" s="20">
        <v>226000</v>
      </c>
      <c r="F55" s="20">
        <v>238600</v>
      </c>
      <c r="G55" s="20">
        <v>251700</v>
      </c>
      <c r="H55" s="20">
        <v>265600</v>
      </c>
    </row>
    <row r="56" spans="1:8" x14ac:dyDescent="0.25">
      <c r="A56" s="34" t="s">
        <v>37</v>
      </c>
      <c r="B56" s="34">
        <v>2049826</v>
      </c>
      <c r="C56" s="34">
        <v>2125458</v>
      </c>
      <c r="D56" s="34">
        <v>2212873</v>
      </c>
      <c r="E56" s="34">
        <v>2272700</v>
      </c>
      <c r="F56" s="34">
        <v>2358100</v>
      </c>
      <c r="G56" s="34">
        <v>2514900</v>
      </c>
      <c r="H56" s="34">
        <v>2642300</v>
      </c>
    </row>
    <row r="57" spans="1:8" x14ac:dyDescent="0.25">
      <c r="A57" s="34" t="s">
        <v>38</v>
      </c>
      <c r="B57" s="34">
        <v>100291</v>
      </c>
      <c r="C57" s="34">
        <v>72982</v>
      </c>
      <c r="D57" s="34">
        <v>96873</v>
      </c>
      <c r="E57" s="34">
        <v>94200</v>
      </c>
      <c r="F57" s="34">
        <v>96600</v>
      </c>
      <c r="G57" s="34">
        <v>99000</v>
      </c>
      <c r="H57" s="34">
        <v>101500</v>
      </c>
    </row>
    <row r="58" spans="1:8" x14ac:dyDescent="0.25">
      <c r="A58" s="96" t="s">
        <v>5</v>
      </c>
      <c r="B58" s="102">
        <f t="shared" ref="B58:G58" si="16">SUM(B55:B57)</f>
        <v>2293834</v>
      </c>
      <c r="C58" s="102">
        <f t="shared" si="16"/>
        <v>2363968</v>
      </c>
      <c r="D58" s="102">
        <f t="shared" si="16"/>
        <v>2513170</v>
      </c>
      <c r="E58" s="102">
        <f t="shared" si="16"/>
        <v>2592900</v>
      </c>
      <c r="F58" s="102">
        <f t="shared" si="16"/>
        <v>2693300</v>
      </c>
      <c r="G58" s="102">
        <f t="shared" si="16"/>
        <v>2865600</v>
      </c>
      <c r="H58" s="102">
        <f t="shared" ref="H58" si="17">SUM(H55:H57)</f>
        <v>3009400</v>
      </c>
    </row>
    <row r="59" spans="1:8" x14ac:dyDescent="0.25">
      <c r="A59" s="9"/>
      <c r="B59" s="9"/>
      <c r="C59" s="9"/>
      <c r="D59" s="9"/>
    </row>
    <row r="61" spans="1:8" x14ac:dyDescent="0.25">
      <c r="C61" s="281"/>
      <c r="D61" s="281"/>
      <c r="E61" s="281"/>
      <c r="F61" s="281"/>
      <c r="G61" s="281"/>
      <c r="H61" s="281"/>
    </row>
    <row r="62" spans="1:8" x14ac:dyDescent="0.25">
      <c r="C62" s="281"/>
      <c r="D62" s="281"/>
      <c r="E62" s="281"/>
      <c r="F62" s="281"/>
      <c r="G62" s="281"/>
      <c r="H62" s="281"/>
    </row>
    <row r="63" spans="1:8" x14ac:dyDescent="0.25">
      <c r="C63" s="281"/>
      <c r="D63" s="281"/>
      <c r="E63" s="281"/>
      <c r="F63" s="281"/>
      <c r="G63" s="281"/>
      <c r="H63" s="281"/>
    </row>
    <row r="64" spans="1:8" x14ac:dyDescent="0.25">
      <c r="C64" s="281"/>
      <c r="D64" s="281"/>
      <c r="E64" s="281"/>
      <c r="F64" s="281"/>
      <c r="G64" s="281"/>
      <c r="H64" s="281"/>
    </row>
    <row r="65" spans="3:8" x14ac:dyDescent="0.25">
      <c r="C65" s="281"/>
      <c r="D65" s="281"/>
      <c r="E65" s="281"/>
      <c r="F65" s="281"/>
      <c r="G65" s="281"/>
      <c r="H65" s="281"/>
    </row>
    <row r="66" spans="3:8" x14ac:dyDescent="0.25">
      <c r="C66" s="281"/>
      <c r="D66" s="281"/>
      <c r="E66" s="281"/>
      <c r="F66" s="281"/>
      <c r="G66" s="281"/>
      <c r="H66" s="281"/>
    </row>
    <row r="68" spans="3:8" x14ac:dyDescent="0.25">
      <c r="C68" s="285"/>
      <c r="D68" s="285"/>
      <c r="E68" s="285"/>
      <c r="F68" s="285"/>
      <c r="G68" s="285"/>
      <c r="H68" s="285"/>
    </row>
    <row r="69" spans="3:8" x14ac:dyDescent="0.25">
      <c r="C69" s="285"/>
      <c r="D69" s="285"/>
      <c r="E69" s="285"/>
      <c r="F69" s="285"/>
      <c r="G69" s="285"/>
      <c r="H69" s="285"/>
    </row>
  </sheetData>
  <mergeCells count="10">
    <mergeCell ref="A2:H2"/>
    <mergeCell ref="A3:H3"/>
    <mergeCell ref="A38:H38"/>
    <mergeCell ref="A52:H52"/>
    <mergeCell ref="A53:H53"/>
    <mergeCell ref="A12:H12"/>
    <mergeCell ref="A13:H13"/>
    <mergeCell ref="A23:H23"/>
    <mergeCell ref="A24:H24"/>
    <mergeCell ref="A37:H37"/>
  </mergeCells>
  <printOptions horizontalCentered="1"/>
  <pageMargins left="0.7" right="0.7" top="0.75" bottom="0.75" header="0.3" footer="0.3"/>
  <pageSetup scale="72"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I64"/>
  <sheetViews>
    <sheetView topLeftCell="A20" workbookViewId="0">
      <selection activeCell="A28" sqref="A28"/>
    </sheetView>
  </sheetViews>
  <sheetFormatPr defaultRowHeight="15" x14ac:dyDescent="0.25"/>
  <cols>
    <col min="1" max="1" width="43.5703125" style="10" bestFit="1" customWidth="1"/>
    <col min="2" max="2" width="12.5703125" style="10" bestFit="1" customWidth="1"/>
    <col min="3" max="3" width="14" style="10" bestFit="1" customWidth="1"/>
    <col min="4" max="4" width="13.28515625" style="10" bestFit="1" customWidth="1"/>
    <col min="5" max="5" width="12.85546875" style="10" bestFit="1" customWidth="1"/>
    <col min="6" max="6" width="12.85546875" style="10" customWidth="1"/>
    <col min="7" max="7" width="14.28515625" style="10" bestFit="1" customWidth="1"/>
    <col min="8" max="8" width="14.28515625" style="10" customWidth="1"/>
    <col min="9" max="16384" width="9.140625" style="10"/>
  </cols>
  <sheetData>
    <row r="1" spans="1:9" x14ac:dyDescent="0.25">
      <c r="A1" s="713" t="s">
        <v>1</v>
      </c>
      <c r="B1" s="714"/>
      <c r="C1" s="714"/>
      <c r="D1" s="714"/>
      <c r="E1" s="714"/>
      <c r="F1" s="714"/>
      <c r="G1" s="714"/>
      <c r="H1" s="715"/>
    </row>
    <row r="2" spans="1:9" x14ac:dyDescent="0.25">
      <c r="A2" s="569" t="s">
        <v>57</v>
      </c>
      <c r="B2" s="570"/>
      <c r="C2" s="570"/>
      <c r="D2" s="570"/>
      <c r="E2" s="570"/>
      <c r="F2" s="570"/>
      <c r="G2" s="570"/>
      <c r="H2" s="571"/>
    </row>
    <row r="3" spans="1:9" x14ac:dyDescent="0.25">
      <c r="A3" s="90" t="s">
        <v>27</v>
      </c>
      <c r="B3" s="90">
        <f>+'T &amp; D'!B14</f>
        <v>2019</v>
      </c>
      <c r="C3" s="90">
        <f>+'T &amp; D'!C14</f>
        <v>2020</v>
      </c>
      <c r="D3" s="90">
        <f>+'T &amp; D'!D14</f>
        <v>2021</v>
      </c>
      <c r="E3" s="90">
        <f>+'T &amp; D'!E14</f>
        <v>2022</v>
      </c>
      <c r="F3" s="90">
        <f>+'T &amp; D'!F14</f>
        <v>2023</v>
      </c>
      <c r="G3" s="90">
        <f>+'T &amp; D'!G14</f>
        <v>2024</v>
      </c>
      <c r="H3" s="90">
        <f>+'T &amp; D'!H14</f>
        <v>2025</v>
      </c>
    </row>
    <row r="4" spans="1:9" x14ac:dyDescent="0.25">
      <c r="A4" s="34" t="s">
        <v>58</v>
      </c>
      <c r="B4" s="20">
        <v>1922752</v>
      </c>
      <c r="C4" s="20">
        <v>1852077</v>
      </c>
      <c r="D4" s="20">
        <v>2284459</v>
      </c>
      <c r="E4" s="20">
        <v>2123100</v>
      </c>
      <c r="F4" s="20">
        <v>2173600</v>
      </c>
      <c r="G4" s="20">
        <v>2225500</v>
      </c>
      <c r="H4" s="20">
        <v>2277100</v>
      </c>
    </row>
    <row r="5" spans="1:9" x14ac:dyDescent="0.25">
      <c r="A5" s="34" t="s">
        <v>59</v>
      </c>
      <c r="B5" s="34">
        <v>1392343</v>
      </c>
      <c r="C5" s="34">
        <v>1414495</v>
      </c>
      <c r="D5" s="34">
        <v>1314436</v>
      </c>
      <c r="E5" s="34">
        <v>1404600</v>
      </c>
      <c r="F5" s="34">
        <v>1439700</v>
      </c>
      <c r="G5" s="34">
        <v>1475700</v>
      </c>
      <c r="H5" s="34">
        <v>1512600</v>
      </c>
    </row>
    <row r="6" spans="1:9" x14ac:dyDescent="0.25">
      <c r="A6" s="34" t="s">
        <v>60</v>
      </c>
      <c r="B6" s="34">
        <v>414198</v>
      </c>
      <c r="C6" s="34">
        <v>474577</v>
      </c>
      <c r="D6" s="34">
        <v>712281</v>
      </c>
      <c r="E6" s="34">
        <v>839800</v>
      </c>
      <c r="F6" s="34">
        <v>820400</v>
      </c>
      <c r="G6" s="34">
        <v>842700</v>
      </c>
      <c r="H6" s="34">
        <v>860700</v>
      </c>
    </row>
    <row r="7" spans="1:9" x14ac:dyDescent="0.25">
      <c r="A7" s="34" t="s">
        <v>61</v>
      </c>
      <c r="B7" s="34">
        <v>694990</v>
      </c>
      <c r="C7" s="34">
        <v>698793</v>
      </c>
      <c r="D7" s="34">
        <v>897755</v>
      </c>
      <c r="E7" s="34">
        <v>916500</v>
      </c>
      <c r="F7" s="34">
        <v>939400</v>
      </c>
      <c r="G7" s="34">
        <v>962900</v>
      </c>
      <c r="H7" s="34">
        <v>986900</v>
      </c>
    </row>
    <row r="8" spans="1:9" x14ac:dyDescent="0.25">
      <c r="A8" s="34" t="s">
        <v>62</v>
      </c>
      <c r="B8" s="34">
        <v>1064830</v>
      </c>
      <c r="C8" s="34">
        <v>1020035</v>
      </c>
      <c r="D8" s="34">
        <v>1140778</v>
      </c>
      <c r="E8" s="34">
        <v>1305100</v>
      </c>
      <c r="F8" s="34">
        <v>1330900</v>
      </c>
      <c r="G8" s="34">
        <v>1357400</v>
      </c>
      <c r="H8" s="34">
        <v>1384600</v>
      </c>
    </row>
    <row r="9" spans="1:9" x14ac:dyDescent="0.25">
      <c r="A9" s="34" t="s">
        <v>63</v>
      </c>
      <c r="B9" s="34">
        <v>365327</v>
      </c>
      <c r="C9" s="34">
        <v>389876</v>
      </c>
      <c r="D9" s="34">
        <v>413344</v>
      </c>
      <c r="E9" s="34">
        <v>523200</v>
      </c>
      <c r="F9" s="34">
        <v>536300</v>
      </c>
      <c r="G9" s="34">
        <v>549700</v>
      </c>
      <c r="H9" s="34">
        <v>563400</v>
      </c>
    </row>
    <row r="10" spans="1:9" x14ac:dyDescent="0.25">
      <c r="A10" s="34" t="s">
        <v>64</v>
      </c>
      <c r="B10" s="34">
        <v>692068</v>
      </c>
      <c r="C10" s="34">
        <f>552704+217332</f>
        <v>770036</v>
      </c>
      <c r="D10" s="34">
        <v>787097</v>
      </c>
      <c r="E10" s="34">
        <v>809500</v>
      </c>
      <c r="F10" s="34">
        <v>829700</v>
      </c>
      <c r="G10" s="34">
        <v>850500</v>
      </c>
      <c r="H10" s="34">
        <v>871700</v>
      </c>
    </row>
    <row r="11" spans="1:9" x14ac:dyDescent="0.25">
      <c r="A11" s="34" t="s">
        <v>65</v>
      </c>
      <c r="B11" s="99">
        <v>2938247</v>
      </c>
      <c r="C11" s="99">
        <f>+C32</f>
        <v>4014264</v>
      </c>
      <c r="D11" s="99">
        <v>4778735</v>
      </c>
      <c r="E11" s="99">
        <v>4932000</v>
      </c>
      <c r="F11" s="99">
        <v>5115000</v>
      </c>
      <c r="G11" s="99">
        <v>5294100</v>
      </c>
      <c r="H11" s="99">
        <v>5514700</v>
      </c>
    </row>
    <row r="12" spans="1:9" x14ac:dyDescent="0.25">
      <c r="A12" s="97" t="s">
        <v>5</v>
      </c>
      <c r="B12" s="102">
        <f t="shared" ref="B12:G12" si="0">SUM(B4:B11)</f>
        <v>9484755</v>
      </c>
      <c r="C12" s="102">
        <f t="shared" si="0"/>
        <v>10634153</v>
      </c>
      <c r="D12" s="102">
        <f t="shared" si="0"/>
        <v>12328885</v>
      </c>
      <c r="E12" s="102">
        <f t="shared" si="0"/>
        <v>12853800</v>
      </c>
      <c r="F12" s="102">
        <f t="shared" si="0"/>
        <v>13185000</v>
      </c>
      <c r="G12" s="102">
        <f t="shared" si="0"/>
        <v>13558500</v>
      </c>
      <c r="H12" s="102">
        <f t="shared" ref="H12" si="1">SUM(H4:H11)</f>
        <v>13971700</v>
      </c>
    </row>
    <row r="13" spans="1:9" x14ac:dyDescent="0.25">
      <c r="A13" s="285"/>
      <c r="B13" s="304"/>
      <c r="C13" s="304"/>
      <c r="D13" s="304"/>
      <c r="E13" s="304"/>
      <c r="F13" s="304"/>
      <c r="G13" s="304"/>
      <c r="H13" s="304"/>
      <c r="I13" s="287"/>
    </row>
    <row r="14" spans="1:9" x14ac:dyDescent="0.25">
      <c r="B14" s="281">
        <v>9484755.0699999984</v>
      </c>
      <c r="C14" s="281">
        <f>11272152-638000</f>
        <v>10634152</v>
      </c>
      <c r="D14" s="281">
        <v>12328884.740000002</v>
      </c>
      <c r="E14" s="281">
        <v>12853800</v>
      </c>
      <c r="F14" s="305">
        <v>13185000</v>
      </c>
      <c r="G14" s="305">
        <v>13558500</v>
      </c>
      <c r="H14" s="305">
        <v>13971700</v>
      </c>
    </row>
    <row r="16" spans="1:9" x14ac:dyDescent="0.25">
      <c r="A16" s="297"/>
      <c r="B16" s="306">
        <f t="shared" ref="B16:G16" si="2">+B12-B14</f>
        <v>-6.9999998435378075E-2</v>
      </c>
      <c r="C16" s="306">
        <f>+C12-C14</f>
        <v>1</v>
      </c>
      <c r="D16" s="306">
        <f t="shared" si="2"/>
        <v>0.25999999791383743</v>
      </c>
      <c r="E16" s="306">
        <f t="shared" si="2"/>
        <v>0</v>
      </c>
      <c r="F16" s="306">
        <f t="shared" si="2"/>
        <v>0</v>
      </c>
      <c r="G16" s="306">
        <f t="shared" si="2"/>
        <v>0</v>
      </c>
      <c r="H16" s="306">
        <f t="shared" ref="H16" si="3">+H12-H14</f>
        <v>0</v>
      </c>
    </row>
    <row r="18" spans="1:8" hidden="1" x14ac:dyDescent="0.25">
      <c r="A18" s="10" t="s">
        <v>0</v>
      </c>
      <c r="C18" s="299">
        <v>2287321</v>
      </c>
      <c r="D18" s="299">
        <v>1186515</v>
      </c>
      <c r="E18" s="299">
        <v>1011400</v>
      </c>
      <c r="F18" s="299"/>
      <c r="G18" s="299">
        <v>712700</v>
      </c>
      <c r="H18" s="299">
        <v>727100</v>
      </c>
    </row>
    <row r="19" spans="1:8" hidden="1" x14ac:dyDescent="0.25">
      <c r="C19" s="285">
        <f>10181056-334650/0.69-C12</f>
        <v>-938097</v>
      </c>
      <c r="D19" s="285">
        <f>ROUND((10093880-462990/0.69),-2)-D12</f>
        <v>-2905985</v>
      </c>
      <c r="E19" s="285">
        <f>ROUND((10483752-483690/0.69),-2)-E12</f>
        <v>-3071000</v>
      </c>
      <c r="F19" s="285"/>
      <c r="G19" s="285">
        <f>ROUND((10782932-505770/0.69),-2)-G12</f>
        <v>-3508600</v>
      </c>
      <c r="H19" s="285">
        <f>ROUND((10782932-505770/0.69),-2)-H12</f>
        <v>-3921800</v>
      </c>
    </row>
    <row r="20" spans="1:8" x14ac:dyDescent="0.25">
      <c r="A20" s="713" t="s">
        <v>165</v>
      </c>
      <c r="B20" s="714"/>
      <c r="C20" s="714"/>
      <c r="D20" s="714"/>
      <c r="E20" s="714"/>
      <c r="F20" s="714"/>
      <c r="G20" s="714"/>
      <c r="H20" s="715"/>
    </row>
    <row r="21" spans="1:8" x14ac:dyDescent="0.25">
      <c r="A21" s="569" t="s">
        <v>65</v>
      </c>
      <c r="B21" s="570"/>
      <c r="C21" s="570"/>
      <c r="D21" s="570"/>
      <c r="E21" s="570"/>
      <c r="F21" s="570"/>
      <c r="G21" s="570"/>
      <c r="H21" s="571"/>
    </row>
    <row r="22" spans="1:8" x14ac:dyDescent="0.25">
      <c r="A22" s="90" t="s">
        <v>27</v>
      </c>
      <c r="B22" s="90">
        <f t="shared" ref="B22:G22" si="4">B3</f>
        <v>2019</v>
      </c>
      <c r="C22" s="90">
        <f t="shared" si="4"/>
        <v>2020</v>
      </c>
      <c r="D22" s="90">
        <f t="shared" si="4"/>
        <v>2021</v>
      </c>
      <c r="E22" s="90">
        <f t="shared" si="4"/>
        <v>2022</v>
      </c>
      <c r="F22" s="90">
        <f t="shared" si="4"/>
        <v>2023</v>
      </c>
      <c r="G22" s="90">
        <f t="shared" si="4"/>
        <v>2024</v>
      </c>
      <c r="H22" s="90">
        <f t="shared" ref="H22" si="5">H3</f>
        <v>2025</v>
      </c>
    </row>
    <row r="23" spans="1:8" x14ac:dyDescent="0.25">
      <c r="A23" s="34" t="s">
        <v>166</v>
      </c>
      <c r="B23" s="20">
        <v>-1087796</v>
      </c>
      <c r="C23" s="20">
        <v>61082</v>
      </c>
      <c r="D23" s="20">
        <v>751778</v>
      </c>
      <c r="E23" s="20">
        <v>662600</v>
      </c>
      <c r="F23" s="20">
        <v>681400</v>
      </c>
      <c r="G23" s="20">
        <v>701200</v>
      </c>
      <c r="H23" s="20">
        <v>725200</v>
      </c>
    </row>
    <row r="24" spans="1:8" x14ac:dyDescent="0.25">
      <c r="A24" s="34" t="s">
        <v>167</v>
      </c>
      <c r="B24" s="34">
        <v>-22926</v>
      </c>
      <c r="C24" s="34">
        <v>21782</v>
      </c>
      <c r="D24" s="34">
        <v>38308</v>
      </c>
      <c r="E24" s="34">
        <v>59200</v>
      </c>
      <c r="F24" s="34">
        <v>50700</v>
      </c>
      <c r="G24" s="34">
        <v>30700</v>
      </c>
      <c r="H24" s="34">
        <v>31400</v>
      </c>
    </row>
    <row r="25" spans="1:8" x14ac:dyDescent="0.25">
      <c r="A25" s="34" t="s">
        <v>168</v>
      </c>
      <c r="B25" s="34">
        <v>198286</v>
      </c>
      <c r="C25" s="34">
        <v>202722</v>
      </c>
      <c r="D25" s="34">
        <v>224911</v>
      </c>
      <c r="E25" s="34">
        <v>219800</v>
      </c>
      <c r="F25" s="34">
        <v>227400</v>
      </c>
      <c r="G25" s="34">
        <v>233100</v>
      </c>
      <c r="H25" s="34">
        <v>238900</v>
      </c>
    </row>
    <row r="26" spans="1:8" ht="14.25" customHeight="1" x14ac:dyDescent="0.25">
      <c r="A26" s="34" t="s">
        <v>36</v>
      </c>
      <c r="B26" s="34">
        <v>38999</v>
      </c>
      <c r="C26" s="34">
        <v>45981</v>
      </c>
      <c r="D26" s="34">
        <v>52467</v>
      </c>
      <c r="E26" s="34">
        <v>57800</v>
      </c>
      <c r="F26" s="34">
        <v>60900</v>
      </c>
      <c r="G26" s="34">
        <v>64300</v>
      </c>
      <c r="H26" s="34">
        <v>67800</v>
      </c>
    </row>
    <row r="27" spans="1:8" ht="14.25" customHeight="1" x14ac:dyDescent="0.25">
      <c r="A27" s="34" t="s">
        <v>169</v>
      </c>
      <c r="B27" s="34">
        <v>208743</v>
      </c>
      <c r="C27" s="34">
        <v>303364</v>
      </c>
      <c r="D27" s="34">
        <v>95374</v>
      </c>
      <c r="E27" s="34">
        <v>300900</v>
      </c>
      <c r="F27" s="34">
        <v>222700</v>
      </c>
      <c r="G27" s="34">
        <v>228300</v>
      </c>
      <c r="H27" s="34">
        <v>324000</v>
      </c>
    </row>
    <row r="28" spans="1:8" x14ac:dyDescent="0.25">
      <c r="A28" s="34" t="s">
        <v>170</v>
      </c>
      <c r="B28" s="34">
        <v>3148346</v>
      </c>
      <c r="C28" s="34">
        <f>3550030-638000+227000*0</f>
        <v>2912030</v>
      </c>
      <c r="D28" s="34">
        <v>3061338</v>
      </c>
      <c r="E28" s="34">
        <v>2960000</v>
      </c>
      <c r="F28" s="34">
        <v>3205100</v>
      </c>
      <c r="G28" s="34">
        <v>3351900</v>
      </c>
      <c r="H28" s="34">
        <v>3425700</v>
      </c>
    </row>
    <row r="29" spans="1:8" x14ac:dyDescent="0.25">
      <c r="A29" s="34" t="s">
        <v>171</v>
      </c>
      <c r="B29" s="34">
        <v>129373</v>
      </c>
      <c r="C29" s="34">
        <v>122892</v>
      </c>
      <c r="D29" s="34">
        <v>128030</v>
      </c>
      <c r="E29" s="34">
        <v>179800</v>
      </c>
      <c r="F29" s="34">
        <v>124800</v>
      </c>
      <c r="G29" s="34">
        <v>129100</v>
      </c>
      <c r="H29" s="34">
        <v>132300</v>
      </c>
    </row>
    <row r="30" spans="1:8" x14ac:dyDescent="0.25">
      <c r="A30" s="34" t="s">
        <v>172</v>
      </c>
      <c r="B30" s="34">
        <v>89888</v>
      </c>
      <c r="C30" s="34">
        <v>100722</v>
      </c>
      <c r="D30" s="34">
        <v>125901</v>
      </c>
      <c r="E30" s="34">
        <v>124300</v>
      </c>
      <c r="F30" s="34">
        <v>127500</v>
      </c>
      <c r="G30" s="34">
        <v>130700</v>
      </c>
      <c r="H30" s="34">
        <v>134000</v>
      </c>
    </row>
    <row r="31" spans="1:8" x14ac:dyDescent="0.25">
      <c r="A31" s="34" t="s">
        <v>173</v>
      </c>
      <c r="B31" s="99">
        <v>235334</v>
      </c>
      <c r="C31" s="99">
        <v>243689</v>
      </c>
      <c r="D31" s="99">
        <v>300628</v>
      </c>
      <c r="E31" s="34">
        <v>367600</v>
      </c>
      <c r="F31" s="34">
        <v>414500</v>
      </c>
      <c r="G31" s="34">
        <v>424800</v>
      </c>
      <c r="H31" s="34">
        <v>435400</v>
      </c>
    </row>
    <row r="32" spans="1:8" x14ac:dyDescent="0.25">
      <c r="A32" s="97" t="s">
        <v>5</v>
      </c>
      <c r="B32" s="102">
        <f t="shared" ref="B32:G32" si="6">SUM(B23:B31)</f>
        <v>2938247</v>
      </c>
      <c r="C32" s="102">
        <f>SUM(C23:C31)</f>
        <v>4014264</v>
      </c>
      <c r="D32" s="102">
        <f t="shared" si="6"/>
        <v>4778735</v>
      </c>
      <c r="E32" s="102">
        <f t="shared" si="6"/>
        <v>4932000</v>
      </c>
      <c r="F32" s="102">
        <f t="shared" si="6"/>
        <v>5115000</v>
      </c>
      <c r="G32" s="102">
        <f t="shared" si="6"/>
        <v>5294100</v>
      </c>
      <c r="H32" s="102">
        <f t="shared" ref="H32" si="7">SUM(H23:H31)</f>
        <v>5514700</v>
      </c>
    </row>
    <row r="33" spans="2:8" x14ac:dyDescent="0.25">
      <c r="D33" s="285"/>
    </row>
    <row r="34" spans="2:8" x14ac:dyDescent="0.25">
      <c r="B34" s="9">
        <f t="shared" ref="B34:H34" si="8">B11-B32</f>
        <v>0</v>
      </c>
      <c r="C34" s="9">
        <f t="shared" si="8"/>
        <v>0</v>
      </c>
      <c r="D34" s="9">
        <f>D11-D32</f>
        <v>0</v>
      </c>
      <c r="E34" s="9">
        <f t="shared" si="8"/>
        <v>0</v>
      </c>
      <c r="F34" s="9">
        <f t="shared" si="8"/>
        <v>0</v>
      </c>
      <c r="G34" s="9">
        <f t="shared" si="8"/>
        <v>0</v>
      </c>
      <c r="H34" s="9">
        <f t="shared" si="8"/>
        <v>0</v>
      </c>
    </row>
    <row r="35" spans="2:8" x14ac:dyDescent="0.25">
      <c r="D35" s="295"/>
    </row>
    <row r="36" spans="2:8" x14ac:dyDescent="0.25">
      <c r="B36" s="285"/>
      <c r="C36" s="285"/>
      <c r="D36" s="285"/>
      <c r="E36" s="285"/>
      <c r="F36" s="285"/>
      <c r="G36" s="285"/>
      <c r="H36" s="285"/>
    </row>
    <row r="37" spans="2:8" x14ac:dyDescent="0.25">
      <c r="B37" s="304"/>
      <c r="C37" s="304"/>
      <c r="D37" s="304"/>
      <c r="E37" s="304"/>
      <c r="F37" s="304"/>
      <c r="G37" s="304"/>
      <c r="H37" s="304"/>
    </row>
    <row r="39" spans="2:8" x14ac:dyDescent="0.25">
      <c r="B39" s="281"/>
      <c r="D39" s="281"/>
      <c r="E39" s="281"/>
    </row>
    <row r="41" spans="2:8" x14ac:dyDescent="0.25">
      <c r="C41" s="285"/>
      <c r="D41" s="285"/>
      <c r="E41" s="285"/>
    </row>
    <row r="42" spans="2:8" x14ac:dyDescent="0.25">
      <c r="D42" s="294"/>
      <c r="E42" s="294"/>
    </row>
    <row r="45" spans="2:8" x14ac:dyDescent="0.25">
      <c r="B45" s="281"/>
      <c r="C45" s="281"/>
      <c r="D45" s="281"/>
      <c r="E45" s="281"/>
      <c r="F45" s="281"/>
      <c r="G45" s="281"/>
      <c r="H45" s="281"/>
    </row>
    <row r="46" spans="2:8" x14ac:dyDescent="0.25">
      <c r="C46" s="281"/>
      <c r="D46" s="281"/>
      <c r="E46" s="281"/>
      <c r="F46" s="281"/>
      <c r="G46" s="281"/>
      <c r="H46" s="281"/>
    </row>
    <row r="47" spans="2:8" x14ac:dyDescent="0.25">
      <c r="C47" s="299"/>
      <c r="D47" s="299"/>
      <c r="E47" s="299"/>
      <c r="F47" s="299"/>
      <c r="G47" s="299"/>
      <c r="H47" s="299"/>
    </row>
    <row r="48" spans="2:8" x14ac:dyDescent="0.25">
      <c r="C48" s="281"/>
      <c r="D48" s="281"/>
      <c r="E48" s="281"/>
      <c r="F48" s="281"/>
      <c r="G48" s="281"/>
      <c r="H48" s="281"/>
    </row>
    <row r="49" spans="3:8" x14ac:dyDescent="0.25">
      <c r="C49" s="281"/>
      <c r="D49" s="281"/>
      <c r="E49" s="281"/>
      <c r="F49" s="281"/>
      <c r="G49" s="281"/>
      <c r="H49" s="281"/>
    </row>
    <row r="50" spans="3:8" x14ac:dyDescent="0.25">
      <c r="C50" s="281"/>
      <c r="D50" s="281"/>
      <c r="E50" s="281"/>
      <c r="F50" s="281"/>
      <c r="G50" s="281"/>
      <c r="H50" s="281"/>
    </row>
    <row r="51" spans="3:8" x14ac:dyDescent="0.25">
      <c r="C51" s="281"/>
      <c r="D51" s="281"/>
      <c r="E51" s="281"/>
      <c r="F51" s="281"/>
      <c r="G51" s="281"/>
      <c r="H51" s="281"/>
    </row>
    <row r="52" spans="3:8" x14ac:dyDescent="0.25">
      <c r="C52" s="281"/>
      <c r="D52" s="281"/>
      <c r="E52" s="281"/>
      <c r="F52" s="281"/>
      <c r="G52" s="281"/>
      <c r="H52" s="281"/>
    </row>
    <row r="53" spans="3:8" x14ac:dyDescent="0.25">
      <c r="C53" s="281"/>
      <c r="D53" s="281"/>
      <c r="E53" s="281"/>
      <c r="F53" s="281"/>
      <c r="G53" s="281"/>
      <c r="H53" s="281"/>
    </row>
    <row r="54" spans="3:8" x14ac:dyDescent="0.25">
      <c r="C54" s="281"/>
      <c r="D54" s="281"/>
      <c r="E54" s="281"/>
      <c r="F54" s="281"/>
      <c r="G54" s="281"/>
      <c r="H54" s="281"/>
    </row>
    <row r="55" spans="3:8" x14ac:dyDescent="0.25">
      <c r="C55" s="281"/>
      <c r="D55" s="281"/>
      <c r="E55" s="281"/>
      <c r="F55" s="281"/>
      <c r="G55" s="281"/>
      <c r="H55" s="281"/>
    </row>
    <row r="56" spans="3:8" x14ac:dyDescent="0.25">
      <c r="C56" s="281"/>
      <c r="D56" s="281"/>
      <c r="E56" s="281"/>
      <c r="F56" s="281"/>
      <c r="G56" s="281"/>
      <c r="H56" s="281"/>
    </row>
    <row r="57" spans="3:8" x14ac:dyDescent="0.25">
      <c r="C57" s="281"/>
      <c r="D57" s="281"/>
      <c r="E57" s="281"/>
      <c r="F57" s="281"/>
      <c r="G57" s="281"/>
      <c r="H57" s="281"/>
    </row>
    <row r="58" spans="3:8" x14ac:dyDescent="0.25">
      <c r="C58" s="281"/>
      <c r="D58" s="281"/>
      <c r="E58" s="281"/>
      <c r="F58" s="281"/>
      <c r="G58" s="281"/>
      <c r="H58" s="281"/>
    </row>
    <row r="60" spans="3:8" x14ac:dyDescent="0.25">
      <c r="C60" s="285"/>
      <c r="D60" s="285"/>
      <c r="E60" s="285"/>
      <c r="F60" s="285"/>
      <c r="G60" s="285"/>
      <c r="H60" s="285"/>
    </row>
    <row r="62" spans="3:8" x14ac:dyDescent="0.25">
      <c r="C62" s="281"/>
      <c r="D62" s="281"/>
      <c r="E62" s="281"/>
      <c r="F62" s="281"/>
      <c r="G62" s="281"/>
      <c r="H62" s="281"/>
    </row>
    <row r="63" spans="3:8" x14ac:dyDescent="0.25">
      <c r="C63" s="281"/>
      <c r="D63" s="281"/>
      <c r="E63" s="281"/>
      <c r="F63" s="281"/>
      <c r="G63" s="281"/>
      <c r="H63" s="281"/>
    </row>
    <row r="64" spans="3:8" x14ac:dyDescent="0.25">
      <c r="D64" s="281"/>
    </row>
  </sheetData>
  <mergeCells count="4">
    <mergeCell ref="A21:H21"/>
    <mergeCell ref="A20:H20"/>
    <mergeCell ref="A1:H1"/>
    <mergeCell ref="A2:H2"/>
  </mergeCells>
  <printOptions horizontalCentered="1"/>
  <pageMargins left="0.7" right="0.7" top="0.75" bottom="0.75" header="0.3" footer="0.3"/>
  <pageSetup scale="6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2:K81"/>
  <sheetViews>
    <sheetView zoomScaleNormal="100" workbookViewId="0">
      <selection activeCell="D20" sqref="D20:D23"/>
    </sheetView>
  </sheetViews>
  <sheetFormatPr defaultRowHeight="15" x14ac:dyDescent="0.25"/>
  <cols>
    <col min="1" max="1" width="45.28515625" customWidth="1"/>
    <col min="2" max="2" width="13.7109375" bestFit="1" customWidth="1"/>
    <col min="3" max="3" width="17.7109375" customWidth="1"/>
    <col min="4" max="4" width="16.7109375" style="2" bestFit="1" customWidth="1"/>
    <col min="5" max="6" width="16.42578125" bestFit="1" customWidth="1"/>
    <col min="7" max="9" width="13.7109375" bestFit="1" customWidth="1"/>
    <col min="10" max="11" width="5.85546875" bestFit="1" customWidth="1"/>
    <col min="12" max="12" width="15.28515625" bestFit="1" customWidth="1"/>
    <col min="13" max="13" width="15.42578125" bestFit="1" customWidth="1"/>
    <col min="14" max="16" width="15.28515625" bestFit="1" customWidth="1"/>
  </cols>
  <sheetData>
    <row r="2" spans="1:9" x14ac:dyDescent="0.25">
      <c r="A2" s="566" t="s">
        <v>349</v>
      </c>
      <c r="B2" s="567"/>
      <c r="C2" s="567"/>
      <c r="D2" s="567"/>
      <c r="E2" s="567"/>
      <c r="F2" s="567"/>
      <c r="G2" s="567"/>
      <c r="H2" s="568"/>
    </row>
    <row r="3" spans="1:9" x14ac:dyDescent="0.25">
      <c r="A3" s="566" t="s">
        <v>81</v>
      </c>
      <c r="B3" s="567"/>
      <c r="C3" s="567"/>
      <c r="D3" s="567"/>
      <c r="E3" s="567"/>
      <c r="F3" s="567"/>
      <c r="G3" s="567"/>
      <c r="H3" s="568"/>
    </row>
    <row r="4" spans="1:9" x14ac:dyDescent="0.25">
      <c r="A4" s="19"/>
      <c r="B4" s="19">
        <f>'Tables Section 4'!C6</f>
        <v>2019</v>
      </c>
      <c r="C4" s="19">
        <f>'Tables Section 4'!D6</f>
        <v>2020</v>
      </c>
      <c r="D4" s="19">
        <f>'Tables Section 4'!E6</f>
        <v>2021</v>
      </c>
      <c r="E4" s="19">
        <f>'Tables Section 4'!F6</f>
        <v>2022</v>
      </c>
      <c r="F4" s="19">
        <f>'Tables Section 4'!G6</f>
        <v>2023</v>
      </c>
      <c r="G4" s="19">
        <f>'Tables Section 4'!H6</f>
        <v>2024</v>
      </c>
      <c r="H4" s="19">
        <f>'Tables Section 4'!I6</f>
        <v>2025</v>
      </c>
    </row>
    <row r="5" spans="1:9" x14ac:dyDescent="0.25">
      <c r="A5" s="58" t="s">
        <v>110</v>
      </c>
      <c r="B5" s="87"/>
      <c r="C5" s="74"/>
      <c r="D5" s="74"/>
      <c r="E5" s="74"/>
      <c r="F5" s="116"/>
      <c r="G5" s="75"/>
      <c r="H5" s="119"/>
    </row>
    <row r="6" spans="1:9" x14ac:dyDescent="0.25">
      <c r="A6" s="42" t="s">
        <v>45</v>
      </c>
      <c r="B6" s="20">
        <v>7543315</v>
      </c>
      <c r="C6" s="20">
        <v>7808244</v>
      </c>
      <c r="D6" s="20">
        <v>7982209</v>
      </c>
      <c r="E6" s="20">
        <v>9318200</v>
      </c>
      <c r="F6" s="20">
        <v>10577300</v>
      </c>
      <c r="G6" s="20">
        <v>10752000</v>
      </c>
      <c r="H6" s="20">
        <v>10938000</v>
      </c>
      <c r="I6" s="126"/>
    </row>
    <row r="7" spans="1:9" x14ac:dyDescent="0.25">
      <c r="A7" s="42" t="s">
        <v>46</v>
      </c>
      <c r="B7" s="42">
        <v>319874</v>
      </c>
      <c r="C7" s="42">
        <v>329153</v>
      </c>
      <c r="D7" s="42">
        <v>331493</v>
      </c>
      <c r="E7" s="34">
        <v>341700</v>
      </c>
      <c r="F7" s="34">
        <v>348000</v>
      </c>
      <c r="G7" s="34">
        <v>352600</v>
      </c>
      <c r="H7" s="34">
        <v>357400</v>
      </c>
      <c r="I7" s="126"/>
    </row>
    <row r="8" spans="1:9" x14ac:dyDescent="0.25">
      <c r="A8" s="42" t="s">
        <v>47</v>
      </c>
      <c r="B8" s="42">
        <v>428183</v>
      </c>
      <c r="C8" s="42">
        <v>440453</v>
      </c>
      <c r="D8" s="42">
        <v>443650</v>
      </c>
      <c r="E8" s="34">
        <v>354800</v>
      </c>
      <c r="F8" s="34">
        <v>254000</v>
      </c>
      <c r="G8" s="34">
        <v>257400</v>
      </c>
      <c r="H8" s="34">
        <v>260900</v>
      </c>
      <c r="I8" s="126"/>
    </row>
    <row r="9" spans="1:9" x14ac:dyDescent="0.25">
      <c r="A9" s="42" t="s">
        <v>50</v>
      </c>
      <c r="B9" s="42">
        <v>13276</v>
      </c>
      <c r="C9" s="42">
        <v>15638</v>
      </c>
      <c r="D9" s="42">
        <v>13549</v>
      </c>
      <c r="E9" s="34">
        <v>0</v>
      </c>
      <c r="F9" s="34">
        <v>0</v>
      </c>
      <c r="G9" s="34">
        <v>0</v>
      </c>
      <c r="H9" s="34">
        <v>0</v>
      </c>
      <c r="I9" s="2"/>
    </row>
    <row r="10" spans="1:9" x14ac:dyDescent="0.25">
      <c r="A10" s="42" t="s">
        <v>48</v>
      </c>
      <c r="B10" s="42">
        <v>220143</v>
      </c>
      <c r="C10" s="42">
        <v>235280</v>
      </c>
      <c r="D10" s="42">
        <v>-181585</v>
      </c>
      <c r="E10" s="34">
        <v>0</v>
      </c>
      <c r="F10" s="34">
        <v>0</v>
      </c>
      <c r="G10" s="34">
        <v>0</v>
      </c>
      <c r="H10" s="34">
        <v>0</v>
      </c>
      <c r="I10" s="2"/>
    </row>
    <row r="11" spans="1:9" x14ac:dyDescent="0.25">
      <c r="A11" s="42" t="s">
        <v>111</v>
      </c>
      <c r="B11" s="42">
        <v>451637</v>
      </c>
      <c r="C11" s="42">
        <v>597182</v>
      </c>
      <c r="D11" s="42">
        <v>635698</v>
      </c>
      <c r="E11" s="34">
        <v>507800</v>
      </c>
      <c r="F11" s="34">
        <v>567100</v>
      </c>
      <c r="G11" s="34">
        <v>567100</v>
      </c>
      <c r="H11" s="34">
        <v>567100</v>
      </c>
      <c r="I11" s="2"/>
    </row>
    <row r="12" spans="1:9" x14ac:dyDescent="0.25">
      <c r="A12" s="42" t="s">
        <v>112</v>
      </c>
      <c r="B12" s="42">
        <v>1854983</v>
      </c>
      <c r="C12" s="42">
        <v>1348215</v>
      </c>
      <c r="D12" s="42">
        <v>1284577</v>
      </c>
      <c r="E12" s="34">
        <v>1652600</v>
      </c>
      <c r="F12" s="34">
        <v>1851600</v>
      </c>
      <c r="G12" s="34">
        <v>1858100</v>
      </c>
      <c r="H12" s="34">
        <v>1864600</v>
      </c>
      <c r="I12" s="2"/>
    </row>
    <row r="13" spans="1:9" x14ac:dyDescent="0.25">
      <c r="A13" s="42" t="s">
        <v>52</v>
      </c>
      <c r="B13" s="42">
        <v>487452</v>
      </c>
      <c r="C13" s="34">
        <v>292375</v>
      </c>
      <c r="D13" s="34">
        <v>292375</v>
      </c>
      <c r="E13" s="34">
        <v>291000</v>
      </c>
      <c r="F13" s="34">
        <v>289600</v>
      </c>
      <c r="G13" s="34">
        <v>289600</v>
      </c>
      <c r="H13" s="34">
        <v>289600</v>
      </c>
      <c r="I13" s="2"/>
    </row>
    <row r="14" spans="1:9" x14ac:dyDescent="0.25">
      <c r="A14" s="42" t="s">
        <v>51</v>
      </c>
      <c r="B14" s="42">
        <v>47479</v>
      </c>
      <c r="C14" s="42">
        <v>47993</v>
      </c>
      <c r="D14" s="34">
        <v>0</v>
      </c>
      <c r="E14" s="34">
        <v>0</v>
      </c>
      <c r="F14" s="34">
        <v>0</v>
      </c>
      <c r="G14" s="34">
        <v>0</v>
      </c>
      <c r="H14" s="34">
        <v>0</v>
      </c>
    </row>
    <row r="15" spans="1:9" x14ac:dyDescent="0.25">
      <c r="A15" s="59" t="s">
        <v>116</v>
      </c>
      <c r="B15" s="16">
        <f t="shared" ref="B15:H15" si="0">SUM(B6:B14)</f>
        <v>11366342</v>
      </c>
      <c r="C15" s="99">
        <f t="shared" si="0"/>
        <v>11114533</v>
      </c>
      <c r="D15" s="99">
        <f t="shared" si="0"/>
        <v>10801966</v>
      </c>
      <c r="E15" s="99">
        <f t="shared" si="0"/>
        <v>12466100</v>
      </c>
      <c r="F15" s="99">
        <f t="shared" si="0"/>
        <v>13887600</v>
      </c>
      <c r="G15" s="99">
        <f t="shared" si="0"/>
        <v>14076800</v>
      </c>
      <c r="H15" s="99">
        <f t="shared" si="0"/>
        <v>14277600</v>
      </c>
    </row>
    <row r="16" spans="1:9" x14ac:dyDescent="0.25">
      <c r="A16" s="58" t="s">
        <v>118</v>
      </c>
      <c r="B16" s="87"/>
      <c r="C16" s="100"/>
      <c r="D16" s="100"/>
      <c r="E16" s="101"/>
      <c r="F16" s="100"/>
      <c r="G16" s="101"/>
      <c r="H16" s="101"/>
    </row>
    <row r="17" spans="1:8" x14ac:dyDescent="0.25">
      <c r="A17" s="60" t="s">
        <v>113</v>
      </c>
      <c r="B17" s="17">
        <v>617126</v>
      </c>
      <c r="C17" s="34">
        <v>684424</v>
      </c>
      <c r="D17" s="34">
        <v>540773</v>
      </c>
      <c r="E17" s="34">
        <v>598400</v>
      </c>
      <c r="F17" s="34">
        <v>625300</v>
      </c>
      <c r="G17" s="34">
        <v>664800</v>
      </c>
      <c r="H17" s="34">
        <v>704900</v>
      </c>
    </row>
    <row r="18" spans="1:8" x14ac:dyDescent="0.25">
      <c r="A18" s="60" t="s">
        <v>114</v>
      </c>
      <c r="B18" s="60">
        <v>437141</v>
      </c>
      <c r="C18" s="34">
        <v>475088</v>
      </c>
      <c r="D18" s="34">
        <v>542469</v>
      </c>
      <c r="E18" s="34">
        <v>476700</v>
      </c>
      <c r="F18" s="34">
        <v>500200</v>
      </c>
      <c r="G18" s="34">
        <v>530400</v>
      </c>
      <c r="H18" s="34">
        <v>562400</v>
      </c>
    </row>
    <row r="19" spans="1:8" x14ac:dyDescent="0.25">
      <c r="A19" s="42" t="s">
        <v>115</v>
      </c>
      <c r="B19" s="42">
        <f>921314+4</f>
        <v>921318</v>
      </c>
      <c r="C19" s="34">
        <v>828681</v>
      </c>
      <c r="D19" s="34">
        <v>1310193</v>
      </c>
      <c r="E19" s="34">
        <v>791400</v>
      </c>
      <c r="F19" s="34">
        <v>1568800</v>
      </c>
      <c r="G19" s="34">
        <v>1274300</v>
      </c>
      <c r="H19" s="34">
        <v>1331700</v>
      </c>
    </row>
    <row r="20" spans="1:8" x14ac:dyDescent="0.25">
      <c r="A20" s="59" t="s">
        <v>116</v>
      </c>
      <c r="B20" s="17">
        <f t="shared" ref="B20:H20" si="1">SUM(B17:B19)</f>
        <v>1975585</v>
      </c>
      <c r="C20" s="34">
        <f t="shared" si="1"/>
        <v>1988193</v>
      </c>
      <c r="D20" s="34">
        <f t="shared" si="1"/>
        <v>2393435</v>
      </c>
      <c r="E20" s="34">
        <f t="shared" si="1"/>
        <v>1866500</v>
      </c>
      <c r="F20" s="34">
        <f t="shared" si="1"/>
        <v>2694300</v>
      </c>
      <c r="G20" s="34">
        <f t="shared" si="1"/>
        <v>2469500</v>
      </c>
      <c r="H20" s="34">
        <f t="shared" si="1"/>
        <v>2599000</v>
      </c>
    </row>
    <row r="21" spans="1:8" x14ac:dyDescent="0.25">
      <c r="A21" s="63" t="s">
        <v>125</v>
      </c>
      <c r="B21" s="17">
        <v>-3509123</v>
      </c>
      <c r="C21" s="18">
        <v>0</v>
      </c>
      <c r="D21" s="18">
        <v>-238291.48</v>
      </c>
      <c r="E21" s="17">
        <v>-505600</v>
      </c>
      <c r="F21" s="17">
        <v>0</v>
      </c>
      <c r="G21" s="17">
        <v>0</v>
      </c>
      <c r="H21" s="17">
        <v>0</v>
      </c>
    </row>
    <row r="22" spans="1:8" x14ac:dyDescent="0.25">
      <c r="A22" s="63" t="s">
        <v>185</v>
      </c>
      <c r="B22" s="17">
        <v>0</v>
      </c>
      <c r="C22" s="18">
        <v>3005929</v>
      </c>
      <c r="D22" s="18">
        <v>-2329360</v>
      </c>
      <c r="E22" s="17">
        <v>-2361600</v>
      </c>
      <c r="F22" s="17">
        <v>-393600</v>
      </c>
      <c r="G22" s="17">
        <v>0</v>
      </c>
      <c r="H22" s="17">
        <v>0</v>
      </c>
    </row>
    <row r="23" spans="1:8" x14ac:dyDescent="0.25">
      <c r="A23" s="63" t="s">
        <v>350</v>
      </c>
      <c r="B23" s="17">
        <v>-766345</v>
      </c>
      <c r="C23" s="18">
        <v>362731</v>
      </c>
      <c r="D23" s="18">
        <v>1426536</v>
      </c>
      <c r="E23" s="18">
        <v>0</v>
      </c>
      <c r="F23" s="18">
        <v>0</v>
      </c>
      <c r="G23" s="18">
        <v>0</v>
      </c>
      <c r="H23" s="18">
        <v>0</v>
      </c>
    </row>
    <row r="24" spans="1:8" x14ac:dyDescent="0.25">
      <c r="A24" s="61" t="s">
        <v>117</v>
      </c>
      <c r="B24" s="38">
        <f t="shared" ref="B24:H24" si="2">+B15+B20+B21+B22+B23</f>
        <v>9066459</v>
      </c>
      <c r="C24" s="38">
        <f t="shared" si="2"/>
        <v>16471386</v>
      </c>
      <c r="D24" s="38">
        <f t="shared" si="2"/>
        <v>12054285.52</v>
      </c>
      <c r="E24" s="38">
        <f t="shared" si="2"/>
        <v>11465400</v>
      </c>
      <c r="F24" s="38">
        <f t="shared" si="2"/>
        <v>16188300</v>
      </c>
      <c r="G24" s="38">
        <f t="shared" si="2"/>
        <v>16546300</v>
      </c>
      <c r="H24" s="38">
        <f t="shared" si="2"/>
        <v>16876600</v>
      </c>
    </row>
    <row r="26" spans="1:8" x14ac:dyDescent="0.25">
      <c r="A26" s="557" t="s">
        <v>351</v>
      </c>
      <c r="B26" s="558"/>
      <c r="C26" s="558"/>
      <c r="D26" s="558"/>
      <c r="E26" s="558"/>
      <c r="F26" s="558"/>
      <c r="G26" s="558"/>
      <c r="H26" s="559"/>
    </row>
    <row r="27" spans="1:8" x14ac:dyDescent="0.25">
      <c r="A27" s="566" t="s">
        <v>159</v>
      </c>
      <c r="B27" s="567"/>
      <c r="C27" s="567"/>
      <c r="D27" s="567"/>
      <c r="E27" s="567"/>
      <c r="F27" s="567"/>
      <c r="G27" s="567"/>
      <c r="H27" s="568"/>
    </row>
    <row r="28" spans="1:8" x14ac:dyDescent="0.25">
      <c r="A28" s="19" t="s">
        <v>27</v>
      </c>
      <c r="B28" s="19">
        <f>+General!B3</f>
        <v>2019</v>
      </c>
      <c r="C28" s="19">
        <f>+General!C3</f>
        <v>2020</v>
      </c>
      <c r="D28" s="19">
        <f>+General!D3</f>
        <v>2021</v>
      </c>
      <c r="E28" s="19">
        <f>+General!E3</f>
        <v>2022</v>
      </c>
      <c r="F28" s="19">
        <f>+General!F3</f>
        <v>2023</v>
      </c>
      <c r="G28" s="19">
        <f>+General!G3</f>
        <v>2024</v>
      </c>
      <c r="H28" s="19">
        <f>+General!H3</f>
        <v>2025</v>
      </c>
    </row>
    <row r="29" spans="1:8" x14ac:dyDescent="0.25">
      <c r="A29" s="37" t="s">
        <v>352</v>
      </c>
      <c r="B29" s="37">
        <v>23337238</v>
      </c>
      <c r="C29" s="17">
        <f>28535464+242764</f>
        <v>28778228</v>
      </c>
      <c r="D29" s="37">
        <v>26359354</v>
      </c>
      <c r="E29" s="37">
        <v>24115700</v>
      </c>
      <c r="F29" s="37">
        <v>26786300</v>
      </c>
      <c r="G29" s="37">
        <v>28461900</v>
      </c>
      <c r="H29" s="37">
        <v>30492600</v>
      </c>
    </row>
    <row r="30" spans="1:8" x14ac:dyDescent="0.25">
      <c r="A30" s="37" t="s">
        <v>353</v>
      </c>
      <c r="B30" s="17">
        <v>0</v>
      </c>
      <c r="C30" s="17"/>
      <c r="D30" s="17"/>
      <c r="E30" s="17">
        <v>0</v>
      </c>
      <c r="F30" s="17">
        <v>2134500</v>
      </c>
      <c r="G30" s="17">
        <v>2134500</v>
      </c>
      <c r="H30" s="17">
        <v>2134500</v>
      </c>
    </row>
    <row r="31" spans="1:8" x14ac:dyDescent="0.25">
      <c r="A31" s="37" t="s">
        <v>357</v>
      </c>
      <c r="B31" s="17">
        <v>0</v>
      </c>
      <c r="C31" s="17"/>
      <c r="D31" s="17"/>
      <c r="E31" s="17"/>
      <c r="F31" s="17">
        <v>79500</v>
      </c>
      <c r="G31" s="17">
        <v>95400</v>
      </c>
      <c r="H31" s="17">
        <v>95400</v>
      </c>
    </row>
    <row r="32" spans="1:8" x14ac:dyDescent="0.25">
      <c r="A32" s="37" t="s">
        <v>354</v>
      </c>
      <c r="B32" s="17">
        <v>93600</v>
      </c>
      <c r="C32" s="17">
        <v>93600</v>
      </c>
      <c r="D32" s="17">
        <v>93600</v>
      </c>
      <c r="E32" s="17">
        <v>93400</v>
      </c>
      <c r="F32" s="17">
        <v>93400</v>
      </c>
      <c r="G32" s="17">
        <v>93400</v>
      </c>
      <c r="H32" s="17">
        <v>93400</v>
      </c>
    </row>
    <row r="33" spans="1:9" x14ac:dyDescent="0.25">
      <c r="A33" s="20" t="s">
        <v>358</v>
      </c>
      <c r="B33" s="17">
        <v>156998</v>
      </c>
      <c r="C33" s="17">
        <v>573000</v>
      </c>
      <c r="D33" s="17">
        <v>149307</v>
      </c>
      <c r="E33" s="17">
        <v>0</v>
      </c>
      <c r="F33" s="17">
        <v>0</v>
      </c>
      <c r="G33" s="17">
        <v>0</v>
      </c>
      <c r="H33" s="17">
        <v>0</v>
      </c>
    </row>
    <row r="34" spans="1:9" x14ac:dyDescent="0.25">
      <c r="A34" s="34" t="s">
        <v>356</v>
      </c>
      <c r="B34" s="34">
        <f t="shared" ref="B34:H34" si="3">SUM(B29:B33)</f>
        <v>23587836</v>
      </c>
      <c r="C34" s="34">
        <f t="shared" si="3"/>
        <v>29444828</v>
      </c>
      <c r="D34" s="34">
        <f t="shared" si="3"/>
        <v>26602261</v>
      </c>
      <c r="E34" s="34">
        <f t="shared" si="3"/>
        <v>24209100</v>
      </c>
      <c r="F34" s="34">
        <f t="shared" si="3"/>
        <v>29093700</v>
      </c>
      <c r="G34" s="34">
        <f t="shared" si="3"/>
        <v>30785200</v>
      </c>
      <c r="H34" s="34">
        <f t="shared" si="3"/>
        <v>32815900</v>
      </c>
    </row>
    <row r="35" spans="1:9" x14ac:dyDescent="0.25">
      <c r="D35" s="81"/>
      <c r="E35" s="81"/>
      <c r="F35" s="81"/>
      <c r="G35" s="81"/>
      <c r="H35" s="81"/>
    </row>
    <row r="36" spans="1:9" x14ac:dyDescent="0.25">
      <c r="B36" s="3"/>
      <c r="C36" s="3"/>
      <c r="D36" s="3"/>
      <c r="E36" s="3"/>
      <c r="F36" s="3"/>
      <c r="G36" s="3"/>
      <c r="H36" s="3"/>
    </row>
    <row r="37" spans="1:9" x14ac:dyDescent="0.25">
      <c r="A37" s="572" t="s">
        <v>361</v>
      </c>
      <c r="B37" s="573"/>
      <c r="C37" s="573"/>
      <c r="D37" s="573"/>
      <c r="E37" s="573"/>
      <c r="F37" s="573"/>
      <c r="G37" s="573"/>
      <c r="H37" s="574"/>
    </row>
    <row r="38" spans="1:9" x14ac:dyDescent="0.25">
      <c r="A38" s="575" t="s">
        <v>233</v>
      </c>
      <c r="B38" s="576"/>
      <c r="C38" s="576"/>
      <c r="D38" s="576"/>
      <c r="E38" s="576"/>
      <c r="F38" s="576"/>
      <c r="G38" s="576"/>
      <c r="H38" s="577"/>
    </row>
    <row r="39" spans="1:9" x14ac:dyDescent="0.25">
      <c r="A39" s="49"/>
      <c r="B39" s="49">
        <f>+'ROE, Capital Structure, Divds'!B15</f>
        <v>2019</v>
      </c>
      <c r="C39" s="49">
        <f>+'ROE, Capital Structure, Divds'!C15</f>
        <v>2020</v>
      </c>
      <c r="D39" s="49">
        <f>+'ROE, Capital Structure, Divds'!D15</f>
        <v>2021</v>
      </c>
      <c r="E39" s="49">
        <f>+'ROE, Capital Structure, Divds'!E15</f>
        <v>2022</v>
      </c>
      <c r="F39" s="49">
        <f>+'ROE, Capital Structure, Divds'!F15</f>
        <v>2023</v>
      </c>
      <c r="G39" s="49">
        <f>+'ROE, Capital Structure, Divds'!G15</f>
        <v>2024</v>
      </c>
      <c r="H39" s="49">
        <f>+'ROE, Capital Structure, Divds'!H15</f>
        <v>2025</v>
      </c>
    </row>
    <row r="40" spans="1:9" x14ac:dyDescent="0.25">
      <c r="A40" s="307" t="s">
        <v>362</v>
      </c>
      <c r="B40" s="309">
        <f>'Other Revenue &amp; Costs'!B60</f>
        <v>12442150</v>
      </c>
      <c r="C40" s="309">
        <f>'Other Revenue &amp; Costs'!C60</f>
        <v>12442150</v>
      </c>
      <c r="D40" s="309">
        <f>'Other Revenue &amp; Costs'!D60</f>
        <v>12535218</v>
      </c>
      <c r="E40" s="309">
        <f>'Other Revenue &amp; Costs'!E60</f>
        <v>13801000</v>
      </c>
      <c r="F40" s="309">
        <f>'Other Revenue &amp; Costs'!F60</f>
        <v>13801000</v>
      </c>
      <c r="G40" s="309">
        <f>'Other Revenue &amp; Costs'!G60</f>
        <v>14039300</v>
      </c>
      <c r="H40" s="309">
        <f>'Other Revenue &amp; Costs'!H60</f>
        <v>15220600</v>
      </c>
    </row>
    <row r="41" spans="1:9" x14ac:dyDescent="0.25">
      <c r="A41" s="307" t="s">
        <v>83</v>
      </c>
      <c r="B41" s="52">
        <v>920684</v>
      </c>
      <c r="C41" s="52">
        <v>706340</v>
      </c>
      <c r="D41" s="52">
        <v>500562</v>
      </c>
      <c r="E41" s="34">
        <v>264700</v>
      </c>
      <c r="F41" s="34">
        <v>656700</v>
      </c>
      <c r="G41" s="17">
        <v>1164800</v>
      </c>
      <c r="H41" s="17">
        <v>303500</v>
      </c>
      <c r="I41" t="s">
        <v>232</v>
      </c>
    </row>
    <row r="42" spans="1:9" x14ac:dyDescent="0.25">
      <c r="A42" s="307" t="s">
        <v>85</v>
      </c>
      <c r="B42" s="17">
        <f>+'Other Revenue &amp; Costs'!C73</f>
        <v>13005</v>
      </c>
      <c r="C42" s="17">
        <f>+'Other Revenue &amp; Costs'!D73</f>
        <v>13642</v>
      </c>
      <c r="D42" s="17">
        <f>'Other Revenue &amp; Costs'!E73</f>
        <v>14804</v>
      </c>
      <c r="E42" s="17">
        <f>'Other Revenue &amp; Costs'!F73</f>
        <v>20900</v>
      </c>
      <c r="F42" s="17">
        <f>'Other Revenue &amp; Costs'!G73</f>
        <v>21900</v>
      </c>
      <c r="G42" s="17">
        <f>'Other Revenue &amp; Costs'!H73</f>
        <v>23800</v>
      </c>
      <c r="H42" s="17">
        <f>'Other Revenue &amp; Costs'!I73</f>
        <v>30600</v>
      </c>
    </row>
    <row r="43" spans="1:9" x14ac:dyDescent="0.25">
      <c r="A43" s="307" t="s">
        <v>84</v>
      </c>
      <c r="B43" s="17">
        <v>-474433</v>
      </c>
      <c r="C43" s="17">
        <v>-444170</v>
      </c>
      <c r="D43" s="17">
        <v>-548015</v>
      </c>
      <c r="E43" s="17">
        <v>-570000</v>
      </c>
      <c r="F43" s="17">
        <v>-682000</v>
      </c>
      <c r="G43" s="17">
        <v>-950000</v>
      </c>
      <c r="H43" s="17">
        <v>-961000.00000000023</v>
      </c>
    </row>
    <row r="44" spans="1:9" x14ac:dyDescent="0.25">
      <c r="A44" s="310" t="s">
        <v>363</v>
      </c>
      <c r="B44" s="311">
        <f t="shared" ref="B44:H44" si="4">SUM(B40:B43)</f>
        <v>12901406</v>
      </c>
      <c r="C44" s="311">
        <f t="shared" si="4"/>
        <v>12717962</v>
      </c>
      <c r="D44" s="311">
        <f t="shared" si="4"/>
        <v>12502569</v>
      </c>
      <c r="E44" s="311">
        <f t="shared" si="4"/>
        <v>13516600</v>
      </c>
      <c r="F44" s="311">
        <f t="shared" si="4"/>
        <v>13797600</v>
      </c>
      <c r="G44" s="311">
        <f t="shared" si="4"/>
        <v>14277900</v>
      </c>
      <c r="H44" s="311">
        <f t="shared" si="4"/>
        <v>14593700</v>
      </c>
    </row>
    <row r="47" spans="1:9" x14ac:dyDescent="0.25">
      <c r="A47" s="578" t="s">
        <v>360</v>
      </c>
      <c r="B47" s="579"/>
      <c r="C47" s="579"/>
      <c r="D47" s="579"/>
      <c r="E47" s="579"/>
      <c r="F47" s="579"/>
      <c r="G47" s="579"/>
      <c r="H47" s="580"/>
    </row>
    <row r="48" spans="1:9" x14ac:dyDescent="0.25">
      <c r="A48" s="575" t="s">
        <v>359</v>
      </c>
      <c r="B48" s="576"/>
      <c r="C48" s="576"/>
      <c r="D48" s="576"/>
      <c r="E48" s="576"/>
      <c r="F48" s="576"/>
      <c r="G48" s="576"/>
      <c r="H48" s="577"/>
    </row>
    <row r="49" spans="1:11" s="46" customFormat="1" x14ac:dyDescent="0.25">
      <c r="A49" s="114" t="s">
        <v>70</v>
      </c>
      <c r="B49" s="114">
        <f>+'ROE, Capital Structure, Divds'!B15</f>
        <v>2019</v>
      </c>
      <c r="C49" s="114">
        <f>+'ROE, Capital Structure, Divds'!C15</f>
        <v>2020</v>
      </c>
      <c r="D49" s="114">
        <f>+'ROE, Capital Structure, Divds'!D15</f>
        <v>2021</v>
      </c>
      <c r="E49" s="114">
        <f>+'ROE, Capital Structure, Divds'!E15</f>
        <v>2022</v>
      </c>
      <c r="F49" s="114">
        <f>+'ROE, Capital Structure, Divds'!F15</f>
        <v>2023</v>
      </c>
      <c r="G49" s="114">
        <f>+'ROE, Capital Structure, Divds'!G15</f>
        <v>2024</v>
      </c>
      <c r="H49" s="114">
        <f>+'ROE, Capital Structure, Divds'!H15</f>
        <v>2025</v>
      </c>
      <c r="I49"/>
      <c r="J49"/>
      <c r="K49"/>
    </row>
    <row r="50" spans="1:11" x14ac:dyDescent="0.25">
      <c r="A50" t="s">
        <v>364</v>
      </c>
      <c r="B50" s="17">
        <v>1784000.0000000002</v>
      </c>
      <c r="C50" s="17">
        <v>1784000.0000000002</v>
      </c>
      <c r="D50" s="17">
        <v>1784000.0000000002</v>
      </c>
      <c r="E50" s="17">
        <v>1784000.0000000002</v>
      </c>
      <c r="F50" s="17">
        <v>1784000.0000000002</v>
      </c>
      <c r="G50" s="17">
        <v>1784000.0000000002</v>
      </c>
      <c r="H50" s="17">
        <v>1784000.0000000002</v>
      </c>
    </row>
    <row r="51" spans="1:11" x14ac:dyDescent="0.25">
      <c r="A51" t="s">
        <v>365</v>
      </c>
      <c r="B51" s="17">
        <v>1293800</v>
      </c>
      <c r="C51" s="17">
        <f>ROUND(1293750,-2)</f>
        <v>1293800</v>
      </c>
      <c r="D51" s="17">
        <f>ROUND(1293750,-2)</f>
        <v>1293800</v>
      </c>
      <c r="E51" s="17">
        <f>ROUND(1293750,-2)</f>
        <v>1293800</v>
      </c>
      <c r="F51" s="17">
        <f>ROUND(1293750,-2)</f>
        <v>1293800</v>
      </c>
      <c r="G51" s="17">
        <f>ROUND(1293750,-2)</f>
        <v>1293800</v>
      </c>
      <c r="H51" s="17">
        <f>+G51</f>
        <v>1293800</v>
      </c>
    </row>
    <row r="52" spans="1:11" x14ac:dyDescent="0.25">
      <c r="A52" t="s">
        <v>366</v>
      </c>
      <c r="B52" s="17">
        <v>1135500</v>
      </c>
      <c r="C52" s="17">
        <v>1135500</v>
      </c>
      <c r="D52" s="17">
        <v>1135500</v>
      </c>
      <c r="E52" s="17">
        <v>1135500</v>
      </c>
      <c r="F52" s="17">
        <v>1135500</v>
      </c>
      <c r="G52" s="17">
        <v>1135500</v>
      </c>
      <c r="H52" s="17">
        <v>946300</v>
      </c>
    </row>
    <row r="53" spans="1:11" ht="13.5" customHeight="1" x14ac:dyDescent="0.25">
      <c r="A53" t="s">
        <v>367</v>
      </c>
      <c r="B53" s="17">
        <v>3632400</v>
      </c>
      <c r="C53" s="17">
        <v>3632400</v>
      </c>
      <c r="D53" s="17">
        <v>3632400</v>
      </c>
      <c r="E53" s="17">
        <v>3632400</v>
      </c>
      <c r="F53" s="17">
        <v>3632400</v>
      </c>
      <c r="G53" s="17">
        <v>3632400</v>
      </c>
      <c r="H53" s="17">
        <v>3632400</v>
      </c>
    </row>
    <row r="54" spans="1:11" x14ac:dyDescent="0.25">
      <c r="A54" t="s">
        <v>368</v>
      </c>
      <c r="B54" s="17">
        <v>1474500</v>
      </c>
      <c r="C54" s="17">
        <v>1474500</v>
      </c>
      <c r="D54" s="17">
        <v>1474500</v>
      </c>
      <c r="E54" s="17">
        <v>1474500</v>
      </c>
      <c r="F54" s="17">
        <v>1474500</v>
      </c>
      <c r="G54" s="17">
        <v>1474500</v>
      </c>
      <c r="H54" s="17">
        <v>1474500</v>
      </c>
    </row>
    <row r="55" spans="1:11" x14ac:dyDescent="0.25">
      <c r="A55" t="s">
        <v>369</v>
      </c>
      <c r="B55" s="17">
        <v>1462800</v>
      </c>
      <c r="C55" s="17">
        <f>+B55</f>
        <v>1462800</v>
      </c>
      <c r="D55" s="17">
        <v>1462800</v>
      </c>
      <c r="E55" s="17">
        <v>1462800</v>
      </c>
      <c r="F55" s="17">
        <v>1462800</v>
      </c>
      <c r="G55" s="17">
        <v>1462800</v>
      </c>
      <c r="H55" s="17">
        <v>1462800</v>
      </c>
    </row>
    <row r="56" spans="1:11" x14ac:dyDescent="0.25">
      <c r="A56" t="s">
        <v>370</v>
      </c>
      <c r="B56" s="17">
        <v>1659150</v>
      </c>
      <c r="C56" s="17">
        <f>+B56</f>
        <v>1659150</v>
      </c>
      <c r="D56" s="17">
        <f>C56</f>
        <v>1659150</v>
      </c>
      <c r="E56" s="17">
        <v>1659200.0000000007</v>
      </c>
      <c r="F56" s="17">
        <v>1659200.0000000007</v>
      </c>
      <c r="G56" s="17">
        <v>1659200.0000000007</v>
      </c>
      <c r="H56" s="17">
        <v>1659200.0000000007</v>
      </c>
    </row>
    <row r="57" spans="1:11" x14ac:dyDescent="0.25">
      <c r="A57" t="s">
        <v>371</v>
      </c>
      <c r="B57" s="29"/>
      <c r="C57" s="17"/>
      <c r="D57" s="17">
        <v>93068</v>
      </c>
      <c r="E57" s="17">
        <v>1358800</v>
      </c>
      <c r="F57" s="17">
        <f>+E57</f>
        <v>1358800</v>
      </c>
      <c r="G57" s="17">
        <f>+F57</f>
        <v>1358800</v>
      </c>
      <c r="H57" s="17">
        <f>+G57</f>
        <v>1358800</v>
      </c>
    </row>
    <row r="58" spans="1:11" x14ac:dyDescent="0.25">
      <c r="A58" t="s">
        <v>372</v>
      </c>
      <c r="B58" s="29"/>
      <c r="C58" s="17"/>
      <c r="D58" s="17"/>
      <c r="E58" s="17"/>
      <c r="F58" s="17"/>
      <c r="G58" s="17">
        <v>238300</v>
      </c>
      <c r="H58" s="17">
        <v>1430000</v>
      </c>
    </row>
    <row r="59" spans="1:11" x14ac:dyDescent="0.25">
      <c r="A59" t="s">
        <v>373</v>
      </c>
      <c r="B59" s="29"/>
      <c r="C59" s="17"/>
      <c r="D59" s="17"/>
      <c r="E59" s="17"/>
      <c r="F59" s="17"/>
      <c r="G59" s="17"/>
      <c r="H59" s="17">
        <v>178800</v>
      </c>
    </row>
    <row r="60" spans="1:11" x14ac:dyDescent="0.25">
      <c r="A60" s="41" t="s">
        <v>5</v>
      </c>
      <c r="B60" s="38">
        <f>SUM(B50:B58)</f>
        <v>12442150</v>
      </c>
      <c r="C60" s="38">
        <f>SUM(C50:C58)</f>
        <v>12442150</v>
      </c>
      <c r="D60" s="38">
        <f>SUM(D50:D58)</f>
        <v>12535218</v>
      </c>
      <c r="E60" s="38">
        <f>SUM(E50:E59)</f>
        <v>13801000</v>
      </c>
      <c r="F60" s="38">
        <f>SUM(F50:F59)</f>
        <v>13801000</v>
      </c>
      <c r="G60" s="38">
        <f>SUM(G50:G59)</f>
        <v>14039300</v>
      </c>
      <c r="H60" s="38">
        <f>SUM(H50:H59)</f>
        <v>15220600</v>
      </c>
    </row>
    <row r="61" spans="1:11" x14ac:dyDescent="0.25">
      <c r="A61" s="48" t="s">
        <v>71</v>
      </c>
      <c r="B61" s="48"/>
      <c r="C61" s="48"/>
      <c r="D61"/>
      <c r="E61" s="8"/>
      <c r="H61" s="2"/>
      <c r="I61" s="2"/>
      <c r="J61" s="2"/>
      <c r="K61" s="2"/>
    </row>
    <row r="63" spans="1:11" x14ac:dyDescent="0.25">
      <c r="A63" s="578" t="s">
        <v>375</v>
      </c>
      <c r="B63" s="579"/>
      <c r="C63" s="579"/>
      <c r="D63" s="579"/>
      <c r="E63" s="579"/>
      <c r="F63" s="579"/>
      <c r="G63" s="579"/>
      <c r="H63" s="579"/>
      <c r="I63" s="580"/>
    </row>
    <row r="64" spans="1:11" x14ac:dyDescent="0.25">
      <c r="A64" s="575" t="s">
        <v>174</v>
      </c>
      <c r="B64" s="576"/>
      <c r="C64" s="576"/>
      <c r="D64" s="576"/>
      <c r="E64" s="576"/>
      <c r="F64" s="576"/>
      <c r="G64" s="576"/>
      <c r="H64" s="576"/>
      <c r="I64" s="577"/>
    </row>
    <row r="65" spans="1:9" ht="30" x14ac:dyDescent="0.25">
      <c r="A65" s="114" t="s">
        <v>374</v>
      </c>
      <c r="B65" s="114" t="s">
        <v>175</v>
      </c>
      <c r="C65" s="114">
        <f>+'Other Revenue &amp; Costs'!B49</f>
        <v>2019</v>
      </c>
      <c r="D65" s="114">
        <f>+'Other Revenue &amp; Costs'!C49</f>
        <v>2020</v>
      </c>
      <c r="E65" s="114">
        <f>+'Other Revenue &amp; Costs'!D49</f>
        <v>2021</v>
      </c>
      <c r="F65" s="114">
        <f>+'Other Revenue &amp; Costs'!E49</f>
        <v>2022</v>
      </c>
      <c r="G65" s="114">
        <f>+'Other Revenue &amp; Costs'!F49</f>
        <v>2023</v>
      </c>
      <c r="H65" s="114">
        <f>+'Other Revenue &amp; Costs'!G49</f>
        <v>2024</v>
      </c>
      <c r="I65" s="114">
        <f>+'Other Revenue &amp; Costs'!H49</f>
        <v>2025</v>
      </c>
    </row>
    <row r="66" spans="1:9" x14ac:dyDescent="0.25">
      <c r="A66" s="312" t="str">
        <f>'Other Revenue &amp; Costs'!A53</f>
        <v>2008 - $60M - 6.054%</v>
      </c>
      <c r="B66" s="37">
        <v>213951.89047238353</v>
      </c>
      <c r="C66" s="37">
        <v>5108</v>
      </c>
      <c r="D66" s="37">
        <v>5340</v>
      </c>
      <c r="E66" s="37">
        <v>5665.142634410412</v>
      </c>
      <c r="F66" s="37">
        <v>6009.5905636303351</v>
      </c>
      <c r="G66" s="37">
        <v>6374.9813681847891</v>
      </c>
      <c r="H66" s="37">
        <v>6762.5884017216749</v>
      </c>
      <c r="I66" s="37">
        <v>7173.7624394219602</v>
      </c>
    </row>
    <row r="67" spans="1:9" x14ac:dyDescent="0.25">
      <c r="A67" s="312" t="str">
        <f>'Other Revenue &amp; Costs'!A54</f>
        <v>2011 - $30M - 4.915%</v>
      </c>
      <c r="B67" s="17">
        <v>239312.75869783733</v>
      </c>
      <c r="C67" s="17">
        <v>1706</v>
      </c>
      <c r="D67" s="17">
        <v>1713</v>
      </c>
      <c r="E67" s="17">
        <v>1798.0315834523062</v>
      </c>
      <c r="F67" s="17">
        <v>1887.1854511909187</v>
      </c>
      <c r="G67" s="17">
        <v>1980.7599376805204</v>
      </c>
      <c r="H67" s="17">
        <v>2078.9742355443495</v>
      </c>
      <c r="I67" s="17">
        <v>2182.0584058858808</v>
      </c>
    </row>
    <row r="68" spans="1:9" x14ac:dyDescent="0.25">
      <c r="A68" s="312" t="str">
        <f>'Other Revenue &amp; Costs'!A55</f>
        <v>2016 - $40M - 3.657%</v>
      </c>
      <c r="B68" s="17">
        <v>240072</v>
      </c>
      <c r="C68" s="17">
        <v>3031</v>
      </c>
      <c r="D68" s="17">
        <v>3069</v>
      </c>
      <c r="E68" s="17">
        <v>3181.712847937908</v>
      </c>
      <c r="F68" s="17">
        <v>3298.9882629189328</v>
      </c>
      <c r="G68" s="17">
        <v>3420.5863567888737</v>
      </c>
      <c r="H68" s="17">
        <v>3546.6664600672666</v>
      </c>
      <c r="I68" s="17">
        <v>3677.3937760704048</v>
      </c>
    </row>
    <row r="69" spans="1:9" x14ac:dyDescent="0.25">
      <c r="A69" s="312" t="str">
        <f>'Other Revenue &amp; Costs'!A56</f>
        <v>2018 - $40M - 4.148%</v>
      </c>
      <c r="B69" s="17">
        <v>335938</v>
      </c>
      <c r="C69" s="17">
        <v>3160</v>
      </c>
      <c r="D69" s="17">
        <v>3520</v>
      </c>
      <c r="E69" s="17">
        <v>3667.666583499406</v>
      </c>
      <c r="F69" s="17">
        <v>3821.4023163753982</v>
      </c>
      <c r="G69" s="17">
        <v>3981.582112533737</v>
      </c>
      <c r="H69" s="17">
        <v>4148.476084529645</v>
      </c>
      <c r="I69" s="17">
        <v>4322.3656670893524</v>
      </c>
    </row>
    <row r="70" spans="1:9" x14ac:dyDescent="0.25">
      <c r="A70" s="312" t="str">
        <f>'Other Revenue &amp; Costs'!A57</f>
        <v>2021 - $40M - 3.45%</v>
      </c>
      <c r="B70" s="47">
        <v>400000</v>
      </c>
      <c r="C70" s="29"/>
      <c r="D70" s="17"/>
      <c r="E70" s="17">
        <v>491</v>
      </c>
      <c r="F70" s="34">
        <v>5908.88</v>
      </c>
      <c r="G70" s="34">
        <v>6112.02</v>
      </c>
      <c r="H70" s="34">
        <v>6322.14</v>
      </c>
      <c r="I70" s="34">
        <v>6539.4799999999987</v>
      </c>
    </row>
    <row r="71" spans="1:9" x14ac:dyDescent="0.25">
      <c r="A71" s="312" t="str">
        <f>'Other Revenue &amp; Costs'!A58</f>
        <v>2024* - $30M - 3.58%</v>
      </c>
      <c r="B71" s="47">
        <v>300000</v>
      </c>
      <c r="C71" s="29"/>
      <c r="D71" s="17"/>
      <c r="E71" s="17"/>
      <c r="F71" s="17"/>
      <c r="G71" s="17"/>
      <c r="H71" s="17">
        <v>982</v>
      </c>
      <c r="I71" s="17">
        <v>5925.76</v>
      </c>
    </row>
    <row r="72" spans="1:9" x14ac:dyDescent="0.25">
      <c r="A72" s="312" t="str">
        <f>'Other Revenue &amp; Costs'!A59</f>
        <v>2025* - $40M - 3.58%</v>
      </c>
      <c r="B72" s="17">
        <v>400000</v>
      </c>
      <c r="C72" s="29"/>
      <c r="D72" s="17"/>
      <c r="E72" s="17"/>
      <c r="F72" s="17"/>
      <c r="G72" s="17"/>
      <c r="H72" s="17"/>
      <c r="I72" s="17">
        <v>736.5</v>
      </c>
    </row>
    <row r="73" spans="1:9" x14ac:dyDescent="0.25">
      <c r="A73" s="41" t="s">
        <v>5</v>
      </c>
      <c r="B73" s="86"/>
      <c r="C73" s="38">
        <f>SUM(C66:C69)</f>
        <v>13005</v>
      </c>
      <c r="D73" s="38">
        <f>SUM(D66:D69)</f>
        <v>13642</v>
      </c>
      <c r="E73" s="38">
        <f>ROUND(SUM(E66:E71),0)</f>
        <v>14804</v>
      </c>
      <c r="F73" s="38">
        <f>ROUND(SUM(F66:F71),-2)</f>
        <v>20900</v>
      </c>
      <c r="G73" s="38">
        <f>ROUND(SUM(G66:G71),-2)</f>
        <v>21900</v>
      </c>
      <c r="H73" s="38">
        <f>ROUND(SUM(H66:H71),-2)</f>
        <v>23800</v>
      </c>
      <c r="I73" s="38">
        <f>ROUND(SUM(I66:I72),-2)</f>
        <v>30600</v>
      </c>
    </row>
    <row r="74" spans="1:9" x14ac:dyDescent="0.25">
      <c r="A74" s="48" t="s">
        <v>71</v>
      </c>
      <c r="B74" s="108"/>
      <c r="C74" s="108"/>
      <c r="D74" s="109"/>
      <c r="E74" s="110"/>
      <c r="F74" s="110"/>
      <c r="G74" s="110"/>
      <c r="H74" s="110"/>
      <c r="I74" s="110"/>
    </row>
    <row r="77" spans="1:9" x14ac:dyDescent="0.25">
      <c r="A77" s="572" t="s">
        <v>376</v>
      </c>
      <c r="B77" s="573"/>
      <c r="C77" s="573"/>
      <c r="D77" s="573"/>
      <c r="E77" s="573"/>
      <c r="F77" s="573"/>
      <c r="G77" s="573"/>
      <c r="H77" s="574"/>
    </row>
    <row r="78" spans="1:9" x14ac:dyDescent="0.25">
      <c r="A78" s="575" t="s">
        <v>106</v>
      </c>
      <c r="B78" s="576"/>
      <c r="C78" s="576"/>
      <c r="D78" s="576"/>
      <c r="E78" s="576"/>
      <c r="F78" s="576"/>
      <c r="G78" s="576"/>
      <c r="H78" s="577"/>
    </row>
    <row r="79" spans="1:9" x14ac:dyDescent="0.25">
      <c r="A79" s="49"/>
      <c r="B79" s="49">
        <f t="shared" ref="B79:H79" si="5">B49</f>
        <v>2019</v>
      </c>
      <c r="C79" s="49">
        <f t="shared" si="5"/>
        <v>2020</v>
      </c>
      <c r="D79" s="49">
        <f t="shared" si="5"/>
        <v>2021</v>
      </c>
      <c r="E79" s="49">
        <f t="shared" si="5"/>
        <v>2022</v>
      </c>
      <c r="F79" s="49">
        <f t="shared" si="5"/>
        <v>2023</v>
      </c>
      <c r="G79" s="49">
        <f t="shared" si="5"/>
        <v>2024</v>
      </c>
      <c r="H79" s="49">
        <f t="shared" si="5"/>
        <v>2025</v>
      </c>
    </row>
    <row r="80" spans="1:9" x14ac:dyDescent="0.25">
      <c r="A80" s="307" t="s">
        <v>106</v>
      </c>
      <c r="B80" s="309">
        <v>6483242</v>
      </c>
      <c r="C80" s="309">
        <v>6666061</v>
      </c>
      <c r="D80" s="309">
        <v>6970131</v>
      </c>
      <c r="E80" s="309">
        <v>7428900</v>
      </c>
      <c r="F80" s="309">
        <v>8459400</v>
      </c>
      <c r="G80" s="309">
        <v>8993600</v>
      </c>
      <c r="H80" s="309">
        <v>9538400</v>
      </c>
    </row>
    <row r="81" spans="1:8" x14ac:dyDescent="0.25">
      <c r="A81" s="307" t="s">
        <v>377</v>
      </c>
      <c r="B81" s="308">
        <v>31.5</v>
      </c>
      <c r="C81" s="308">
        <v>30.522574609228059</v>
      </c>
      <c r="D81" s="308">
        <v>31.954764011667098</v>
      </c>
      <c r="E81" s="92">
        <v>31.229802715202766</v>
      </c>
      <c r="F81" s="92">
        <v>31.19805939320749</v>
      </c>
      <c r="G81" s="92">
        <v>31.183504600185302</v>
      </c>
      <c r="H81" s="92">
        <v>31.170396276357181</v>
      </c>
    </row>
  </sheetData>
  <mergeCells count="12">
    <mergeCell ref="A77:H77"/>
    <mergeCell ref="A78:H78"/>
    <mergeCell ref="A38:H38"/>
    <mergeCell ref="A47:H47"/>
    <mergeCell ref="A48:H48"/>
    <mergeCell ref="A63:I63"/>
    <mergeCell ref="A64:I64"/>
    <mergeCell ref="A3:H3"/>
    <mergeCell ref="A2:H2"/>
    <mergeCell ref="A26:H26"/>
    <mergeCell ref="A27:H27"/>
    <mergeCell ref="A37:H37"/>
  </mergeCells>
  <printOptions horizontalCentered="1"/>
  <pageMargins left="0.7" right="0.7" top="0.75" bottom="0.75" header="0.3" footer="0.3"/>
  <pageSetup scale="4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M39"/>
  <sheetViews>
    <sheetView topLeftCell="A7" workbookViewId="0">
      <selection activeCell="A29" sqref="A29:H31"/>
    </sheetView>
  </sheetViews>
  <sheetFormatPr defaultRowHeight="15" x14ac:dyDescent="0.25"/>
  <cols>
    <col min="1" max="1" width="40.5703125" bestFit="1" customWidth="1"/>
    <col min="2" max="3" width="14.7109375" customWidth="1"/>
    <col min="4" max="4" width="15.42578125" bestFit="1" customWidth="1"/>
    <col min="5" max="5" width="14.42578125" bestFit="1" customWidth="1"/>
    <col min="6" max="6" width="14.28515625" bestFit="1" customWidth="1"/>
    <col min="7" max="7" width="15.42578125" bestFit="1" customWidth="1"/>
    <col min="8" max="8" width="14.42578125" bestFit="1" customWidth="1"/>
    <col min="9" max="9" width="12.85546875" customWidth="1"/>
    <col min="10" max="11" width="14.42578125" bestFit="1" customWidth="1"/>
    <col min="12" max="15" width="13.7109375" bestFit="1" customWidth="1"/>
  </cols>
  <sheetData>
    <row r="1" spans="1:11" x14ac:dyDescent="0.25">
      <c r="A1" s="716" t="s">
        <v>180</v>
      </c>
      <c r="B1" s="716"/>
      <c r="C1" s="716"/>
      <c r="D1" s="716"/>
      <c r="E1" s="716"/>
      <c r="F1" s="716"/>
      <c r="G1" s="716"/>
      <c r="H1" s="716"/>
      <c r="I1" s="716"/>
      <c r="J1" s="716"/>
      <c r="K1" s="716"/>
    </row>
    <row r="2" spans="1:11" x14ac:dyDescent="0.25">
      <c r="A2" s="716" t="e">
        <f>+'Other Reg Def'!#REF!</f>
        <v>#REF!</v>
      </c>
      <c r="B2" s="716"/>
      <c r="C2" s="716"/>
      <c r="D2" s="716"/>
      <c r="E2" s="716"/>
      <c r="F2" s="716"/>
      <c r="G2" s="716"/>
      <c r="H2" s="716"/>
      <c r="I2" s="716"/>
      <c r="J2" s="716"/>
      <c r="K2" s="716"/>
    </row>
    <row r="3" spans="1:11" x14ac:dyDescent="0.25">
      <c r="A3" s="76"/>
      <c r="B3" s="85"/>
      <c r="C3" s="84"/>
      <c r="D3" s="76"/>
      <c r="E3" s="76"/>
      <c r="F3" s="76"/>
      <c r="G3" s="76"/>
      <c r="H3" s="76"/>
      <c r="I3" s="115"/>
      <c r="J3" s="76"/>
      <c r="K3" s="76"/>
    </row>
    <row r="4" spans="1:11" x14ac:dyDescent="0.25">
      <c r="A4" s="76"/>
      <c r="B4" s="85"/>
      <c r="C4" s="84"/>
      <c r="D4" s="76"/>
      <c r="E4" s="76"/>
      <c r="F4" s="76"/>
      <c r="G4" s="76"/>
      <c r="H4" s="76"/>
      <c r="I4" s="115"/>
      <c r="J4" s="76"/>
      <c r="K4" s="76"/>
    </row>
    <row r="7" spans="1:11" x14ac:dyDescent="0.25">
      <c r="A7" s="572" t="s">
        <v>379</v>
      </c>
      <c r="B7" s="573"/>
      <c r="C7" s="573"/>
      <c r="D7" s="573"/>
      <c r="E7" s="573"/>
      <c r="F7" s="573"/>
      <c r="G7" s="573"/>
      <c r="H7" s="574"/>
    </row>
    <row r="8" spans="1:11" x14ac:dyDescent="0.25">
      <c r="A8" s="575" t="s">
        <v>237</v>
      </c>
      <c r="B8" s="576"/>
      <c r="C8" s="576"/>
      <c r="D8" s="576"/>
      <c r="E8" s="576"/>
      <c r="F8" s="576"/>
      <c r="G8" s="576"/>
      <c r="H8" s="577"/>
    </row>
    <row r="9" spans="1:11" x14ac:dyDescent="0.25">
      <c r="A9" s="49"/>
      <c r="B9" s="49">
        <f>'Other Revenue &amp; Costs'!B79</f>
        <v>2019</v>
      </c>
      <c r="C9" s="49">
        <f>'Other Revenue &amp; Costs'!C79</f>
        <v>2020</v>
      </c>
      <c r="D9" s="49">
        <f>'Other Revenue &amp; Costs'!D79</f>
        <v>2021</v>
      </c>
      <c r="E9" s="49">
        <f>'Other Revenue &amp; Costs'!E79</f>
        <v>2022</v>
      </c>
      <c r="F9" s="49">
        <f>'Other Revenue &amp; Costs'!F79</f>
        <v>2023</v>
      </c>
      <c r="G9" s="49">
        <f>'Other Revenue &amp; Costs'!G79</f>
        <v>2024</v>
      </c>
      <c r="H9" s="49">
        <f>'Other Revenue &amp; Costs'!H79</f>
        <v>2025</v>
      </c>
    </row>
    <row r="10" spans="1:11" x14ac:dyDescent="0.25">
      <c r="A10" s="307" t="s">
        <v>237</v>
      </c>
      <c r="B10" s="17">
        <v>14262629.689999972</v>
      </c>
      <c r="C10" s="34">
        <v>14672696</v>
      </c>
      <c r="D10" s="17">
        <v>15329827</v>
      </c>
      <c r="E10" s="17">
        <v>16363800</v>
      </c>
      <c r="F10" s="17">
        <v>18660100</v>
      </c>
      <c r="G10" s="17">
        <v>19851500</v>
      </c>
      <c r="H10" s="17">
        <v>21066500</v>
      </c>
    </row>
    <row r="11" spans="1:11" x14ac:dyDescent="0.25">
      <c r="A11" s="307" t="s">
        <v>378</v>
      </c>
      <c r="B11" s="314">
        <v>9.35</v>
      </c>
      <c r="C11" s="314">
        <v>9.3000000000000007</v>
      </c>
      <c r="D11" s="314">
        <v>9.35</v>
      </c>
      <c r="E11" s="315">
        <v>9.9499999999999993</v>
      </c>
      <c r="F11" s="315">
        <v>9.9499999999999993</v>
      </c>
      <c r="G11" s="315">
        <v>9.9499999999999993</v>
      </c>
      <c r="H11" s="315">
        <v>9.9499999999999993</v>
      </c>
    </row>
    <row r="13" spans="1:11" x14ac:dyDescent="0.25">
      <c r="A13" s="563" t="s">
        <v>380</v>
      </c>
      <c r="B13" s="564"/>
      <c r="C13" s="564"/>
      <c r="D13" s="564"/>
      <c r="E13" s="564"/>
      <c r="F13" s="564"/>
      <c r="G13" s="564"/>
      <c r="H13" s="565"/>
    </row>
    <row r="14" spans="1:11" x14ac:dyDescent="0.25">
      <c r="A14" s="560" t="s">
        <v>67</v>
      </c>
      <c r="B14" s="561"/>
      <c r="C14" s="561"/>
      <c r="D14" s="561"/>
      <c r="E14" s="561"/>
      <c r="F14" s="561"/>
      <c r="G14" s="561"/>
      <c r="H14" s="562"/>
    </row>
    <row r="15" spans="1:11" x14ac:dyDescent="0.25">
      <c r="A15" s="293"/>
      <c r="B15" s="293">
        <f t="shared" ref="B15:H15" si="0">+B23</f>
        <v>2019</v>
      </c>
      <c r="C15" s="293">
        <f t="shared" si="0"/>
        <v>2020</v>
      </c>
      <c r="D15" s="293">
        <f t="shared" si="0"/>
        <v>2021</v>
      </c>
      <c r="E15" s="293">
        <f t="shared" si="0"/>
        <v>2022</v>
      </c>
      <c r="F15" s="293">
        <f t="shared" si="0"/>
        <v>2023</v>
      </c>
      <c r="G15" s="293">
        <f t="shared" si="0"/>
        <v>2024</v>
      </c>
      <c r="H15" s="293">
        <f t="shared" si="0"/>
        <v>2025</v>
      </c>
      <c r="I15" s="81"/>
    </row>
    <row r="16" spans="1:11" x14ac:dyDescent="0.25">
      <c r="A16" s="92" t="s">
        <v>68</v>
      </c>
      <c r="B16" s="515">
        <v>8500000</v>
      </c>
      <c r="C16" s="515">
        <v>7500000</v>
      </c>
      <c r="D16" s="515">
        <v>8675000</v>
      </c>
      <c r="E16" s="515">
        <f>E18-E17</f>
        <v>2500000</v>
      </c>
      <c r="F16" s="515">
        <f t="shared" ref="F16:H16" si="1">F18-F17</f>
        <v>7000000</v>
      </c>
      <c r="G16" s="515">
        <f t="shared" si="1"/>
        <v>6000000</v>
      </c>
      <c r="H16" s="515">
        <f t="shared" si="1"/>
        <v>9500000</v>
      </c>
    </row>
    <row r="17" spans="1:13" x14ac:dyDescent="0.25">
      <c r="A17" s="92" t="s">
        <v>69</v>
      </c>
      <c r="B17" s="286">
        <v>0</v>
      </c>
      <c r="C17" s="286">
        <f>+C18-C16</f>
        <v>212500</v>
      </c>
      <c r="D17" s="286">
        <f>+D18-D16</f>
        <v>212500</v>
      </c>
      <c r="E17" s="286">
        <f>D17</f>
        <v>212500</v>
      </c>
      <c r="F17" s="286">
        <f t="shared" ref="F17:H17" si="2">E17</f>
        <v>212500</v>
      </c>
      <c r="G17" s="286">
        <f t="shared" si="2"/>
        <v>212500</v>
      </c>
      <c r="H17" s="286">
        <f t="shared" si="2"/>
        <v>212500</v>
      </c>
    </row>
    <row r="18" spans="1:13" x14ac:dyDescent="0.25">
      <c r="A18" s="516" t="s">
        <v>5</v>
      </c>
      <c r="B18" s="102">
        <f>SUM(B16:B17)</f>
        <v>8500000</v>
      </c>
      <c r="C18" s="102">
        <v>7712500</v>
      </c>
      <c r="D18" s="102">
        <v>8887500</v>
      </c>
      <c r="E18" s="102">
        <v>2712500</v>
      </c>
      <c r="F18" s="102">
        <v>7212500</v>
      </c>
      <c r="G18" s="102">
        <v>6212500</v>
      </c>
      <c r="H18" s="102">
        <v>9712500</v>
      </c>
    </row>
    <row r="20" spans="1:13" x14ac:dyDescent="0.25">
      <c r="A20" s="48"/>
      <c r="B20" s="48"/>
      <c r="C20" s="48"/>
      <c r="F20" s="8"/>
    </row>
    <row r="21" spans="1:13" x14ac:dyDescent="0.25">
      <c r="A21" s="578" t="s">
        <v>381</v>
      </c>
      <c r="B21" s="579"/>
      <c r="C21" s="579"/>
      <c r="D21" s="579"/>
      <c r="E21" s="579"/>
      <c r="F21" s="579"/>
      <c r="G21" s="579"/>
      <c r="H21" s="580"/>
    </row>
    <row r="22" spans="1:13" x14ac:dyDescent="0.25">
      <c r="A22" s="575" t="s">
        <v>382</v>
      </c>
      <c r="B22" s="576"/>
      <c r="C22" s="576"/>
      <c r="D22" s="576"/>
      <c r="E22" s="576"/>
      <c r="F22" s="576"/>
      <c r="G22" s="576"/>
      <c r="H22" s="577"/>
    </row>
    <row r="23" spans="1:13" x14ac:dyDescent="0.25">
      <c r="A23" s="49"/>
      <c r="B23" s="49">
        <f>+'Other Revenue &amp; Costs'!B28</f>
        <v>2019</v>
      </c>
      <c r="C23" s="49">
        <f>+'Other Revenue &amp; Costs'!C28</f>
        <v>2020</v>
      </c>
      <c r="D23" s="49">
        <f>+'Other Revenue &amp; Costs'!D28</f>
        <v>2021</v>
      </c>
      <c r="E23" s="49">
        <f>+'Other Revenue &amp; Costs'!E28</f>
        <v>2022</v>
      </c>
      <c r="F23" s="49">
        <f>+'Other Revenue &amp; Costs'!F28</f>
        <v>2023</v>
      </c>
      <c r="G23" s="49">
        <f>+'Other Revenue &amp; Costs'!G28</f>
        <v>2024</v>
      </c>
      <c r="H23" s="49">
        <f>+'Other Revenue &amp; Costs'!H28</f>
        <v>2025</v>
      </c>
    </row>
    <row r="24" spans="1:13" x14ac:dyDescent="0.25">
      <c r="A24" s="23" t="s">
        <v>66</v>
      </c>
      <c r="B24" s="23">
        <v>60.669273406877501</v>
      </c>
      <c r="C24" s="23">
        <v>60.8</v>
      </c>
      <c r="D24" s="23">
        <v>61</v>
      </c>
      <c r="E24" s="23">
        <v>60.4473567768392</v>
      </c>
      <c r="F24" s="23">
        <v>59.990539259394829</v>
      </c>
      <c r="G24" s="23">
        <v>59.975177542508305</v>
      </c>
      <c r="H24" s="23">
        <v>60.005223641143758</v>
      </c>
    </row>
    <row r="25" spans="1:13" x14ac:dyDescent="0.25">
      <c r="A25" s="23" t="s">
        <v>162</v>
      </c>
      <c r="B25" s="23">
        <v>39.330726593122506</v>
      </c>
      <c r="C25" s="23">
        <v>39.200000000000003</v>
      </c>
      <c r="D25" s="23">
        <v>39</v>
      </c>
      <c r="E25" s="23">
        <v>39.5526432231608</v>
      </c>
      <c r="F25" s="23">
        <v>40.009460740605171</v>
      </c>
      <c r="G25" s="23">
        <v>40.024822457491695</v>
      </c>
      <c r="H25" s="23">
        <v>39.994776358856235</v>
      </c>
    </row>
    <row r="26" spans="1:13" x14ac:dyDescent="0.25">
      <c r="A26" s="30" t="s">
        <v>5</v>
      </c>
      <c r="B26" s="30">
        <f t="shared" ref="B26:H26" si="3">SUM(B24:B25)</f>
        <v>100</v>
      </c>
      <c r="C26" s="30">
        <f t="shared" si="3"/>
        <v>100</v>
      </c>
      <c r="D26" s="30">
        <f t="shared" si="3"/>
        <v>100</v>
      </c>
      <c r="E26" s="30">
        <f t="shared" si="3"/>
        <v>100</v>
      </c>
      <c r="F26" s="30">
        <f t="shared" si="3"/>
        <v>100</v>
      </c>
      <c r="G26" s="30">
        <f t="shared" si="3"/>
        <v>100</v>
      </c>
      <c r="H26" s="30">
        <f t="shared" si="3"/>
        <v>100</v>
      </c>
    </row>
    <row r="27" spans="1:13" x14ac:dyDescent="0.25">
      <c r="A27" s="93" t="s">
        <v>163</v>
      </c>
      <c r="B27" s="45"/>
      <c r="C27" s="45"/>
      <c r="D27" s="45"/>
      <c r="E27" s="45"/>
      <c r="F27" s="45"/>
      <c r="G27" s="45"/>
    </row>
    <row r="28" spans="1:13" ht="14.25" customHeight="1" x14ac:dyDescent="0.25">
      <c r="A28" s="2"/>
      <c r="B28" s="2"/>
      <c r="C28" s="2"/>
      <c r="D28" s="12"/>
    </row>
    <row r="29" spans="1:13" x14ac:dyDescent="0.25">
      <c r="A29" s="717" t="s">
        <v>72</v>
      </c>
      <c r="B29" s="718"/>
      <c r="C29" s="718"/>
      <c r="D29" s="718"/>
      <c r="E29" s="718"/>
      <c r="F29" s="718"/>
      <c r="G29" s="718"/>
      <c r="H29" s="719"/>
    </row>
    <row r="30" spans="1:13" s="46" customFormat="1" x14ac:dyDescent="0.25">
      <c r="A30" s="291"/>
      <c r="B30" s="291">
        <f>+'Other Revenue &amp; Costs'!B39</f>
        <v>2019</v>
      </c>
      <c r="C30" s="291">
        <f>+'Other Revenue &amp; Costs'!C39</f>
        <v>2020</v>
      </c>
      <c r="D30" s="291">
        <f>+'Other Revenue &amp; Costs'!D39</f>
        <v>2021</v>
      </c>
      <c r="E30" s="291">
        <f>+'Other Revenue &amp; Costs'!E39</f>
        <v>2022</v>
      </c>
      <c r="F30" s="291">
        <f>+'Other Revenue &amp; Costs'!F39</f>
        <v>2023</v>
      </c>
      <c r="G30" s="291">
        <f>+'Other Revenue &amp; Costs'!G39</f>
        <v>2024</v>
      </c>
      <c r="H30" s="291">
        <f>+'Other Revenue &amp; Costs'!H39</f>
        <v>2025</v>
      </c>
      <c r="I30"/>
    </row>
    <row r="31" spans="1:13" s="46" customFormat="1" x14ac:dyDescent="0.25">
      <c r="A31" s="290" t="s">
        <v>73</v>
      </c>
      <c r="B31" s="475">
        <v>2.5</v>
      </c>
      <c r="C31" s="476">
        <v>2.5254285265120311</v>
      </c>
      <c r="D31" s="476">
        <v>2.5519465561339536</v>
      </c>
      <c r="E31" s="476">
        <v>2.641405523905513</v>
      </c>
      <c r="F31" s="476">
        <v>2.8252933631166828</v>
      </c>
      <c r="G31" s="476">
        <v>2.846750772030318</v>
      </c>
      <c r="H31" s="476">
        <v>2.9207422976363278</v>
      </c>
      <c r="I31"/>
      <c r="J31" s="127"/>
      <c r="K31" s="127"/>
      <c r="L31" s="127"/>
      <c r="M31" s="127"/>
    </row>
    <row r="32" spans="1:13" x14ac:dyDescent="0.25">
      <c r="J32" s="2"/>
      <c r="K32" s="2"/>
      <c r="L32" s="2"/>
      <c r="M32" s="2"/>
    </row>
    <row r="33" spans="1:13" x14ac:dyDescent="0.25">
      <c r="A33" s="1"/>
      <c r="B33" s="1"/>
      <c r="C33" s="1"/>
      <c r="J33" s="2"/>
      <c r="K33" s="2"/>
      <c r="L33" s="2"/>
      <c r="M33" s="2"/>
    </row>
    <row r="34" spans="1:13" x14ac:dyDescent="0.25">
      <c r="J34" s="2"/>
      <c r="K34" s="2"/>
      <c r="L34" s="2"/>
      <c r="M34" s="2"/>
    </row>
    <row r="39" spans="1:13" x14ac:dyDescent="0.25">
      <c r="J39" s="110"/>
      <c r="K39" s="110"/>
    </row>
  </sheetData>
  <sortState ref="A25:AP34">
    <sortCondition ref="A25:A34"/>
  </sortState>
  <mergeCells count="9">
    <mergeCell ref="A7:H7"/>
    <mergeCell ref="A1:K1"/>
    <mergeCell ref="A2:K2"/>
    <mergeCell ref="A29:H29"/>
    <mergeCell ref="A13:H13"/>
    <mergeCell ref="A14:H14"/>
    <mergeCell ref="A21:H21"/>
    <mergeCell ref="A22:H22"/>
    <mergeCell ref="A8:H8"/>
  </mergeCells>
  <printOptions horizontalCentered="1"/>
  <pageMargins left="0.7" right="0.7" top="0.75" bottom="0.75" header="0.3" footer="0.3"/>
  <pageSetup scale="63" orientation="portrait" r:id="rId1"/>
  <rowBreaks count="1" manualBreakCount="1">
    <brk id="4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2:P34"/>
  <sheetViews>
    <sheetView workbookViewId="0">
      <selection activeCell="A35" sqref="A35"/>
    </sheetView>
  </sheetViews>
  <sheetFormatPr defaultRowHeight="12" x14ac:dyDescent="0.2"/>
  <cols>
    <col min="1" max="1" width="73" style="138" bestFit="1" customWidth="1"/>
    <col min="2" max="2" width="10.7109375" style="216" bestFit="1" customWidth="1"/>
    <col min="3" max="3" width="19.140625" style="138" bestFit="1" customWidth="1"/>
    <col min="4" max="4" width="21.140625" style="138" bestFit="1" customWidth="1"/>
    <col min="5" max="7" width="15.7109375" style="138" bestFit="1" customWidth="1"/>
    <col min="8" max="8" width="14.5703125" style="138" bestFit="1" customWidth="1"/>
    <col min="9" max="9" width="39.5703125" style="138" customWidth="1"/>
    <col min="10" max="10" width="10.7109375" style="138" bestFit="1" customWidth="1"/>
    <col min="11" max="11" width="11" style="138" bestFit="1" customWidth="1"/>
    <col min="12" max="13" width="10" style="138" customWidth="1"/>
    <col min="14" max="14" width="8.85546875" style="138" customWidth="1"/>
    <col min="15" max="15" width="8.7109375" style="138" customWidth="1"/>
    <col min="16" max="16384" width="9.140625" style="138"/>
  </cols>
  <sheetData>
    <row r="2" spans="1:16" x14ac:dyDescent="0.2">
      <c r="A2" s="720" t="s">
        <v>269</v>
      </c>
      <c r="B2" s="721"/>
      <c r="C2" s="721"/>
      <c r="D2" s="721"/>
      <c r="E2" s="721"/>
      <c r="F2" s="721"/>
      <c r="G2" s="722"/>
    </row>
    <row r="3" spans="1:16" x14ac:dyDescent="0.2">
      <c r="A3" s="148"/>
      <c r="B3" s="148"/>
      <c r="C3" s="148">
        <f>+'Energy Supply'!D12</f>
        <v>2021</v>
      </c>
      <c r="D3" s="148">
        <f>+'Energy Supply'!E12</f>
        <v>2022</v>
      </c>
      <c r="E3" s="148">
        <f>+'Energy Supply'!F12</f>
        <v>2023</v>
      </c>
      <c r="F3" s="148">
        <f>+'Energy Supply'!G12</f>
        <v>2024</v>
      </c>
      <c r="G3" s="148">
        <f>+'Energy Supply'!H12</f>
        <v>2025</v>
      </c>
      <c r="H3" s="148">
        <v>2026</v>
      </c>
    </row>
    <row r="4" spans="1:16" x14ac:dyDescent="0.2">
      <c r="A4" s="147" t="s">
        <v>281</v>
      </c>
      <c r="B4" s="222" t="s">
        <v>198</v>
      </c>
      <c r="C4" s="211">
        <f>+'Energy Supply'!D26</f>
        <v>138545152.93000001</v>
      </c>
      <c r="D4" s="211">
        <f>+'Energy Supply'!E26</f>
        <v>146028300</v>
      </c>
      <c r="E4" s="211">
        <f>+'Energy Supply'!F26</f>
        <v>148885700</v>
      </c>
      <c r="F4" s="211">
        <f>+'Energy Supply'!G26</f>
        <v>155484100</v>
      </c>
      <c r="G4" s="211">
        <f>+'Energy Supply'!H26</f>
        <v>158798100</v>
      </c>
      <c r="P4" s="128"/>
    </row>
    <row r="5" spans="1:16" x14ac:dyDescent="0.2">
      <c r="A5" s="147" t="s">
        <v>253</v>
      </c>
      <c r="B5" s="222" t="s">
        <v>199</v>
      </c>
      <c r="C5" s="212">
        <f>-'Energy Supply'!E126</f>
        <v>-776775</v>
      </c>
      <c r="D5" s="212">
        <f>-'Energy Supply'!F126</f>
        <v>-1134300</v>
      </c>
      <c r="E5" s="212">
        <f>ROUND(-'Energy Supply'!G126,-2)</f>
        <v>-8346900</v>
      </c>
      <c r="F5" s="212">
        <f>ROUND(-'Energy Supply'!H126,-2)</f>
        <v>-10482600</v>
      </c>
      <c r="G5" s="212">
        <f>ROUND(-'Energy Supply'!I126,-2)</f>
        <v>-10998900</v>
      </c>
      <c r="P5" s="128"/>
    </row>
    <row r="6" spans="1:16" x14ac:dyDescent="0.2">
      <c r="A6" s="147" t="s">
        <v>272</v>
      </c>
      <c r="B6" s="222" t="s">
        <v>202</v>
      </c>
      <c r="C6" s="211">
        <f t="shared" ref="C6:G6" si="0">SUM(C4:C5)</f>
        <v>137768377.93000001</v>
      </c>
      <c r="D6" s="211">
        <f t="shared" si="0"/>
        <v>144894000</v>
      </c>
      <c r="E6" s="211">
        <f t="shared" si="0"/>
        <v>140538800</v>
      </c>
      <c r="F6" s="211">
        <f t="shared" si="0"/>
        <v>145001500</v>
      </c>
      <c r="G6" s="211">
        <f t="shared" si="0"/>
        <v>147799200</v>
      </c>
      <c r="P6" s="128"/>
    </row>
    <row r="7" spans="1:16" x14ac:dyDescent="0.2">
      <c r="A7" s="147" t="s">
        <v>270</v>
      </c>
      <c r="B7" s="222" t="s">
        <v>200</v>
      </c>
      <c r="C7" s="213">
        <f>+C22</f>
        <v>132337807.09863999</v>
      </c>
      <c r="D7" s="213">
        <f>ROUND(+D22,-2)</f>
        <v>139048100</v>
      </c>
      <c r="E7" s="213">
        <f t="shared" ref="E7:G7" si="1">ROUND(+E22,-2)</f>
        <v>136319500</v>
      </c>
      <c r="F7" s="213">
        <f t="shared" si="1"/>
        <v>141255000</v>
      </c>
      <c r="G7" s="213">
        <f t="shared" si="1"/>
        <v>147070300</v>
      </c>
      <c r="P7" s="128"/>
    </row>
    <row r="8" spans="1:16" x14ac:dyDescent="0.2">
      <c r="A8" s="147" t="s">
        <v>273</v>
      </c>
      <c r="B8" s="222" t="s">
        <v>274</v>
      </c>
      <c r="C8" s="239">
        <f>+C6-C7</f>
        <v>5430570.8313600123</v>
      </c>
      <c r="D8" s="239">
        <f>+D6-D7</f>
        <v>5845900</v>
      </c>
      <c r="E8" s="239">
        <f>+E6-E7</f>
        <v>4219300</v>
      </c>
      <c r="F8" s="239">
        <f>+F6-F7</f>
        <v>3746500</v>
      </c>
      <c r="G8" s="239">
        <f>+G6-G7</f>
        <v>728900</v>
      </c>
      <c r="P8" s="128"/>
    </row>
    <row r="9" spans="1:16" x14ac:dyDescent="0.2">
      <c r="A9" s="147" t="s">
        <v>267</v>
      </c>
      <c r="B9" s="222" t="s">
        <v>201</v>
      </c>
      <c r="C9" s="239">
        <f>+C31</f>
        <v>0</v>
      </c>
      <c r="D9" s="239">
        <f>ROUND(+D31,-2)</f>
        <v>4485400</v>
      </c>
      <c r="E9" s="239">
        <f t="shared" ref="E9:G9" si="2">ROUND(+E31,-2)</f>
        <v>6528600</v>
      </c>
      <c r="F9" s="239">
        <f t="shared" si="2"/>
        <v>4946500</v>
      </c>
      <c r="G9" s="239">
        <f t="shared" si="2"/>
        <v>3528700</v>
      </c>
      <c r="P9" s="128"/>
    </row>
    <row r="10" spans="1:16" x14ac:dyDescent="0.2">
      <c r="A10" s="147" t="s">
        <v>265</v>
      </c>
      <c r="B10" s="222" t="s">
        <v>264</v>
      </c>
      <c r="C10" s="232">
        <v>0</v>
      </c>
      <c r="D10" s="213">
        <f>+C11</f>
        <v>5430600</v>
      </c>
      <c r="E10" s="213">
        <f t="shared" ref="E10:G10" si="3">+D11</f>
        <v>6791100</v>
      </c>
      <c r="F10" s="213">
        <f t="shared" si="3"/>
        <v>4481800</v>
      </c>
      <c r="G10" s="213">
        <f t="shared" si="3"/>
        <v>3281800</v>
      </c>
      <c r="P10" s="128"/>
    </row>
    <row r="11" spans="1:16" s="220" customFormat="1" x14ac:dyDescent="0.2">
      <c r="A11" s="233" t="s">
        <v>266</v>
      </c>
      <c r="B11" s="236" t="s">
        <v>275</v>
      </c>
      <c r="C11" s="234">
        <f>ROUND(+C8-C9+C10,-2)</f>
        <v>5430600</v>
      </c>
      <c r="D11" s="234">
        <f t="shared" ref="D11:G11" si="4">ROUND(+D8-D9+D10,-2)</f>
        <v>6791100</v>
      </c>
      <c r="E11" s="234">
        <f t="shared" si="4"/>
        <v>4481800</v>
      </c>
      <c r="F11" s="234">
        <f t="shared" si="4"/>
        <v>3281800</v>
      </c>
      <c r="G11" s="234">
        <f t="shared" si="4"/>
        <v>482000</v>
      </c>
      <c r="P11" s="128"/>
    </row>
    <row r="12" spans="1:16" s="220" customFormat="1" x14ac:dyDescent="0.2">
      <c r="A12" s="242" t="s">
        <v>276</v>
      </c>
      <c r="B12" s="240" t="s">
        <v>282</v>
      </c>
      <c r="C12" s="241">
        <f>+C7+C9-C5</f>
        <v>133114582.09863999</v>
      </c>
      <c r="D12" s="241">
        <f>+D7+D9-D5</f>
        <v>144667800</v>
      </c>
      <c r="E12" s="241">
        <f t="shared" ref="E12:G12" si="5">+E7+E9-E5</f>
        <v>151195000</v>
      </c>
      <c r="F12" s="241">
        <f t="shared" si="5"/>
        <v>156684100</v>
      </c>
      <c r="G12" s="241">
        <f t="shared" si="5"/>
        <v>161597900</v>
      </c>
      <c r="P12" s="128"/>
    </row>
    <row r="13" spans="1:16" s="220" customFormat="1" x14ac:dyDescent="0.2">
      <c r="A13" s="233" t="s">
        <v>268</v>
      </c>
      <c r="B13" s="236" t="s">
        <v>271</v>
      </c>
      <c r="C13" s="234">
        <f>+C12-C4</f>
        <v>-5430570.8313600123</v>
      </c>
      <c r="D13" s="234">
        <f>+D12-D4</f>
        <v>-1360500</v>
      </c>
      <c r="E13" s="234">
        <f t="shared" ref="E13:G13" si="6">+E12-E4</f>
        <v>2309300</v>
      </c>
      <c r="F13" s="234">
        <f t="shared" si="6"/>
        <v>1200000</v>
      </c>
      <c r="G13" s="234">
        <f t="shared" si="6"/>
        <v>2799800</v>
      </c>
      <c r="P13" s="128"/>
    </row>
    <row r="14" spans="1:16" s="220" customFormat="1" x14ac:dyDescent="0.2">
      <c r="A14" s="217"/>
      <c r="B14" s="218"/>
      <c r="C14" s="219"/>
      <c r="D14" s="219"/>
      <c r="E14" s="219"/>
      <c r="F14" s="219"/>
      <c r="G14" s="219"/>
    </row>
    <row r="15" spans="1:16" s="220" customFormat="1" x14ac:dyDescent="0.2">
      <c r="A15" s="217" t="s">
        <v>575</v>
      </c>
      <c r="B15" s="218"/>
      <c r="C15" s="219"/>
      <c r="D15" s="219"/>
      <c r="E15" s="219"/>
      <c r="F15" s="219"/>
      <c r="G15" s="219"/>
      <c r="M15" s="245"/>
    </row>
    <row r="16" spans="1:16" s="220" customFormat="1" x14ac:dyDescent="0.2">
      <c r="A16" s="221" t="s">
        <v>277</v>
      </c>
      <c r="B16" s="222"/>
      <c r="C16" s="213">
        <v>269600493</v>
      </c>
      <c r="D16" s="213">
        <v>292245122.49787199</v>
      </c>
      <c r="E16" s="213">
        <v>291305949.12480843</v>
      </c>
      <c r="F16" s="213">
        <v>299206410.79061943</v>
      </c>
      <c r="G16" s="213">
        <v>300645542.78634179</v>
      </c>
      <c r="K16" s="243"/>
    </row>
    <row r="17" spans="1:8" s="220" customFormat="1" x14ac:dyDescent="0.2">
      <c r="A17" s="221" t="s">
        <v>278</v>
      </c>
      <c r="B17" s="222"/>
      <c r="C17" s="230">
        <f>+D17</f>
        <v>9.2439999999999994E-2</v>
      </c>
      <c r="D17" s="228">
        <f>+E17</f>
        <v>9.2439999999999994E-2</v>
      </c>
      <c r="E17" s="228">
        <f>+D20</f>
        <v>9.2439999999999994E-2</v>
      </c>
      <c r="F17" s="223">
        <f>+E20</f>
        <v>9.06E-2</v>
      </c>
      <c r="G17" s="223">
        <f>+F20</f>
        <v>9.3700000000000006E-2</v>
      </c>
    </row>
    <row r="18" spans="1:8" s="220" customFormat="1" x14ac:dyDescent="0.2">
      <c r="A18" s="221" t="s">
        <v>260</v>
      </c>
      <c r="B18" s="222"/>
      <c r="C18" s="229">
        <f>+C16*C17</f>
        <v>24921869.572919998</v>
      </c>
      <c r="D18" s="227">
        <f t="shared" ref="D18" si="7">+D16*D17</f>
        <v>27015139.123703286</v>
      </c>
      <c r="E18" s="227">
        <f t="shared" ref="E18" si="8">+E16*E17</f>
        <v>26928321.937097289</v>
      </c>
      <c r="F18" s="227">
        <f t="shared" ref="F18" si="9">+F16*F17</f>
        <v>27108100.81763012</v>
      </c>
      <c r="G18" s="227">
        <f t="shared" ref="G18" si="10">+G16*G17</f>
        <v>28170487.359080225</v>
      </c>
    </row>
    <row r="19" spans="1:8" s="220" customFormat="1" x14ac:dyDescent="0.2">
      <c r="A19" s="221" t="s">
        <v>258</v>
      </c>
      <c r="B19" s="222"/>
      <c r="C19" s="212">
        <f>+'Energy Supply'!D7*1000000-C16</f>
        <v>1162007113</v>
      </c>
      <c r="D19" s="212">
        <f>+'Energy Supply'!E7*1000000-D16</f>
        <v>1211952990.5021281</v>
      </c>
      <c r="E19" s="212">
        <f>+'Energy Supply'!F7*1000000-E16</f>
        <v>1207408520.8751917</v>
      </c>
      <c r="F19" s="212">
        <f>+'Energy Supply'!G7*1000000-F16</f>
        <v>1218216662.2093806</v>
      </c>
      <c r="G19" s="212">
        <f>+'Energy Supply'!H7*1000000-G16</f>
        <v>1236993986.2136583</v>
      </c>
    </row>
    <row r="20" spans="1:8" s="220" customFormat="1" x14ac:dyDescent="0.2">
      <c r="A20" s="221" t="s">
        <v>259</v>
      </c>
      <c r="B20" s="222"/>
      <c r="C20" s="230">
        <f>+C17</f>
        <v>9.2439999999999994E-2</v>
      </c>
      <c r="D20" s="223">
        <v>9.2439999999999994E-2</v>
      </c>
      <c r="E20" s="223">
        <v>9.06E-2</v>
      </c>
      <c r="F20" s="223">
        <v>9.3700000000000006E-2</v>
      </c>
      <c r="G20" s="223">
        <v>9.6120000000000011E-2</v>
      </c>
    </row>
    <row r="21" spans="1:8" s="220" customFormat="1" x14ac:dyDescent="0.2">
      <c r="A21" s="221" t="s">
        <v>261</v>
      </c>
      <c r="B21" s="224"/>
      <c r="C21" s="229">
        <f>+C19*C20</f>
        <v>107415937.52572</v>
      </c>
      <c r="D21" s="227">
        <f t="shared" ref="D21:G21" si="11">+D19*D20</f>
        <v>112032934.44201672</v>
      </c>
      <c r="E21" s="227">
        <f t="shared" si="11"/>
        <v>109391211.99129237</v>
      </c>
      <c r="F21" s="227">
        <f t="shared" si="11"/>
        <v>114146901.24901897</v>
      </c>
      <c r="G21" s="227">
        <f t="shared" si="11"/>
        <v>118899861.95485686</v>
      </c>
    </row>
    <row r="22" spans="1:8" s="220" customFormat="1" x14ac:dyDescent="0.2">
      <c r="A22" s="235" t="s">
        <v>263</v>
      </c>
      <c r="B22" s="236"/>
      <c r="C22" s="234">
        <f>+C18+C21</f>
        <v>132337807.09863999</v>
      </c>
      <c r="D22" s="234">
        <f t="shared" ref="D22:G22" si="12">+D18+D21</f>
        <v>139048073.56572002</v>
      </c>
      <c r="E22" s="234">
        <f t="shared" si="12"/>
        <v>136319533.92838967</v>
      </c>
      <c r="F22" s="234">
        <f t="shared" si="12"/>
        <v>141255002.06664908</v>
      </c>
      <c r="G22" s="234">
        <f t="shared" si="12"/>
        <v>147070349.31393707</v>
      </c>
    </row>
    <row r="23" spans="1:8" s="220" customFormat="1" x14ac:dyDescent="0.2">
      <c r="A23" s="217"/>
      <c r="B23" s="218"/>
      <c r="C23" s="219"/>
      <c r="D23" s="219"/>
      <c r="E23" s="219"/>
      <c r="F23" s="219"/>
      <c r="G23" s="219"/>
    </row>
    <row r="24" spans="1:8" s="220" customFormat="1" x14ac:dyDescent="0.2">
      <c r="A24" s="217" t="s">
        <v>576</v>
      </c>
      <c r="B24" s="218"/>
      <c r="C24" s="219"/>
      <c r="D24" s="219"/>
      <c r="E24" s="219"/>
      <c r="F24" s="219"/>
      <c r="G24" s="219"/>
    </row>
    <row r="25" spans="1:8" x14ac:dyDescent="0.2">
      <c r="A25" s="221" t="s">
        <v>279</v>
      </c>
      <c r="B25" s="222"/>
      <c r="C25" s="213">
        <v>256371739</v>
      </c>
      <c r="D25" s="213">
        <v>281095813.00881696</v>
      </c>
      <c r="E25" s="213">
        <v>280084048.4015525</v>
      </c>
      <c r="F25" s="213">
        <v>284612771.75377816</v>
      </c>
      <c r="G25" s="213">
        <v>289043278.51471567</v>
      </c>
      <c r="H25" s="213">
        <v>294043631.16959465</v>
      </c>
    </row>
    <row r="26" spans="1:8" x14ac:dyDescent="0.2">
      <c r="A26" s="221" t="s">
        <v>280</v>
      </c>
      <c r="B26" s="222"/>
      <c r="C26" s="227">
        <v>0</v>
      </c>
      <c r="D26" s="228">
        <f>+C29</f>
        <v>0</v>
      </c>
      <c r="E26" s="210">
        <f>+D29</f>
        <v>4.0200000000000001E-3</v>
      </c>
      <c r="F26" s="230">
        <f>+E29</f>
        <v>4.8599999999999997E-3</v>
      </c>
      <c r="G26" s="230">
        <f>+F29</f>
        <v>3.16E-3</v>
      </c>
      <c r="H26" s="230">
        <f>+G29</f>
        <v>2.2899999999999999E-3</v>
      </c>
    </row>
    <row r="27" spans="1:8" x14ac:dyDescent="0.2">
      <c r="A27" s="221" t="s">
        <v>254</v>
      </c>
      <c r="B27" s="222"/>
      <c r="C27" s="227">
        <f>+C25*C26</f>
        <v>0</v>
      </c>
      <c r="D27" s="227">
        <f t="shared" ref="D27:G27" si="13">+D25*D26</f>
        <v>0</v>
      </c>
      <c r="E27" s="227">
        <f t="shared" si="13"/>
        <v>1125937.874574241</v>
      </c>
      <c r="F27" s="227">
        <f t="shared" si="13"/>
        <v>1383218.0707233618</v>
      </c>
      <c r="G27" s="227">
        <f t="shared" si="13"/>
        <v>913376.76010650152</v>
      </c>
      <c r="H27" s="213">
        <f>+H25*H26</f>
        <v>673359.91537837172</v>
      </c>
    </row>
    <row r="28" spans="1:8" x14ac:dyDescent="0.2">
      <c r="A28" s="221" t="s">
        <v>255</v>
      </c>
      <c r="B28" s="222"/>
      <c r="C28" s="226">
        <v>1069628017</v>
      </c>
      <c r="D28" s="226">
        <v>1115763847.3596554</v>
      </c>
      <c r="E28" s="226">
        <v>1111664932.5513</v>
      </c>
      <c r="F28" s="226">
        <v>1127632486.977138</v>
      </c>
      <c r="G28" s="226">
        <v>1142043704.8864467</v>
      </c>
    </row>
    <row r="29" spans="1:8" x14ac:dyDescent="0.2">
      <c r="A29" s="221" t="s">
        <v>257</v>
      </c>
      <c r="B29" s="222"/>
      <c r="C29" s="223">
        <v>0</v>
      </c>
      <c r="D29" s="230">
        <v>4.0200000000000001E-3</v>
      </c>
      <c r="E29" s="230">
        <v>4.8599999999999997E-3</v>
      </c>
      <c r="F29" s="230">
        <v>3.16E-3</v>
      </c>
      <c r="G29" s="230">
        <v>2.2899999999999999E-3</v>
      </c>
    </row>
    <row r="30" spans="1:8" x14ac:dyDescent="0.2">
      <c r="A30" s="238" t="s">
        <v>256</v>
      </c>
      <c r="B30" s="207"/>
      <c r="C30" s="225">
        <f t="shared" ref="C30:G30" si="14">+C28*C29</f>
        <v>0</v>
      </c>
      <c r="D30" s="227">
        <f t="shared" si="14"/>
        <v>4485370.6663858145</v>
      </c>
      <c r="E30" s="227">
        <f t="shared" si="14"/>
        <v>5402691.5721993176</v>
      </c>
      <c r="F30" s="227">
        <f t="shared" si="14"/>
        <v>3563318.6588477562</v>
      </c>
      <c r="G30" s="227">
        <f t="shared" si="14"/>
        <v>2615280.0841899631</v>
      </c>
    </row>
    <row r="31" spans="1:8" x14ac:dyDescent="0.2">
      <c r="A31" s="221" t="s">
        <v>262</v>
      </c>
      <c r="B31" s="224"/>
      <c r="C31" s="237">
        <f>+C27+C30</f>
        <v>0</v>
      </c>
      <c r="D31" s="225">
        <f t="shared" ref="D31:G31" si="15">+D27+D30</f>
        <v>4485370.6663858145</v>
      </c>
      <c r="E31" s="225">
        <f t="shared" si="15"/>
        <v>6528629.4467735589</v>
      </c>
      <c r="F31" s="225">
        <f t="shared" si="15"/>
        <v>4946536.729571118</v>
      </c>
      <c r="G31" s="225">
        <f t="shared" si="15"/>
        <v>3528656.8442964647</v>
      </c>
    </row>
    <row r="32" spans="1:8" x14ac:dyDescent="0.2">
      <c r="A32" s="231"/>
    </row>
    <row r="33" spans="3:7" x14ac:dyDescent="0.2">
      <c r="C33" s="128"/>
      <c r="D33" s="128"/>
      <c r="E33" s="128"/>
      <c r="F33" s="128"/>
      <c r="G33" s="128"/>
    </row>
    <row r="34" spans="3:7" x14ac:dyDescent="0.2">
      <c r="C34" s="129"/>
      <c r="D34" s="129"/>
      <c r="E34" s="129"/>
      <c r="F34" s="129"/>
      <c r="G34" s="129"/>
    </row>
  </sheetData>
  <mergeCells count="1">
    <mergeCell ref="A2:G2"/>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pageSetUpPr fitToPage="1"/>
  </sheetPr>
  <dimension ref="A2:L83"/>
  <sheetViews>
    <sheetView workbookViewId="0">
      <selection activeCell="C5" sqref="C5"/>
    </sheetView>
  </sheetViews>
  <sheetFormatPr defaultRowHeight="14.25" x14ac:dyDescent="0.2"/>
  <cols>
    <col min="1" max="1" width="52.28515625" style="426" bestFit="1" customWidth="1"/>
    <col min="2" max="2" width="17.42578125" style="426" customWidth="1"/>
    <col min="3" max="3" width="12.85546875" style="426" bestFit="1" customWidth="1"/>
    <col min="4" max="4" width="12.140625" style="426" bestFit="1" customWidth="1"/>
    <col min="5" max="5" width="15.7109375" style="426" customWidth="1"/>
    <col min="6" max="6" width="16.140625" style="426" bestFit="1" customWidth="1"/>
    <col min="7" max="7" width="14" style="426" bestFit="1" customWidth="1"/>
    <col min="8" max="8" width="12.28515625" style="426" bestFit="1" customWidth="1"/>
    <col min="9" max="9" width="13.5703125" style="426" bestFit="1" customWidth="1"/>
    <col min="10" max="10" width="12.5703125" style="426" bestFit="1" customWidth="1"/>
    <col min="11" max="11" width="9.28515625" style="426" bestFit="1" customWidth="1"/>
    <col min="12" max="12" width="10.42578125" style="426" bestFit="1" customWidth="1"/>
    <col min="13" max="16384" width="9.140625" style="426"/>
  </cols>
  <sheetData>
    <row r="2" spans="1:12" ht="15" x14ac:dyDescent="0.25">
      <c r="A2" s="728" t="s">
        <v>534</v>
      </c>
      <c r="B2" s="729"/>
      <c r="C2" s="730"/>
    </row>
    <row r="3" spans="1:12" x14ac:dyDescent="0.2">
      <c r="A3" s="603" t="s">
        <v>533</v>
      </c>
      <c r="B3" s="604"/>
      <c r="C3" s="605"/>
    </row>
    <row r="4" spans="1:12" x14ac:dyDescent="0.2">
      <c r="A4" s="139" t="s">
        <v>532</v>
      </c>
      <c r="B4" s="140" t="s">
        <v>198</v>
      </c>
      <c r="C4" s="420">
        <v>1435752.33</v>
      </c>
    </row>
    <row r="5" spans="1:12" x14ac:dyDescent="0.2">
      <c r="A5" s="147" t="s">
        <v>531</v>
      </c>
      <c r="B5" s="148" t="s">
        <v>199</v>
      </c>
      <c r="C5" s="213">
        <v>-1080560</v>
      </c>
    </row>
    <row r="6" spans="1:12" x14ac:dyDescent="0.2">
      <c r="A6" s="147" t="s">
        <v>530</v>
      </c>
      <c r="B6" s="148" t="s">
        <v>512</v>
      </c>
      <c r="C6" s="213">
        <v>21379.78</v>
      </c>
    </row>
    <row r="7" spans="1:12" x14ac:dyDescent="0.2">
      <c r="A7" s="147" t="s">
        <v>529</v>
      </c>
      <c r="B7" s="148" t="s">
        <v>528</v>
      </c>
      <c r="C7" s="239">
        <f>SUM(C4:C6)</f>
        <v>376572.1100000001</v>
      </c>
    </row>
    <row r="8" spans="1:12" x14ac:dyDescent="0.2">
      <c r="A8" s="147" t="s">
        <v>527</v>
      </c>
      <c r="B8" s="148" t="s">
        <v>526</v>
      </c>
      <c r="C8" s="213">
        <v>238291</v>
      </c>
    </row>
    <row r="9" spans="1:12" x14ac:dyDescent="0.2">
      <c r="A9" s="214" t="s">
        <v>525</v>
      </c>
      <c r="B9" s="215" t="s">
        <v>524</v>
      </c>
      <c r="C9" s="421">
        <f>SUM(C7:C8)</f>
        <v>614863.1100000001</v>
      </c>
    </row>
    <row r="10" spans="1:12" x14ac:dyDescent="0.2">
      <c r="A10" s="723" t="s">
        <v>538</v>
      </c>
      <c r="B10" s="724"/>
      <c r="C10" s="724"/>
    </row>
    <row r="13" spans="1:12" x14ac:dyDescent="0.2">
      <c r="C13" s="438"/>
    </row>
    <row r="15" spans="1:12" x14ac:dyDescent="0.2">
      <c r="C15" s="439"/>
      <c r="E15" s="739" t="s">
        <v>523</v>
      </c>
      <c r="F15" s="740"/>
      <c r="G15" s="740"/>
      <c r="H15" s="740"/>
      <c r="I15" s="740"/>
      <c r="J15" s="740"/>
      <c r="K15" s="740"/>
      <c r="L15" s="741"/>
    </row>
    <row r="16" spans="1:12" x14ac:dyDescent="0.2">
      <c r="A16" s="742" t="s">
        <v>522</v>
      </c>
      <c r="B16" s="743"/>
      <c r="C16" s="744"/>
      <c r="E16" s="427" t="s">
        <v>521</v>
      </c>
      <c r="F16" s="428"/>
      <c r="G16" s="428"/>
      <c r="H16" s="428">
        <v>6.9999999999999999E-4</v>
      </c>
      <c r="I16" s="428"/>
      <c r="J16" s="428"/>
      <c r="K16" s="428"/>
      <c r="L16" s="429"/>
    </row>
    <row r="17" spans="1:12" x14ac:dyDescent="0.2">
      <c r="A17" s="603" t="s">
        <v>520</v>
      </c>
      <c r="B17" s="604"/>
      <c r="C17" s="605"/>
      <c r="E17" s="427"/>
      <c r="F17" s="428"/>
      <c r="G17" s="428"/>
      <c r="H17" s="428"/>
      <c r="I17" s="428"/>
      <c r="J17" s="428"/>
      <c r="K17" s="428"/>
      <c r="L17" s="429"/>
    </row>
    <row r="18" spans="1:12" x14ac:dyDescent="0.2">
      <c r="A18" s="139" t="s">
        <v>519</v>
      </c>
      <c r="B18" s="140" t="s">
        <v>198</v>
      </c>
      <c r="C18" s="420">
        <f>+C9</f>
        <v>614863.1100000001</v>
      </c>
      <c r="E18" s="427"/>
      <c r="F18" s="428"/>
      <c r="G18" s="428"/>
      <c r="H18" s="428"/>
      <c r="I18" s="428"/>
      <c r="J18" s="428"/>
      <c r="K18" s="428"/>
      <c r="L18" s="429"/>
    </row>
    <row r="19" spans="1:12" x14ac:dyDescent="0.2">
      <c r="A19" s="147" t="s">
        <v>518</v>
      </c>
      <c r="B19" s="148" t="s">
        <v>199</v>
      </c>
      <c r="C19" s="213">
        <f>SUM(H20:H31)</f>
        <v>-977801.76225793059</v>
      </c>
      <c r="E19" s="427"/>
      <c r="F19" s="440" t="s">
        <v>517</v>
      </c>
      <c r="G19" s="440" t="s">
        <v>516</v>
      </c>
      <c r="H19" s="440" t="s">
        <v>515</v>
      </c>
      <c r="I19" s="440" t="s">
        <v>514</v>
      </c>
      <c r="J19" s="440" t="s">
        <v>535</v>
      </c>
      <c r="K19" s="440"/>
      <c r="L19" s="441" t="s">
        <v>4</v>
      </c>
    </row>
    <row r="20" spans="1:12" x14ac:dyDescent="0.2">
      <c r="A20" s="147" t="s">
        <v>513</v>
      </c>
      <c r="B20" s="148" t="s">
        <v>512</v>
      </c>
      <c r="C20" s="213">
        <f>SUM(L20:L31)</f>
        <v>5599.841168445706</v>
      </c>
      <c r="E20" s="442">
        <v>44562</v>
      </c>
      <c r="F20" s="443">
        <f>+'Other Reg Def'!C9</f>
        <v>614863.1100000001</v>
      </c>
      <c r="G20" s="444">
        <v>140233165.44523516</v>
      </c>
      <c r="H20" s="445">
        <f t="shared" ref="H20:H31" si="0">-H$16*G20</f>
        <v>-98163.215811664617</v>
      </c>
      <c r="I20" s="446">
        <f t="shared" ref="I20:I31" si="1">+F20+H20</f>
        <v>516699.89418833551</v>
      </c>
      <c r="J20" s="447">
        <v>2.4500000000000001E-2</v>
      </c>
      <c r="K20" s="428">
        <v>31</v>
      </c>
      <c r="L20" s="448">
        <f t="shared" ref="L20:L27" si="2">F20*J20*(K20/365)</f>
        <v>1279.4206357397263</v>
      </c>
    </row>
    <row r="21" spans="1:12" x14ac:dyDescent="0.2">
      <c r="A21" s="147" t="s">
        <v>511</v>
      </c>
      <c r="B21" s="148" t="s">
        <v>200</v>
      </c>
      <c r="C21" s="213">
        <v>500000</v>
      </c>
      <c r="E21" s="442">
        <v>44593</v>
      </c>
      <c r="F21" s="443">
        <f t="shared" ref="F21:F32" si="3">I20+L20</f>
        <v>517979.31482407526</v>
      </c>
      <c r="G21" s="444">
        <v>140862647.56358179</v>
      </c>
      <c r="H21" s="445">
        <f t="shared" si="0"/>
        <v>-98603.853294507251</v>
      </c>
      <c r="I21" s="446">
        <f t="shared" si="1"/>
        <v>419375.46152956801</v>
      </c>
      <c r="J21" s="447">
        <v>2.4500000000000001E-2</v>
      </c>
      <c r="K21" s="428">
        <v>28</v>
      </c>
      <c r="L21" s="448">
        <f t="shared" si="2"/>
        <v>973.51728758716615</v>
      </c>
    </row>
    <row r="22" spans="1:12" x14ac:dyDescent="0.2">
      <c r="A22" s="147" t="s">
        <v>510</v>
      </c>
      <c r="B22" s="148" t="s">
        <v>509</v>
      </c>
      <c r="C22" s="239">
        <f>SUM(C18:C21)</f>
        <v>142661.18891051522</v>
      </c>
      <c r="E22" s="442">
        <v>44621</v>
      </c>
      <c r="F22" s="443">
        <f t="shared" si="3"/>
        <v>420348.97881715518</v>
      </c>
      <c r="G22" s="444">
        <v>126739370.33711989</v>
      </c>
      <c r="H22" s="445">
        <f t="shared" si="0"/>
        <v>-88717.559235983921</v>
      </c>
      <c r="I22" s="446">
        <f t="shared" si="1"/>
        <v>331631.41958117124</v>
      </c>
      <c r="J22" s="447">
        <v>2.7E-2</v>
      </c>
      <c r="K22" s="428">
        <v>31</v>
      </c>
      <c r="L22" s="448">
        <f t="shared" si="2"/>
        <v>963.9235486848188</v>
      </c>
    </row>
    <row r="23" spans="1:12" x14ac:dyDescent="0.2">
      <c r="A23" s="147" t="s">
        <v>508</v>
      </c>
      <c r="B23" s="148" t="s">
        <v>201</v>
      </c>
      <c r="C23" s="213">
        <f>+H34+H35</f>
        <v>-196058.83388108676</v>
      </c>
      <c r="E23" s="442">
        <v>44652</v>
      </c>
      <c r="F23" s="443">
        <f t="shared" si="3"/>
        <v>332595.34312985605</v>
      </c>
      <c r="G23" s="444">
        <v>117551899.32949804</v>
      </c>
      <c r="H23" s="445">
        <f t="shared" si="0"/>
        <v>-82286.329530648625</v>
      </c>
      <c r="I23" s="446">
        <f t="shared" si="1"/>
        <v>250309.01359920742</v>
      </c>
      <c r="J23" s="447">
        <v>3.2000000000000001E-2</v>
      </c>
      <c r="K23" s="428">
        <v>30</v>
      </c>
      <c r="L23" s="448">
        <f t="shared" si="2"/>
        <v>874.77131343742963</v>
      </c>
    </row>
    <row r="24" spans="1:12" x14ac:dyDescent="0.2">
      <c r="A24" s="147" t="s">
        <v>507</v>
      </c>
      <c r="B24" s="148" t="s">
        <v>264</v>
      </c>
      <c r="C24" s="213">
        <f>+L34+L35</f>
        <v>448.30790049413969</v>
      </c>
      <c r="E24" s="442">
        <v>44682</v>
      </c>
      <c r="F24" s="443">
        <f t="shared" si="3"/>
        <v>251183.78491264486</v>
      </c>
      <c r="G24" s="444">
        <v>110521832.5420406</v>
      </c>
      <c r="H24" s="445">
        <f t="shared" si="0"/>
        <v>-77365.282779428424</v>
      </c>
      <c r="I24" s="446">
        <f t="shared" si="1"/>
        <v>173818.50213321642</v>
      </c>
      <c r="J24" s="447">
        <v>3.2000000000000001E-2</v>
      </c>
      <c r="K24" s="428">
        <v>31</v>
      </c>
      <c r="L24" s="448">
        <f t="shared" si="2"/>
        <v>682.66935515984574</v>
      </c>
    </row>
    <row r="25" spans="1:12" x14ac:dyDescent="0.2">
      <c r="A25" s="147" t="s">
        <v>506</v>
      </c>
      <c r="B25" s="148" t="s">
        <v>505</v>
      </c>
      <c r="C25" s="239">
        <f>SUM(C22:C24)</f>
        <v>-52949.337070077396</v>
      </c>
      <c r="E25" s="442">
        <v>44713</v>
      </c>
      <c r="F25" s="443">
        <f t="shared" si="3"/>
        <v>174501.17148837628</v>
      </c>
      <c r="G25" s="444">
        <v>103001686.54058684</v>
      </c>
      <c r="H25" s="445">
        <f t="shared" si="0"/>
        <v>-72101.180578410786</v>
      </c>
      <c r="I25" s="446">
        <f t="shared" si="1"/>
        <v>102399.99090996549</v>
      </c>
      <c r="J25" s="447">
        <v>3.2000000000000001E-2</v>
      </c>
      <c r="K25" s="428">
        <v>30</v>
      </c>
      <c r="L25" s="448">
        <f t="shared" si="2"/>
        <v>458.96198528449651</v>
      </c>
    </row>
    <row r="26" spans="1:12" x14ac:dyDescent="0.2">
      <c r="E26" s="442">
        <v>44743</v>
      </c>
      <c r="F26" s="443">
        <f t="shared" si="3"/>
        <v>102858.95289524998</v>
      </c>
      <c r="G26" s="444">
        <v>101596855.57740289</v>
      </c>
      <c r="H26" s="445">
        <f t="shared" si="0"/>
        <v>-71117.798904182026</v>
      </c>
      <c r="I26" s="446">
        <f t="shared" si="1"/>
        <v>31741.153991067957</v>
      </c>
      <c r="J26" s="447">
        <v>3.2000000000000001E-2</v>
      </c>
      <c r="K26" s="428">
        <v>31</v>
      </c>
      <c r="L26" s="448">
        <f t="shared" si="2"/>
        <v>279.55090759476161</v>
      </c>
    </row>
    <row r="27" spans="1:12" x14ac:dyDescent="0.2">
      <c r="E27" s="442">
        <v>44774</v>
      </c>
      <c r="F27" s="443">
        <f t="shared" si="3"/>
        <v>32020.70489866272</v>
      </c>
      <c r="G27" s="444">
        <v>111756349.75106573</v>
      </c>
      <c r="H27" s="445">
        <f t="shared" si="0"/>
        <v>-78229.444825746017</v>
      </c>
      <c r="I27" s="446">
        <f t="shared" si="1"/>
        <v>-46208.739927083298</v>
      </c>
      <c r="J27" s="447">
        <v>3.2000000000000001E-2</v>
      </c>
      <c r="K27" s="428">
        <v>31</v>
      </c>
      <c r="L27" s="448">
        <f t="shared" si="2"/>
        <v>87.026134957461423</v>
      </c>
    </row>
    <row r="28" spans="1:12" x14ac:dyDescent="0.2">
      <c r="E28" s="442">
        <v>44805</v>
      </c>
      <c r="F28" s="443">
        <f t="shared" si="3"/>
        <v>-46121.713792125833</v>
      </c>
      <c r="G28" s="444">
        <v>104686342.58201726</v>
      </c>
      <c r="H28" s="445">
        <f t="shared" si="0"/>
        <v>-73280.439807412084</v>
      </c>
      <c r="I28" s="446">
        <f t="shared" si="1"/>
        <v>-119402.15359953791</v>
      </c>
      <c r="J28" s="447">
        <v>3.2000000000000001E-2</v>
      </c>
      <c r="K28" s="428">
        <v>30</v>
      </c>
      <c r="L28" s="448"/>
    </row>
    <row r="29" spans="1:12" x14ac:dyDescent="0.2">
      <c r="E29" s="442">
        <v>44835</v>
      </c>
      <c r="F29" s="443">
        <f t="shared" si="3"/>
        <v>-119402.15359953791</v>
      </c>
      <c r="G29" s="444">
        <v>101031887.96128117</v>
      </c>
      <c r="H29" s="445">
        <f t="shared" si="0"/>
        <v>-70722.321572896821</v>
      </c>
      <c r="I29" s="446">
        <f t="shared" si="1"/>
        <v>-190124.47517243473</v>
      </c>
      <c r="J29" s="447">
        <v>3.4500000000000003E-2</v>
      </c>
      <c r="K29" s="428">
        <v>31</v>
      </c>
      <c r="L29" s="448"/>
    </row>
    <row r="30" spans="1:12" x14ac:dyDescent="0.2">
      <c r="E30" s="442">
        <v>44866</v>
      </c>
      <c r="F30" s="443">
        <f t="shared" si="3"/>
        <v>-190124.47517243473</v>
      </c>
      <c r="G30" s="444">
        <v>114058969.02323076</v>
      </c>
      <c r="H30" s="445">
        <f t="shared" si="0"/>
        <v>-79841.278316261538</v>
      </c>
      <c r="I30" s="446">
        <f t="shared" si="1"/>
        <v>-269965.7534886963</v>
      </c>
      <c r="J30" s="447">
        <v>3.4500000000000003E-2</v>
      </c>
      <c r="K30" s="428">
        <v>30</v>
      </c>
      <c r="L30" s="448"/>
    </row>
    <row r="31" spans="1:12" x14ac:dyDescent="0.2">
      <c r="E31" s="442">
        <v>44896</v>
      </c>
      <c r="F31" s="443">
        <f t="shared" si="3"/>
        <v>-269965.7534886963</v>
      </c>
      <c r="G31" s="444">
        <v>124818653.71541214</v>
      </c>
      <c r="H31" s="445">
        <f t="shared" si="0"/>
        <v>-87373.057600788496</v>
      </c>
      <c r="I31" s="446">
        <f t="shared" si="1"/>
        <v>-357338.81108948478</v>
      </c>
      <c r="J31" s="447">
        <v>3.4500000000000003E-2</v>
      </c>
      <c r="K31" s="428">
        <v>31</v>
      </c>
      <c r="L31" s="448"/>
    </row>
    <row r="32" spans="1:12" x14ac:dyDescent="0.2">
      <c r="E32" s="449" t="s">
        <v>504</v>
      </c>
      <c r="F32" s="443">
        <f t="shared" si="3"/>
        <v>-357338.81108948478</v>
      </c>
      <c r="G32" s="446"/>
      <c r="H32" s="445"/>
      <c r="I32" s="446"/>
      <c r="J32" s="447"/>
      <c r="K32" s="428"/>
      <c r="L32" s="448"/>
    </row>
    <row r="33" spans="1:12" x14ac:dyDescent="0.2">
      <c r="E33" s="427" t="str">
        <f>+A21</f>
        <v>Forecast 2022 RORA Accrual to Customers</v>
      </c>
      <c r="F33" s="443">
        <v>500000</v>
      </c>
      <c r="G33" s="428"/>
      <c r="H33" s="428"/>
      <c r="I33" s="428"/>
      <c r="J33" s="428"/>
      <c r="K33" s="428"/>
      <c r="L33" s="429"/>
    </row>
    <row r="34" spans="1:12" x14ac:dyDescent="0.2">
      <c r="E34" s="442">
        <v>44927</v>
      </c>
      <c r="F34" s="443">
        <f>+F32+F33</f>
        <v>142661.18891051522</v>
      </c>
      <c r="G34" s="444">
        <v>139765734.89093813</v>
      </c>
      <c r="H34" s="445">
        <f>-H$16*G34</f>
        <v>-97836.014423656699</v>
      </c>
      <c r="I34" s="446">
        <f>+F34+H34</f>
        <v>44825.174486858523</v>
      </c>
      <c r="J34" s="447">
        <v>3.7000000000000005E-2</v>
      </c>
      <c r="K34" s="428">
        <v>31</v>
      </c>
      <c r="L34" s="448">
        <f>F34*J34*(K34/365)</f>
        <v>448.30790049413969</v>
      </c>
    </row>
    <row r="35" spans="1:12" x14ac:dyDescent="0.2">
      <c r="E35" s="442">
        <v>44958</v>
      </c>
      <c r="F35" s="443">
        <f>I34+L34</f>
        <v>45273.482387352662</v>
      </c>
      <c r="G35" s="444">
        <v>140318313.51061437</v>
      </c>
      <c r="H35" s="445">
        <f>-H$16*G35</f>
        <v>-98222.819457430058</v>
      </c>
      <c r="I35" s="446">
        <f>+F35+H35</f>
        <v>-52949.337070077396</v>
      </c>
      <c r="J35" s="447">
        <v>3.7000000000000005E-2</v>
      </c>
      <c r="K35" s="428">
        <v>28</v>
      </c>
      <c r="L35" s="448">
        <v>0</v>
      </c>
    </row>
    <row r="36" spans="1:12" x14ac:dyDescent="0.2">
      <c r="E36" s="450"/>
      <c r="F36" s="451"/>
      <c r="G36" s="451"/>
      <c r="H36" s="451"/>
      <c r="I36" s="451"/>
      <c r="J36" s="451"/>
      <c r="K36" s="451"/>
      <c r="L36" s="452"/>
    </row>
    <row r="39" spans="1:12" ht="15" x14ac:dyDescent="0.25">
      <c r="A39" s="737" t="s">
        <v>539</v>
      </c>
      <c r="B39" s="738"/>
    </row>
    <row r="40" spans="1:12" x14ac:dyDescent="0.2">
      <c r="A40" s="427" t="s">
        <v>540</v>
      </c>
      <c r="B40" s="453">
        <v>196801</v>
      </c>
    </row>
    <row r="41" spans="1:12" x14ac:dyDescent="0.2">
      <c r="A41" s="427" t="s">
        <v>541</v>
      </c>
      <c r="B41" s="454">
        <v>12</v>
      </c>
    </row>
    <row r="42" spans="1:12" x14ac:dyDescent="0.2">
      <c r="A42" s="427"/>
      <c r="B42" s="453">
        <f>+B40*12</f>
        <v>2361612</v>
      </c>
    </row>
    <row r="43" spans="1:12" x14ac:dyDescent="0.2">
      <c r="A43" s="427" t="s">
        <v>542</v>
      </c>
      <c r="B43" s="455">
        <v>-282966</v>
      </c>
    </row>
    <row r="44" spans="1:12" x14ac:dyDescent="0.2">
      <c r="A44" s="427" t="s">
        <v>543</v>
      </c>
      <c r="B44" s="456">
        <f>+C25</f>
        <v>-52949.337070077396</v>
      </c>
    </row>
    <row r="45" spans="1:12" ht="15" x14ac:dyDescent="0.25">
      <c r="A45" s="457" t="s">
        <v>544</v>
      </c>
      <c r="B45" s="458">
        <f>SUM(B42:B44)</f>
        <v>2025696.6629299226</v>
      </c>
    </row>
    <row r="49" spans="1:6" ht="15" x14ac:dyDescent="0.25">
      <c r="A49" s="725" t="s">
        <v>552</v>
      </c>
      <c r="B49" s="726"/>
      <c r="C49" s="726"/>
      <c r="D49" s="726"/>
      <c r="E49" s="726"/>
      <c r="F49" s="727"/>
    </row>
    <row r="50" spans="1:6" ht="15" x14ac:dyDescent="0.25">
      <c r="A50" s="731" t="s">
        <v>553</v>
      </c>
      <c r="B50" s="732"/>
      <c r="C50" s="732"/>
      <c r="D50" s="732"/>
      <c r="E50" s="732"/>
      <c r="F50" s="733"/>
    </row>
    <row r="51" spans="1:6" ht="15" x14ac:dyDescent="0.25">
      <c r="A51" s="734" t="s">
        <v>554</v>
      </c>
      <c r="B51" s="735"/>
      <c r="C51" s="735"/>
      <c r="D51" s="735"/>
      <c r="E51" s="735"/>
      <c r="F51" s="736"/>
    </row>
    <row r="52" spans="1:6" ht="45" x14ac:dyDescent="0.25">
      <c r="A52" s="424" t="s">
        <v>27</v>
      </c>
      <c r="B52" s="425" t="s">
        <v>516</v>
      </c>
      <c r="C52" s="424" t="s">
        <v>555</v>
      </c>
      <c r="D52" s="424" t="s">
        <v>556</v>
      </c>
      <c r="E52" s="424" t="s">
        <v>557</v>
      </c>
      <c r="F52" s="424" t="s">
        <v>5</v>
      </c>
    </row>
    <row r="53" spans="1:6" x14ac:dyDescent="0.2">
      <c r="A53" s="427"/>
      <c r="B53" s="428"/>
      <c r="C53" s="428"/>
      <c r="D53" s="428"/>
      <c r="E53" s="428"/>
      <c r="F53" s="429"/>
    </row>
    <row r="54" spans="1:6" x14ac:dyDescent="0.2">
      <c r="A54" s="427"/>
      <c r="B54" s="430"/>
      <c r="C54" s="430"/>
      <c r="D54" s="430"/>
      <c r="E54" s="430"/>
      <c r="F54" s="431"/>
    </row>
    <row r="55" spans="1:6" x14ac:dyDescent="0.2">
      <c r="A55" s="427"/>
      <c r="B55" s="430"/>
      <c r="C55" s="430"/>
      <c r="D55" s="430"/>
      <c r="E55" s="430"/>
      <c r="F55" s="431"/>
    </row>
    <row r="56" spans="1:6" x14ac:dyDescent="0.2">
      <c r="A56" s="432">
        <v>44197</v>
      </c>
      <c r="B56" s="433">
        <v>130048511</v>
      </c>
      <c r="C56" s="430">
        <f>-B56*0.0036</f>
        <v>-468174.63959999999</v>
      </c>
      <c r="D56" s="430"/>
      <c r="E56" s="434">
        <f>+E57</f>
        <v>431874.21</v>
      </c>
      <c r="F56" s="431">
        <f>+C54+SUM(C56:E56)</f>
        <v>-36300.429599999974</v>
      </c>
    </row>
    <row r="57" spans="1:6" x14ac:dyDescent="0.2">
      <c r="A57" s="432">
        <v>44228</v>
      </c>
      <c r="B57" s="433">
        <v>126323228</v>
      </c>
      <c r="C57" s="430">
        <f>-B57*0.0036</f>
        <v>-454763.62079999998</v>
      </c>
      <c r="D57" s="430"/>
      <c r="E57" s="434">
        <v>431874.21</v>
      </c>
      <c r="F57" s="431">
        <f t="shared" ref="F57:F82" si="4">+F56+C57+D57+E57</f>
        <v>-59189.840399999928</v>
      </c>
    </row>
    <row r="58" spans="1:6" x14ac:dyDescent="0.2">
      <c r="A58" s="432">
        <v>44256</v>
      </c>
      <c r="B58" s="433">
        <v>120377419</v>
      </c>
      <c r="C58" s="430">
        <f>-B58*0.0036</f>
        <v>-433358.7084</v>
      </c>
      <c r="D58" s="430">
        <v>-85799.27</v>
      </c>
      <c r="E58" s="434">
        <v>431874.21</v>
      </c>
      <c r="F58" s="431">
        <f t="shared" si="4"/>
        <v>-146473.60879999987</v>
      </c>
    </row>
    <row r="59" spans="1:6" x14ac:dyDescent="0.2">
      <c r="A59" s="432">
        <v>44287</v>
      </c>
      <c r="B59" s="433">
        <v>113615500</v>
      </c>
      <c r="C59" s="430">
        <f>-B59*0.0036</f>
        <v>-409015.8</v>
      </c>
      <c r="D59" s="430">
        <v>-3362.73</v>
      </c>
      <c r="E59" s="434">
        <v>431874.21</v>
      </c>
      <c r="F59" s="431">
        <f t="shared" si="4"/>
        <v>-126977.92879999982</v>
      </c>
    </row>
    <row r="60" spans="1:6" x14ac:dyDescent="0.2">
      <c r="A60" s="432">
        <v>44317</v>
      </c>
      <c r="B60" s="433">
        <v>107417118</v>
      </c>
      <c r="C60" s="430">
        <f t="shared" ref="C60:C82" si="5">-B60*0.0036</f>
        <v>-386701.62479999999</v>
      </c>
      <c r="D60" s="430">
        <f>-30359.74-1189.89</f>
        <v>-31549.63</v>
      </c>
      <c r="E60" s="434">
        <v>431874.21</v>
      </c>
      <c r="F60" s="431">
        <f t="shared" si="4"/>
        <v>-113354.97359999974</v>
      </c>
    </row>
    <row r="61" spans="1:6" x14ac:dyDescent="0.2">
      <c r="A61" s="432">
        <v>44348</v>
      </c>
      <c r="B61" s="433">
        <v>94114095</v>
      </c>
      <c r="C61" s="430">
        <f t="shared" si="5"/>
        <v>-338810.74199999997</v>
      </c>
      <c r="D61" s="430"/>
      <c r="E61" s="434">
        <v>431874.21</v>
      </c>
      <c r="F61" s="431">
        <f t="shared" si="4"/>
        <v>-20291.505599999684</v>
      </c>
    </row>
    <row r="62" spans="1:6" x14ac:dyDescent="0.2">
      <c r="A62" s="432">
        <v>44378</v>
      </c>
      <c r="B62" s="433">
        <v>98495179</v>
      </c>
      <c r="C62" s="430">
        <f t="shared" si="5"/>
        <v>-354582.64439999999</v>
      </c>
      <c r="D62" s="430"/>
      <c r="E62" s="434">
        <v>431874.21</v>
      </c>
      <c r="F62" s="431">
        <f t="shared" si="4"/>
        <v>57000.060000000347</v>
      </c>
    </row>
    <row r="63" spans="1:6" x14ac:dyDescent="0.2">
      <c r="A63" s="432">
        <v>44409</v>
      </c>
      <c r="B63" s="433">
        <v>103709632.99999999</v>
      </c>
      <c r="C63" s="430">
        <f t="shared" si="5"/>
        <v>-373354.67879999994</v>
      </c>
      <c r="D63" s="430"/>
      <c r="E63" s="434">
        <v>431874.21</v>
      </c>
      <c r="F63" s="431">
        <f t="shared" si="4"/>
        <v>115519.59120000043</v>
      </c>
    </row>
    <row r="64" spans="1:6" x14ac:dyDescent="0.2">
      <c r="A64" s="432">
        <v>44440</v>
      </c>
      <c r="B64" s="433">
        <v>105526889.00000001</v>
      </c>
      <c r="C64" s="430">
        <f t="shared" si="5"/>
        <v>-379896.80040000007</v>
      </c>
      <c r="D64" s="430"/>
      <c r="E64" s="434">
        <v>431874.21</v>
      </c>
      <c r="F64" s="431">
        <f t="shared" si="4"/>
        <v>167497.00080000039</v>
      </c>
    </row>
    <row r="65" spans="1:6" x14ac:dyDescent="0.2">
      <c r="A65" s="432">
        <v>44470</v>
      </c>
      <c r="B65" s="433">
        <v>99088370.000000015</v>
      </c>
      <c r="C65" s="430">
        <f t="shared" si="5"/>
        <v>-356718.13200000004</v>
      </c>
      <c r="D65" s="430"/>
      <c r="E65" s="434">
        <v>431874.21</v>
      </c>
      <c r="F65" s="431">
        <f t="shared" si="4"/>
        <v>242653.07880000037</v>
      </c>
    </row>
    <row r="66" spans="1:6" x14ac:dyDescent="0.2">
      <c r="A66" s="432">
        <v>44501</v>
      </c>
      <c r="B66" s="433">
        <v>105997324</v>
      </c>
      <c r="C66" s="430">
        <f t="shared" si="5"/>
        <v>-381590.3664</v>
      </c>
      <c r="D66" s="430"/>
      <c r="E66" s="434">
        <v>431874.21</v>
      </c>
      <c r="F66" s="431">
        <f t="shared" si="4"/>
        <v>292936.92240000039</v>
      </c>
    </row>
    <row r="67" spans="1:6" x14ac:dyDescent="0.2">
      <c r="A67" s="432">
        <v>44531</v>
      </c>
      <c r="B67" s="433">
        <v>121286489.99999999</v>
      </c>
      <c r="C67" s="430">
        <f t="shared" si="5"/>
        <v>-436631.36399999994</v>
      </c>
      <c r="D67" s="430"/>
      <c r="E67" s="434">
        <v>431874.21</v>
      </c>
      <c r="F67" s="431">
        <f t="shared" si="4"/>
        <v>288179.76840000047</v>
      </c>
    </row>
    <row r="68" spans="1:6" x14ac:dyDescent="0.2">
      <c r="A68" s="432">
        <v>44562</v>
      </c>
      <c r="B68" s="433">
        <v>140233165.44523516</v>
      </c>
      <c r="C68" s="430">
        <f t="shared" si="5"/>
        <v>-504839.39560284658</v>
      </c>
      <c r="D68" s="430"/>
      <c r="E68" s="434">
        <v>431874.21</v>
      </c>
      <c r="F68" s="431">
        <f t="shared" si="4"/>
        <v>215214.58279715391</v>
      </c>
    </row>
    <row r="69" spans="1:6" x14ac:dyDescent="0.2">
      <c r="A69" s="432">
        <v>44593</v>
      </c>
      <c r="B69" s="433">
        <v>140862647.56358179</v>
      </c>
      <c r="C69" s="430">
        <f t="shared" si="5"/>
        <v>-507105.53122889443</v>
      </c>
      <c r="D69" s="430"/>
      <c r="E69" s="434">
        <v>431874.21</v>
      </c>
      <c r="F69" s="431">
        <f t="shared" si="4"/>
        <v>139983.26156825951</v>
      </c>
    </row>
    <row r="70" spans="1:6" x14ac:dyDescent="0.2">
      <c r="A70" s="432">
        <v>44621</v>
      </c>
      <c r="B70" s="433">
        <v>126739370.33711989</v>
      </c>
      <c r="C70" s="430">
        <f t="shared" si="5"/>
        <v>-456261.73321363161</v>
      </c>
      <c r="D70" s="430"/>
      <c r="E70" s="434">
        <v>431874.21</v>
      </c>
      <c r="F70" s="431">
        <f t="shared" si="4"/>
        <v>115595.73835462792</v>
      </c>
    </row>
    <row r="71" spans="1:6" x14ac:dyDescent="0.2">
      <c r="A71" s="432">
        <v>44652</v>
      </c>
      <c r="B71" s="433">
        <v>117551899.32949804</v>
      </c>
      <c r="C71" s="430">
        <f t="shared" si="5"/>
        <v>-423186.83758619294</v>
      </c>
      <c r="D71" s="430"/>
      <c r="E71" s="434">
        <v>431874.21</v>
      </c>
      <c r="F71" s="431">
        <f t="shared" si="4"/>
        <v>124283.110768435</v>
      </c>
    </row>
    <row r="72" spans="1:6" x14ac:dyDescent="0.2">
      <c r="A72" s="432">
        <v>44682</v>
      </c>
      <c r="B72" s="433">
        <v>110521832.5420406</v>
      </c>
      <c r="C72" s="430">
        <f t="shared" si="5"/>
        <v>-397878.59715134616</v>
      </c>
      <c r="D72" s="430"/>
      <c r="E72" s="434">
        <v>431874.21</v>
      </c>
      <c r="F72" s="431">
        <f t="shared" si="4"/>
        <v>158278.72361708886</v>
      </c>
    </row>
    <row r="73" spans="1:6" x14ac:dyDescent="0.2">
      <c r="A73" s="432">
        <v>44713</v>
      </c>
      <c r="B73" s="433">
        <v>103001686.54058684</v>
      </c>
      <c r="C73" s="430">
        <f t="shared" si="5"/>
        <v>-370806.07154611265</v>
      </c>
      <c r="D73" s="430"/>
      <c r="E73" s="434">
        <v>431874.21</v>
      </c>
      <c r="F73" s="431">
        <f t="shared" si="4"/>
        <v>219346.86207097623</v>
      </c>
    </row>
    <row r="74" spans="1:6" x14ac:dyDescent="0.2">
      <c r="A74" s="432">
        <v>44743</v>
      </c>
      <c r="B74" s="433">
        <v>101596855.57740289</v>
      </c>
      <c r="C74" s="430">
        <f t="shared" si="5"/>
        <v>-365748.68007865042</v>
      </c>
      <c r="D74" s="430"/>
      <c r="E74" s="434">
        <v>431874.21</v>
      </c>
      <c r="F74" s="431">
        <f t="shared" si="4"/>
        <v>285472.39199232584</v>
      </c>
    </row>
    <row r="75" spans="1:6" x14ac:dyDescent="0.2">
      <c r="A75" s="432">
        <v>44774</v>
      </c>
      <c r="B75" s="433">
        <v>111756349.75106573</v>
      </c>
      <c r="C75" s="430">
        <f t="shared" si="5"/>
        <v>-402322.85910383664</v>
      </c>
      <c r="D75" s="430"/>
      <c r="E75" s="434">
        <v>431874.21</v>
      </c>
      <c r="F75" s="431">
        <f t="shared" si="4"/>
        <v>315023.74288848921</v>
      </c>
    </row>
    <row r="76" spans="1:6" x14ac:dyDescent="0.2">
      <c r="A76" s="432">
        <v>44805</v>
      </c>
      <c r="B76" s="433">
        <v>104686342.58201726</v>
      </c>
      <c r="C76" s="430">
        <f t="shared" si="5"/>
        <v>-376870.83329526213</v>
      </c>
      <c r="D76" s="430"/>
      <c r="E76" s="434">
        <v>431874.21</v>
      </c>
      <c r="F76" s="431">
        <f t="shared" si="4"/>
        <v>370027.11959322711</v>
      </c>
    </row>
    <row r="77" spans="1:6" x14ac:dyDescent="0.2">
      <c r="A77" s="432">
        <v>44835</v>
      </c>
      <c r="B77" s="433">
        <v>101031887.96128117</v>
      </c>
      <c r="C77" s="430">
        <f t="shared" si="5"/>
        <v>-363714.79666061216</v>
      </c>
      <c r="D77" s="430"/>
      <c r="E77" s="434">
        <v>431874.21</v>
      </c>
      <c r="F77" s="431">
        <f t="shared" si="4"/>
        <v>438186.53293261497</v>
      </c>
    </row>
    <row r="78" spans="1:6" x14ac:dyDescent="0.2">
      <c r="A78" s="432">
        <v>44866</v>
      </c>
      <c r="B78" s="433">
        <v>114058969.02323076</v>
      </c>
      <c r="C78" s="430">
        <f t="shared" si="5"/>
        <v>-410612.28848363075</v>
      </c>
      <c r="D78" s="430"/>
      <c r="E78" s="434">
        <v>431874.21</v>
      </c>
      <c r="F78" s="431">
        <f t="shared" si="4"/>
        <v>459448.45444898424</v>
      </c>
    </row>
    <row r="79" spans="1:6" x14ac:dyDescent="0.2">
      <c r="A79" s="432">
        <v>44896</v>
      </c>
      <c r="B79" s="433">
        <v>124818653.71541214</v>
      </c>
      <c r="C79" s="430">
        <f t="shared" si="5"/>
        <v>-449347.1533754837</v>
      </c>
      <c r="D79" s="430"/>
      <c r="E79" s="434">
        <v>431874.21</v>
      </c>
      <c r="F79" s="431">
        <f t="shared" si="4"/>
        <v>441975.51107350056</v>
      </c>
    </row>
    <row r="80" spans="1:6" x14ac:dyDescent="0.2">
      <c r="A80" s="432">
        <v>44927</v>
      </c>
      <c r="B80" s="433">
        <v>139765734.89093813</v>
      </c>
      <c r="C80" s="430">
        <f t="shared" si="5"/>
        <v>-503156.64560737729</v>
      </c>
      <c r="D80" s="430"/>
      <c r="E80" s="434">
        <v>431874.21</v>
      </c>
      <c r="F80" s="431">
        <f t="shared" si="4"/>
        <v>370693.07546612329</v>
      </c>
    </row>
    <row r="81" spans="1:6" x14ac:dyDescent="0.2">
      <c r="A81" s="432">
        <v>44958</v>
      </c>
      <c r="B81" s="433">
        <v>140318313.51061437</v>
      </c>
      <c r="C81" s="430">
        <f t="shared" si="5"/>
        <v>-505145.92863821168</v>
      </c>
      <c r="D81" s="430"/>
      <c r="E81" s="434">
        <v>431874.21</v>
      </c>
      <c r="F81" s="431">
        <f t="shared" si="4"/>
        <v>297421.35682791163</v>
      </c>
    </row>
    <row r="82" spans="1:6" x14ac:dyDescent="0.2">
      <c r="A82" s="432">
        <v>44986</v>
      </c>
      <c r="B82" s="433">
        <v>63138378.807950601</v>
      </c>
      <c r="C82" s="430">
        <f t="shared" si="5"/>
        <v>-227298.16370862216</v>
      </c>
      <c r="D82" s="430"/>
      <c r="E82" s="434">
        <f>431874.21*0.5</f>
        <v>215937.10500000001</v>
      </c>
      <c r="F82" s="431">
        <f t="shared" si="4"/>
        <v>286060.29811928945</v>
      </c>
    </row>
    <row r="83" spans="1:6" x14ac:dyDescent="0.2">
      <c r="A83" s="435" t="s">
        <v>5</v>
      </c>
      <c r="B83" s="436">
        <f>SUM(B56:B82)+B54</f>
        <v>3066081843.5779757</v>
      </c>
      <c r="C83" s="436">
        <f t="shared" ref="C83:E83" si="6">SUM(C56:C82)+C54</f>
        <v>-11037894.636880711</v>
      </c>
      <c r="D83" s="436">
        <f t="shared" si="6"/>
        <v>-120711.63</v>
      </c>
      <c r="E83" s="436">
        <f t="shared" si="6"/>
        <v>11444666.565000007</v>
      </c>
      <c r="F83" s="437">
        <f>+C83+D83+E83</f>
        <v>286060.29811929539</v>
      </c>
    </row>
  </sheetData>
  <mergeCells count="10">
    <mergeCell ref="A51:F51"/>
    <mergeCell ref="A39:B39"/>
    <mergeCell ref="E15:L15"/>
    <mergeCell ref="A17:C17"/>
    <mergeCell ref="A16:C16"/>
    <mergeCell ref="A10:C10"/>
    <mergeCell ref="A49:F49"/>
    <mergeCell ref="A3:C3"/>
    <mergeCell ref="A2:C2"/>
    <mergeCell ref="A50:F50"/>
  </mergeCells>
  <printOptions horizontalCentered="1"/>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pageSetUpPr fitToPage="1"/>
  </sheetPr>
  <dimension ref="A1:O70"/>
  <sheetViews>
    <sheetView workbookViewId="0">
      <selection activeCell="G14" sqref="G14"/>
    </sheetView>
  </sheetViews>
  <sheetFormatPr defaultRowHeight="15" x14ac:dyDescent="0.25"/>
  <cols>
    <col min="1" max="1" width="58.42578125" bestFit="1" customWidth="1"/>
    <col min="2" max="5" width="13.7109375" bestFit="1" customWidth="1"/>
    <col min="6" max="6" width="15.28515625" bestFit="1" customWidth="1"/>
    <col min="7" max="7" width="15" bestFit="1" customWidth="1"/>
    <col min="8" max="9" width="16.140625" bestFit="1" customWidth="1"/>
    <col min="10" max="10" width="16" bestFit="1" customWidth="1"/>
    <col min="11" max="11" width="15.42578125" bestFit="1" customWidth="1"/>
    <col min="12" max="12" width="12.28515625" bestFit="1" customWidth="1"/>
    <col min="13" max="15" width="13.28515625" bestFit="1" customWidth="1"/>
  </cols>
  <sheetData>
    <row r="1" spans="1:15" x14ac:dyDescent="0.25">
      <c r="A1" s="716" t="s">
        <v>180</v>
      </c>
      <c r="B1" s="716"/>
      <c r="C1" s="716"/>
      <c r="D1" s="716"/>
      <c r="E1" s="716"/>
      <c r="F1" s="716"/>
      <c r="G1" s="79"/>
    </row>
    <row r="2" spans="1:15" x14ac:dyDescent="0.25">
      <c r="A2" s="716" t="e">
        <f>+'Other Reg Def'!#REF!</f>
        <v>#REF!</v>
      </c>
      <c r="B2" s="716"/>
      <c r="C2" s="716"/>
      <c r="D2" s="716"/>
      <c r="E2" s="716"/>
      <c r="F2" s="716"/>
      <c r="G2" s="79"/>
    </row>
    <row r="4" spans="1:15" x14ac:dyDescent="0.25">
      <c r="A4" s="569" t="s">
        <v>383</v>
      </c>
      <c r="B4" s="570"/>
      <c r="C4" s="570"/>
      <c r="D4" s="570"/>
      <c r="E4" s="570"/>
      <c r="F4" s="570"/>
      <c r="G4" s="570"/>
      <c r="H4" s="571"/>
    </row>
    <row r="5" spans="1:15" x14ac:dyDescent="0.25">
      <c r="A5" s="566" t="s">
        <v>87</v>
      </c>
      <c r="B5" s="567"/>
      <c r="C5" s="567"/>
      <c r="D5" s="567"/>
      <c r="E5" s="567"/>
      <c r="F5" s="567"/>
      <c r="G5" s="567"/>
      <c r="H5" s="568"/>
    </row>
    <row r="6" spans="1:15" x14ac:dyDescent="0.25">
      <c r="A6" s="19" t="s">
        <v>88</v>
      </c>
      <c r="B6" s="19">
        <f>+'ROE, Capital Structure, Divds'!B23</f>
        <v>2019</v>
      </c>
      <c r="C6" s="90">
        <f>+'ROE, Capital Structure, Divds'!C23</f>
        <v>2020</v>
      </c>
      <c r="D6" s="90">
        <f>+'ROE, Capital Structure, Divds'!D23</f>
        <v>2021</v>
      </c>
      <c r="E6" s="90">
        <f>+'ROE, Capital Structure, Divds'!E23</f>
        <v>2022</v>
      </c>
      <c r="F6" s="90">
        <f>+'ROE, Capital Structure, Divds'!F23</f>
        <v>2023</v>
      </c>
      <c r="G6" s="90">
        <f>+'ROE, Capital Structure, Divds'!G23</f>
        <v>2024</v>
      </c>
      <c r="H6" s="90">
        <f>+'ROE, Capital Structure, Divds'!H23</f>
        <v>2025</v>
      </c>
    </row>
    <row r="7" spans="1:15" x14ac:dyDescent="0.25">
      <c r="A7" s="118" t="s">
        <v>89</v>
      </c>
      <c r="B7" s="300">
        <v>679767857</v>
      </c>
      <c r="C7" s="300">
        <v>710793362</v>
      </c>
      <c r="D7" s="300">
        <v>692023952</v>
      </c>
      <c r="E7" s="300">
        <v>731172200</v>
      </c>
      <c r="F7" s="300">
        <v>775864000</v>
      </c>
      <c r="G7" s="300">
        <v>838369500</v>
      </c>
      <c r="H7" s="300">
        <v>899633900</v>
      </c>
      <c r="I7" s="2"/>
      <c r="J7" s="2"/>
    </row>
    <row r="8" spans="1:15" x14ac:dyDescent="0.25">
      <c r="A8" s="118" t="s">
        <v>90</v>
      </c>
      <c r="B8" s="118">
        <v>-3750888</v>
      </c>
      <c r="C8" s="118">
        <v>-2946394</v>
      </c>
      <c r="D8" s="118">
        <v>-2243480</v>
      </c>
      <c r="E8" s="118">
        <v>-3800000</v>
      </c>
      <c r="F8" s="118">
        <v>-8087900</v>
      </c>
      <c r="G8" s="118">
        <v>-18337400</v>
      </c>
      <c r="H8" s="118">
        <v>-13394600</v>
      </c>
      <c r="I8" s="2"/>
      <c r="J8" s="2"/>
      <c r="K8" s="2"/>
      <c r="L8" s="2"/>
      <c r="M8" s="2"/>
    </row>
    <row r="9" spans="1:15" x14ac:dyDescent="0.25">
      <c r="A9" s="118" t="s">
        <v>91</v>
      </c>
      <c r="B9" s="118">
        <v>-245078293</v>
      </c>
      <c r="C9" s="118">
        <v>-274481047</v>
      </c>
      <c r="D9" s="118">
        <v>-234036690</v>
      </c>
      <c r="E9" s="118">
        <v>-241760000</v>
      </c>
      <c r="F9" s="118">
        <v>-249434900</v>
      </c>
      <c r="G9" s="118">
        <v>-263752100</v>
      </c>
      <c r="H9" s="118">
        <v>-277575300</v>
      </c>
      <c r="I9" s="2"/>
      <c r="J9" s="2"/>
    </row>
    <row r="10" spans="1:15" x14ac:dyDescent="0.25">
      <c r="A10" s="330" t="s">
        <v>389</v>
      </c>
      <c r="B10" s="330">
        <f>SUM(B7:B9)</f>
        <v>430938676</v>
      </c>
      <c r="C10" s="330">
        <f t="shared" ref="C10:H10" si="0">SUM(C7:C9)</f>
        <v>433365921</v>
      </c>
      <c r="D10" s="330">
        <f t="shared" si="0"/>
        <v>455743782</v>
      </c>
      <c r="E10" s="330">
        <f t="shared" si="0"/>
        <v>485612200</v>
      </c>
      <c r="F10" s="330">
        <f t="shared" si="0"/>
        <v>518341200</v>
      </c>
      <c r="G10" s="330">
        <f t="shared" si="0"/>
        <v>556280000</v>
      </c>
      <c r="H10" s="330">
        <f t="shared" si="0"/>
        <v>608664000</v>
      </c>
      <c r="I10" s="2"/>
      <c r="J10" s="2"/>
    </row>
    <row r="11" spans="1:15" x14ac:dyDescent="0.25">
      <c r="A11" s="323" t="s">
        <v>179</v>
      </c>
      <c r="B11" s="118">
        <v>0</v>
      </c>
      <c r="C11" s="317">
        <v>10672276</v>
      </c>
      <c r="D11" s="317">
        <v>10672276</v>
      </c>
      <c r="E11" s="317">
        <v>10672300</v>
      </c>
      <c r="F11" s="317">
        <v>8537800</v>
      </c>
      <c r="G11" s="317">
        <v>6403400</v>
      </c>
      <c r="H11" s="317">
        <v>4268900</v>
      </c>
      <c r="I11" s="2"/>
      <c r="J11" s="2"/>
    </row>
    <row r="12" spans="1:15" x14ac:dyDescent="0.25">
      <c r="A12" s="316" t="s">
        <v>390</v>
      </c>
      <c r="B12" s="317">
        <v>2772689</v>
      </c>
      <c r="C12" s="317">
        <v>0</v>
      </c>
      <c r="D12" s="317">
        <v>5430574</v>
      </c>
      <c r="E12" s="317">
        <v>6791100</v>
      </c>
      <c r="F12" s="317">
        <v>4481700</v>
      </c>
      <c r="G12" s="317">
        <v>3281600</v>
      </c>
      <c r="H12" s="317">
        <v>481800</v>
      </c>
      <c r="I12" s="2"/>
      <c r="J12" s="2"/>
    </row>
    <row r="13" spans="1:15" x14ac:dyDescent="0.25">
      <c r="A13" s="317" t="s">
        <v>95</v>
      </c>
      <c r="B13" s="317">
        <v>4002494</v>
      </c>
      <c r="C13" s="317">
        <v>3984390</v>
      </c>
      <c r="D13" s="317">
        <v>4053205</v>
      </c>
      <c r="E13" s="317">
        <v>4150000</v>
      </c>
      <c r="F13" s="317">
        <v>4300000</v>
      </c>
      <c r="G13" s="317">
        <v>4450000</v>
      </c>
      <c r="H13" s="317">
        <v>4600000</v>
      </c>
      <c r="I13" s="2"/>
      <c r="J13" s="2"/>
      <c r="K13" s="2"/>
      <c r="L13" s="2"/>
      <c r="M13" s="2"/>
    </row>
    <row r="14" spans="1:15" x14ac:dyDescent="0.25">
      <c r="A14" s="118" t="s">
        <v>97</v>
      </c>
      <c r="B14" s="118">
        <v>2536000</v>
      </c>
      <c r="C14" s="118">
        <v>2691500</v>
      </c>
      <c r="D14" s="118">
        <v>1896100</v>
      </c>
      <c r="E14" s="118">
        <v>1758900</v>
      </c>
      <c r="F14" s="118">
        <v>1621700</v>
      </c>
      <c r="G14" s="118">
        <v>1484500</v>
      </c>
      <c r="H14" s="118">
        <v>1347300</v>
      </c>
      <c r="I14" s="2"/>
      <c r="J14" s="2"/>
      <c r="K14" s="2"/>
      <c r="L14" s="2"/>
      <c r="M14" s="2"/>
      <c r="N14" s="2"/>
      <c r="O14" s="2"/>
    </row>
    <row r="15" spans="1:15" ht="30" x14ac:dyDescent="0.25">
      <c r="A15" s="323" t="s">
        <v>230</v>
      </c>
      <c r="B15" s="324">
        <v>-1057328</v>
      </c>
      <c r="C15" s="324">
        <v>362731</v>
      </c>
      <c r="D15" s="324">
        <v>1789266.7100000002</v>
      </c>
      <c r="E15" s="324">
        <v>1789300</v>
      </c>
      <c r="F15" s="324">
        <v>1789300</v>
      </c>
      <c r="G15" s="324">
        <v>1789300</v>
      </c>
      <c r="H15" s="324">
        <v>1789300</v>
      </c>
      <c r="I15" s="2"/>
      <c r="J15" s="2"/>
    </row>
    <row r="16" spans="1:15" ht="30" x14ac:dyDescent="0.25">
      <c r="A16" s="320" t="s">
        <v>238</v>
      </c>
      <c r="B16" s="321">
        <f>93400+1399343</f>
        <v>1492743</v>
      </c>
      <c r="C16" s="321">
        <v>1399143</v>
      </c>
      <c r="D16" s="321">
        <v>1305544</v>
      </c>
      <c r="E16" s="321">
        <v>1212100</v>
      </c>
      <c r="F16" s="321">
        <v>1325300</v>
      </c>
      <c r="G16" s="321">
        <v>1136600</v>
      </c>
      <c r="H16" s="321">
        <v>947800</v>
      </c>
      <c r="I16" s="2"/>
      <c r="J16" s="2"/>
    </row>
    <row r="17" spans="1:11" x14ac:dyDescent="0.25">
      <c r="A17" s="317" t="s">
        <v>94</v>
      </c>
      <c r="B17" s="317">
        <v>961283</v>
      </c>
      <c r="C17" s="317">
        <v>947640</v>
      </c>
      <c r="D17" s="317">
        <v>1233893</v>
      </c>
      <c r="E17" s="317">
        <v>1213000</v>
      </c>
      <c r="F17" s="317">
        <v>1191100</v>
      </c>
      <c r="G17" s="317">
        <v>1567300</v>
      </c>
      <c r="H17" s="317">
        <v>1836700</v>
      </c>
      <c r="I17" s="2"/>
      <c r="J17" s="2"/>
    </row>
    <row r="18" spans="1:11" x14ac:dyDescent="0.25">
      <c r="A18" s="323" t="s">
        <v>181</v>
      </c>
      <c r="B18" s="118">
        <v>3002882</v>
      </c>
      <c r="C18" s="118">
        <v>0</v>
      </c>
      <c r="D18" s="118">
        <v>0</v>
      </c>
      <c r="E18" s="118">
        <v>0</v>
      </c>
      <c r="F18" s="118">
        <v>0</v>
      </c>
      <c r="G18" s="118">
        <v>0</v>
      </c>
      <c r="H18" s="118">
        <v>0</v>
      </c>
      <c r="I18" s="2"/>
      <c r="J18" s="2"/>
    </row>
    <row r="19" spans="1:11" x14ac:dyDescent="0.25">
      <c r="A19" s="318" t="s">
        <v>96</v>
      </c>
      <c r="B19" s="319">
        <v>127447</v>
      </c>
      <c r="C19" s="319">
        <v>149307</v>
      </c>
      <c r="D19" s="118">
        <v>0</v>
      </c>
      <c r="E19" s="118">
        <v>0</v>
      </c>
      <c r="F19" s="118">
        <v>0</v>
      </c>
      <c r="G19" s="118">
        <v>0</v>
      </c>
      <c r="H19" s="118">
        <v>0</v>
      </c>
      <c r="I19" s="2"/>
      <c r="J19" s="2"/>
    </row>
    <row r="20" spans="1:11" ht="30" x14ac:dyDescent="0.25">
      <c r="A20" s="316" t="s">
        <v>93</v>
      </c>
      <c r="B20" s="317">
        <v>-13522753</v>
      </c>
      <c r="C20" s="317">
        <v>-24318217</v>
      </c>
      <c r="D20" s="317">
        <v>-25439734</v>
      </c>
      <c r="E20" s="317">
        <v>-30120600</v>
      </c>
      <c r="F20" s="317">
        <v>-35826100</v>
      </c>
      <c r="G20" s="317">
        <v>-42055600</v>
      </c>
      <c r="H20" s="317">
        <v>-48828300</v>
      </c>
      <c r="I20" s="2"/>
      <c r="J20" s="2"/>
    </row>
    <row r="21" spans="1:11" x14ac:dyDescent="0.25">
      <c r="A21" s="316" t="s">
        <v>92</v>
      </c>
      <c r="B21" s="317">
        <v>-23691857</v>
      </c>
      <c r="C21" s="317">
        <v>-23313772</v>
      </c>
      <c r="D21" s="317">
        <v>-23493474</v>
      </c>
      <c r="E21" s="317">
        <v>-25484300</v>
      </c>
      <c r="F21" s="317">
        <v>-26091300</v>
      </c>
      <c r="G21" s="317">
        <v>-34577700</v>
      </c>
      <c r="H21" s="317">
        <v>-41351900</v>
      </c>
      <c r="I21" s="2"/>
      <c r="J21" s="2"/>
    </row>
    <row r="22" spans="1:11" x14ac:dyDescent="0.25">
      <c r="A22" s="320" t="s">
        <v>164</v>
      </c>
      <c r="B22" s="321">
        <v>-7631568</v>
      </c>
      <c r="C22" s="118">
        <v>-7415156</v>
      </c>
      <c r="D22" s="118">
        <v>-6905488</v>
      </c>
      <c r="E22" s="118">
        <v>-7064500</v>
      </c>
      <c r="F22" s="118">
        <v>-7223500</v>
      </c>
      <c r="G22" s="118">
        <v>-7382500</v>
      </c>
      <c r="H22" s="118">
        <v>-7541500</v>
      </c>
      <c r="I22" s="2"/>
      <c r="J22" s="2"/>
    </row>
    <row r="23" spans="1:11" x14ac:dyDescent="0.25">
      <c r="A23" s="322" t="s">
        <v>619</v>
      </c>
      <c r="B23" s="118">
        <v>-15453528</v>
      </c>
      <c r="C23" s="118">
        <v>-1435751</v>
      </c>
      <c r="D23" s="118">
        <v>-614863</v>
      </c>
      <c r="E23" s="118">
        <v>-142700</v>
      </c>
      <c r="F23" s="118">
        <v>0</v>
      </c>
      <c r="G23" s="118">
        <v>0</v>
      </c>
      <c r="H23" s="118">
        <v>0</v>
      </c>
      <c r="I23" s="2"/>
      <c r="J23" s="2"/>
      <c r="K23" s="3"/>
    </row>
    <row r="24" spans="1:11" x14ac:dyDescent="0.25">
      <c r="A24" s="323" t="s">
        <v>98</v>
      </c>
      <c r="B24" s="324"/>
      <c r="C24" s="324"/>
      <c r="D24" s="324"/>
      <c r="E24" s="324"/>
      <c r="F24" s="324"/>
      <c r="G24" s="324"/>
      <c r="H24" s="324"/>
      <c r="I24" s="2"/>
      <c r="J24" s="2"/>
    </row>
    <row r="25" spans="1:11" x14ac:dyDescent="0.25">
      <c r="A25" s="325" t="s">
        <v>99</v>
      </c>
      <c r="B25" s="325">
        <v>3240398.25</v>
      </c>
      <c r="C25" s="325">
        <v>3050557.25</v>
      </c>
      <c r="D25" s="325">
        <v>3098996</v>
      </c>
      <c r="E25" s="325">
        <v>3000000</v>
      </c>
      <c r="F25" s="325">
        <v>3000000</v>
      </c>
      <c r="G25" s="325">
        <v>3000000</v>
      </c>
      <c r="H25" s="325">
        <v>3000000</v>
      </c>
      <c r="I25" s="2"/>
      <c r="J25" s="2"/>
    </row>
    <row r="26" spans="1:11" x14ac:dyDescent="0.25">
      <c r="A26" s="55" t="s">
        <v>100</v>
      </c>
      <c r="B26" s="54">
        <v>5508778</v>
      </c>
      <c r="C26" s="103">
        <v>5661484</v>
      </c>
      <c r="D26" s="103">
        <v>6094173</v>
      </c>
      <c r="E26" s="103">
        <v>6426200</v>
      </c>
      <c r="F26" s="103">
        <v>6604700</v>
      </c>
      <c r="G26" s="103">
        <v>6902700</v>
      </c>
      <c r="H26" s="103">
        <v>7077100</v>
      </c>
      <c r="I26" s="2"/>
      <c r="J26" s="2"/>
    </row>
    <row r="27" spans="1:11" x14ac:dyDescent="0.25">
      <c r="A27" s="40" t="s">
        <v>101</v>
      </c>
      <c r="B27" s="52">
        <v>20999.987999999998</v>
      </c>
      <c r="C27" s="104">
        <v>71095.667759999997</v>
      </c>
      <c r="D27" s="104">
        <v>90000</v>
      </c>
      <c r="E27" s="104">
        <v>90000</v>
      </c>
      <c r="F27" s="104">
        <v>90000</v>
      </c>
      <c r="G27" s="104">
        <v>90000</v>
      </c>
      <c r="H27" s="104">
        <v>90000</v>
      </c>
      <c r="I27" s="2"/>
      <c r="J27" s="2"/>
    </row>
    <row r="28" spans="1:11" x14ac:dyDescent="0.25">
      <c r="A28" s="53" t="s">
        <v>102</v>
      </c>
      <c r="B28" s="53">
        <f>SUM(B10:B27)</f>
        <v>393247356.23799998</v>
      </c>
      <c r="C28" s="53">
        <f t="shared" ref="C28:H28" si="1">SUM(C10:C27)</f>
        <v>405873148.91776001</v>
      </c>
      <c r="D28" s="53">
        <f t="shared" si="1"/>
        <v>434954250.70999998</v>
      </c>
      <c r="E28" s="53">
        <f t="shared" si="1"/>
        <v>459903000</v>
      </c>
      <c r="F28" s="53">
        <f t="shared" si="1"/>
        <v>482141900</v>
      </c>
      <c r="G28" s="53">
        <f t="shared" si="1"/>
        <v>502369600</v>
      </c>
      <c r="H28" s="53">
        <f t="shared" si="1"/>
        <v>536381200</v>
      </c>
      <c r="I28" s="2"/>
      <c r="J28" s="2"/>
    </row>
    <row r="29" spans="1:11" x14ac:dyDescent="0.25">
      <c r="A29" s="38" t="s">
        <v>103</v>
      </c>
      <c r="B29" s="38">
        <f>ROUND(+(380628961+B28)/2,0)</f>
        <v>386938159</v>
      </c>
      <c r="C29" s="102">
        <f>ROUND(+(B28+C28)/2,0)</f>
        <v>399560253</v>
      </c>
      <c r="D29" s="102">
        <f>ROUND(+(C28+D28)/2,0)</f>
        <v>420413700</v>
      </c>
      <c r="E29" s="102">
        <f>ROUND(+(D28+E28)/2,-2)</f>
        <v>447428600</v>
      </c>
      <c r="F29" s="102">
        <f>ROUND(+(E28+F28)/2,-2)</f>
        <v>471022500</v>
      </c>
      <c r="G29" s="102">
        <f>ROUND(+(F28+G28)/2,-2)</f>
        <v>492255800</v>
      </c>
      <c r="H29" s="102">
        <f>ROUND(+(G28+H28)/2,-2)</f>
        <v>519375400</v>
      </c>
      <c r="I29" s="2"/>
      <c r="J29" s="2"/>
    </row>
    <row r="30" spans="1:11" x14ac:dyDescent="0.25">
      <c r="A30" s="132" t="s">
        <v>620</v>
      </c>
      <c r="B30" s="2"/>
      <c r="C30" s="2"/>
      <c r="D30" s="2"/>
      <c r="E30" s="2">
        <v>0</v>
      </c>
      <c r="F30" s="2">
        <v>0</v>
      </c>
      <c r="G30" s="2">
        <v>0</v>
      </c>
      <c r="H30" s="2">
        <v>0</v>
      </c>
      <c r="J30" s="2"/>
    </row>
    <row r="31" spans="1:11" hidden="1" x14ac:dyDescent="0.25">
      <c r="A31" s="4" t="s">
        <v>0</v>
      </c>
      <c r="B31" s="4"/>
      <c r="C31" s="7">
        <v>-396590000</v>
      </c>
      <c r="D31" s="7">
        <v>-425438100</v>
      </c>
      <c r="E31" s="7">
        <v>-450208300</v>
      </c>
      <c r="F31" s="7">
        <v>-492376900</v>
      </c>
      <c r="G31" s="2"/>
      <c r="H31" s="2"/>
      <c r="J31" s="2"/>
    </row>
    <row r="32" spans="1:11" hidden="1" x14ac:dyDescent="0.25">
      <c r="A32" s="7"/>
      <c r="B32" s="7"/>
      <c r="C32" s="7">
        <v>-399560300</v>
      </c>
      <c r="D32" s="7">
        <v>-420413700</v>
      </c>
      <c r="E32" s="7">
        <v>-447428600</v>
      </c>
      <c r="F32" s="7">
        <v>-492255800</v>
      </c>
      <c r="G32" s="2"/>
      <c r="H32" s="2"/>
      <c r="J32" s="2"/>
    </row>
    <row r="33" spans="1:12" hidden="1" x14ac:dyDescent="0.25">
      <c r="A33" s="3"/>
      <c r="B33" s="3">
        <f>366521282-B28</f>
        <v>-26726074.237999976</v>
      </c>
      <c r="D33" s="2"/>
      <c r="F33" s="2"/>
      <c r="G33" s="2"/>
      <c r="H33" s="2"/>
      <c r="J33" s="2"/>
    </row>
    <row r="34" spans="1:12" x14ac:dyDescent="0.25">
      <c r="A34" s="11"/>
      <c r="B34" s="11"/>
      <c r="C34" s="11"/>
      <c r="D34" s="11"/>
      <c r="E34" s="11"/>
      <c r="F34" s="11"/>
      <c r="G34" s="11"/>
      <c r="H34" s="11"/>
      <c r="J34" s="2"/>
    </row>
    <row r="35" spans="1:12" x14ac:dyDescent="0.25">
      <c r="A35" s="569" t="s">
        <v>86</v>
      </c>
      <c r="B35" s="570"/>
      <c r="C35" s="570"/>
      <c r="D35" s="570"/>
      <c r="E35" s="570"/>
      <c r="F35" s="570"/>
      <c r="G35" s="570"/>
      <c r="H35" s="571"/>
      <c r="J35" s="2"/>
    </row>
    <row r="36" spans="1:12" x14ac:dyDescent="0.25">
      <c r="A36" s="566" t="s">
        <v>104</v>
      </c>
      <c r="B36" s="567"/>
      <c r="C36" s="567"/>
      <c r="D36" s="567"/>
      <c r="E36" s="567"/>
      <c r="F36" s="567"/>
      <c r="G36" s="567"/>
      <c r="H36" s="568"/>
      <c r="J36" s="2"/>
    </row>
    <row r="37" spans="1:12" x14ac:dyDescent="0.25">
      <c r="A37" s="19"/>
      <c r="B37" s="19">
        <f t="shared" ref="B37:H37" si="2">+B6</f>
        <v>2019</v>
      </c>
      <c r="C37" s="19">
        <f t="shared" si="2"/>
        <v>2020</v>
      </c>
      <c r="D37" s="19">
        <f t="shared" si="2"/>
        <v>2021</v>
      </c>
      <c r="E37" s="19">
        <f t="shared" si="2"/>
        <v>2022</v>
      </c>
      <c r="F37" s="19">
        <f t="shared" si="2"/>
        <v>2023</v>
      </c>
      <c r="G37" s="19">
        <f t="shared" si="2"/>
        <v>2024</v>
      </c>
      <c r="H37" s="19">
        <f t="shared" si="2"/>
        <v>2025</v>
      </c>
      <c r="J37" s="2"/>
    </row>
    <row r="38" spans="1:12" x14ac:dyDescent="0.25">
      <c r="A38" s="50" t="s">
        <v>105</v>
      </c>
      <c r="B38" s="37">
        <f>+'Energy Sales &amp; Revenue'!B45</f>
        <v>210720777</v>
      </c>
      <c r="C38" s="37">
        <f>+'Energy Sales &amp; Revenue'!C45</f>
        <v>219432161</v>
      </c>
      <c r="D38" s="37">
        <f>+'Energy Sales &amp; Revenue'!D45</f>
        <v>225256810.52000001</v>
      </c>
      <c r="E38" s="37">
        <f>+'Energy Sales &amp; Revenue'!E45</f>
        <v>234179100</v>
      </c>
      <c r="F38" s="37">
        <f>+'Energy Sales &amp; Revenue'!F45</f>
        <v>249256500</v>
      </c>
      <c r="G38" s="37">
        <f>+'Energy Sales &amp; Revenue'!G45</f>
        <v>261902900</v>
      </c>
      <c r="H38" s="37">
        <f>+'Energy Sales &amp; Revenue'!H45</f>
        <v>273870900</v>
      </c>
      <c r="I38" s="2"/>
      <c r="J38" s="2"/>
      <c r="K38" s="8"/>
    </row>
    <row r="39" spans="1:12" x14ac:dyDescent="0.25">
      <c r="A39" s="50" t="s">
        <v>384</v>
      </c>
      <c r="B39" s="17">
        <f>-'Energy Supply'!B26</f>
        <v>-127020671</v>
      </c>
      <c r="C39" s="17">
        <f>-'Energy Supply'!C26</f>
        <v>-129519543</v>
      </c>
      <c r="D39" s="17">
        <f>-'Energy Supply'!D26</f>
        <v>-138545152.93000001</v>
      </c>
      <c r="E39" s="17">
        <f>-'Energy Supply'!E26</f>
        <v>-146028300</v>
      </c>
      <c r="F39" s="17">
        <f>-'Energy Supply'!F26</f>
        <v>-148885700</v>
      </c>
      <c r="G39" s="17">
        <f>-'Energy Supply'!G26</f>
        <v>-155484100</v>
      </c>
      <c r="H39" s="17">
        <f>-'Energy Supply'!H26</f>
        <v>-158798100</v>
      </c>
      <c r="I39" s="2"/>
      <c r="J39" s="2"/>
    </row>
    <row r="40" spans="1:12" x14ac:dyDescent="0.25">
      <c r="A40" s="50" t="s">
        <v>385</v>
      </c>
      <c r="B40" s="2">
        <v>-464059</v>
      </c>
      <c r="C40" s="17">
        <v>1332829</v>
      </c>
      <c r="D40" s="18">
        <f>'ECAM Account'!C8</f>
        <v>5430570.8313600123</v>
      </c>
      <c r="E40" s="18">
        <f>'ECAM Account'!D8</f>
        <v>5845900</v>
      </c>
      <c r="F40" s="18">
        <f>'ECAM Account'!E8</f>
        <v>4219300</v>
      </c>
      <c r="G40" s="18">
        <f>'ECAM Account'!F8</f>
        <v>3746500</v>
      </c>
      <c r="H40" s="18">
        <f>'ECAM Account'!G8</f>
        <v>728900</v>
      </c>
      <c r="I40" s="2"/>
    </row>
    <row r="41" spans="1:12" x14ac:dyDescent="0.25">
      <c r="A41" s="50" t="s">
        <v>316</v>
      </c>
      <c r="B41" s="17">
        <f>-'T &amp; D'!B9</f>
        <v>-16516178</v>
      </c>
      <c r="C41" s="17">
        <f>-'T &amp; D'!C9</f>
        <v>-17109744</v>
      </c>
      <c r="D41" s="17">
        <f>-'T &amp; D'!D9</f>
        <v>-18408555</v>
      </c>
      <c r="E41" s="17">
        <f>-'T &amp; D'!E9</f>
        <v>-19624500</v>
      </c>
      <c r="F41" s="17">
        <f>-'T &amp; D'!F9</f>
        <v>-21394300</v>
      </c>
      <c r="G41" s="17">
        <f>-'T &amp; D'!G9</f>
        <v>-22698600</v>
      </c>
      <c r="H41" s="17">
        <f>-'T &amp; D'!H9</f>
        <v>-23815400</v>
      </c>
      <c r="I41" s="2"/>
    </row>
    <row r="42" spans="1:12" x14ac:dyDescent="0.25">
      <c r="A42" s="50" t="s">
        <v>317</v>
      </c>
      <c r="B42" s="17">
        <f>-General!B12</f>
        <v>-9484755</v>
      </c>
      <c r="C42" s="17">
        <f>-General!C12</f>
        <v>-10634153</v>
      </c>
      <c r="D42" s="17">
        <f>-General!D12</f>
        <v>-12328885</v>
      </c>
      <c r="E42" s="17">
        <f>-General!E12</f>
        <v>-12853800</v>
      </c>
      <c r="F42" s="17">
        <f>-General!F12</f>
        <v>-13185000</v>
      </c>
      <c r="G42" s="17">
        <f>-General!G12</f>
        <v>-13558500</v>
      </c>
      <c r="H42" s="17">
        <f>-General!H12</f>
        <v>-13971700</v>
      </c>
      <c r="I42" s="2"/>
    </row>
    <row r="43" spans="1:12" x14ac:dyDescent="0.25">
      <c r="A43" s="50" t="s">
        <v>234</v>
      </c>
      <c r="B43" s="17">
        <f>-'Other Revenue &amp; Costs'!B34</f>
        <v>-23587836</v>
      </c>
      <c r="C43" s="17">
        <f>-'Other Revenue &amp; Costs'!C34</f>
        <v>-29444828</v>
      </c>
      <c r="D43" s="17">
        <f>-'Other Revenue &amp; Costs'!D34</f>
        <v>-26602261</v>
      </c>
      <c r="E43" s="17">
        <f>-'Other Revenue &amp; Costs'!E34</f>
        <v>-24209100</v>
      </c>
      <c r="F43" s="17">
        <f>-'Other Revenue &amp; Costs'!F34</f>
        <v>-29093700</v>
      </c>
      <c r="G43" s="17">
        <f>-'Other Revenue &amp; Costs'!G34</f>
        <v>-30785200</v>
      </c>
      <c r="H43" s="17">
        <f>-'Other Revenue &amp; Costs'!H34</f>
        <v>-32815900</v>
      </c>
      <c r="I43" s="2"/>
    </row>
    <row r="44" spans="1:12" x14ac:dyDescent="0.25">
      <c r="A44" s="50" t="s">
        <v>85</v>
      </c>
      <c r="B44" s="17">
        <f>-'Other Revenue &amp; Costs'!C73</f>
        <v>-13005</v>
      </c>
      <c r="C44" s="17">
        <f>-'Other Revenue &amp; Costs'!D73</f>
        <v>-13642</v>
      </c>
      <c r="D44" s="17">
        <f>-'Other Revenue &amp; Costs'!E73</f>
        <v>-14804</v>
      </c>
      <c r="E44" s="17">
        <f>-'Other Revenue &amp; Costs'!F73</f>
        <v>-20900</v>
      </c>
      <c r="F44" s="17">
        <f>-'Other Revenue &amp; Costs'!G73</f>
        <v>-21900</v>
      </c>
      <c r="G44" s="17">
        <f>-'Other Revenue &amp; Costs'!H73</f>
        <v>-23800</v>
      </c>
      <c r="H44" s="17">
        <f>-'Other Revenue &amp; Costs'!I73</f>
        <v>-30600</v>
      </c>
      <c r="I44" s="2"/>
    </row>
    <row r="45" spans="1:12" x14ac:dyDescent="0.25">
      <c r="A45" s="50" t="s">
        <v>106</v>
      </c>
      <c r="B45" s="17">
        <f>-'Other Revenue &amp; Costs'!B80</f>
        <v>-6483242</v>
      </c>
      <c r="C45" s="17">
        <f>-'Other Revenue &amp; Costs'!C80</f>
        <v>-6666061</v>
      </c>
      <c r="D45" s="17">
        <f>-'Other Revenue &amp; Costs'!D80</f>
        <v>-6970131</v>
      </c>
      <c r="E45" s="17">
        <f>-'Other Revenue &amp; Costs'!E80</f>
        <v>-7428900</v>
      </c>
      <c r="F45" s="17">
        <f>-'Other Revenue &amp; Costs'!F80</f>
        <v>-8459400</v>
      </c>
      <c r="G45" s="17">
        <f>-'Other Revenue &amp; Costs'!G80</f>
        <v>-8993600</v>
      </c>
      <c r="H45" s="17">
        <f>-'Other Revenue &amp; Costs'!H80</f>
        <v>-9538400</v>
      </c>
      <c r="I45" s="2"/>
    </row>
    <row r="46" spans="1:12" x14ac:dyDescent="0.25">
      <c r="A46" s="50" t="s">
        <v>107</v>
      </c>
      <c r="B46" s="37">
        <f>SUM(B38:B45)</f>
        <v>27151031</v>
      </c>
      <c r="C46" s="37">
        <f t="shared" ref="C46:H46" si="3">SUM(C38:C45)</f>
        <v>27377019</v>
      </c>
      <c r="D46" s="37">
        <f t="shared" si="3"/>
        <v>27817592.421360016</v>
      </c>
      <c r="E46" s="37">
        <f t="shared" si="3"/>
        <v>29859500</v>
      </c>
      <c r="F46" s="37">
        <f t="shared" si="3"/>
        <v>32435800</v>
      </c>
      <c r="G46" s="37">
        <f t="shared" si="3"/>
        <v>34105600</v>
      </c>
      <c r="H46" s="37">
        <f t="shared" si="3"/>
        <v>35629700</v>
      </c>
      <c r="I46" s="2"/>
      <c r="J46" s="8"/>
      <c r="K46" s="8"/>
      <c r="L46" s="8"/>
    </row>
    <row r="47" spans="1:12" x14ac:dyDescent="0.25">
      <c r="A47" s="51" t="s">
        <v>108</v>
      </c>
      <c r="B47" s="37">
        <f t="shared" ref="B47:H47" si="4">+B29</f>
        <v>386938159</v>
      </c>
      <c r="C47" s="20">
        <f t="shared" si="4"/>
        <v>399560253</v>
      </c>
      <c r="D47" s="20">
        <f t="shared" si="4"/>
        <v>420413700</v>
      </c>
      <c r="E47" s="20">
        <f t="shared" si="4"/>
        <v>447428600</v>
      </c>
      <c r="F47" s="20">
        <f t="shared" si="4"/>
        <v>471022500</v>
      </c>
      <c r="G47" s="20">
        <f t="shared" si="4"/>
        <v>492255800</v>
      </c>
      <c r="H47" s="20">
        <f t="shared" si="4"/>
        <v>519375400</v>
      </c>
      <c r="I47" s="2"/>
    </row>
    <row r="48" spans="1:12" ht="30" x14ac:dyDescent="0.25">
      <c r="A48" s="56" t="s">
        <v>109</v>
      </c>
      <c r="B48" s="57">
        <f t="shared" ref="B48" si="5">+B46/B47</f>
        <v>7.0168915544977312E-2</v>
      </c>
      <c r="C48" s="105">
        <f>+C46/C47</f>
        <v>6.8517873823650821E-2</v>
      </c>
      <c r="D48" s="105">
        <f t="shared" ref="D48:G48" si="6">+D46/D47</f>
        <v>6.6167188227595861E-2</v>
      </c>
      <c r="E48" s="105">
        <f t="shared" si="6"/>
        <v>6.6735787564764518E-2</v>
      </c>
      <c r="F48" s="105">
        <f t="shared" ref="F48" si="7">+F46/F47</f>
        <v>6.8862527798565887E-2</v>
      </c>
      <c r="G48" s="105">
        <f t="shared" si="6"/>
        <v>6.9284302998562947E-2</v>
      </c>
      <c r="H48" s="105">
        <f t="shared" ref="H48" si="8">+H46/H47</f>
        <v>6.8601054266336059E-2</v>
      </c>
    </row>
    <row r="49" spans="1:13" x14ac:dyDescent="0.25">
      <c r="D49" s="2"/>
    </row>
    <row r="50" spans="1:13" x14ac:dyDescent="0.25">
      <c r="D50" s="2"/>
      <c r="F50" s="13"/>
      <c r="G50" s="13"/>
      <c r="H50" s="13"/>
    </row>
    <row r="51" spans="1:13" x14ac:dyDescent="0.25">
      <c r="C51" s="2">
        <v>27377016</v>
      </c>
      <c r="D51" s="2">
        <v>27817591.266899988</v>
      </c>
      <c r="E51" s="2">
        <v>29859400</v>
      </c>
      <c r="F51" s="2">
        <v>32435800</v>
      </c>
      <c r="G51" s="2">
        <v>34105600</v>
      </c>
      <c r="H51" s="2">
        <v>35629700</v>
      </c>
    </row>
    <row r="53" spans="1:13" x14ac:dyDescent="0.25">
      <c r="C53" s="3">
        <f>+C51-C46</f>
        <v>-3</v>
      </c>
      <c r="D53" s="3">
        <f t="shared" ref="D53:E53" si="9">+D51-D46</f>
        <v>-1.1544600278139114</v>
      </c>
      <c r="E53" s="3">
        <f t="shared" si="9"/>
        <v>-100</v>
      </c>
      <c r="F53" s="3">
        <f>+F51-F46</f>
        <v>0</v>
      </c>
      <c r="G53" s="3">
        <f>+G51-G46</f>
        <v>0</v>
      </c>
      <c r="H53" s="3">
        <f>+H51-H46</f>
        <v>0</v>
      </c>
    </row>
    <row r="55" spans="1:13" x14ac:dyDescent="0.25">
      <c r="E55" s="3"/>
      <c r="F55" s="3"/>
      <c r="G55" s="3"/>
      <c r="H55" s="3"/>
    </row>
    <row r="56" spans="1:13" x14ac:dyDescent="0.25">
      <c r="E56" s="121"/>
      <c r="F56" s="121"/>
      <c r="G56" s="121"/>
      <c r="H56" s="121"/>
    </row>
    <row r="57" spans="1:13" x14ac:dyDescent="0.25">
      <c r="A57" s="514" t="s">
        <v>89</v>
      </c>
      <c r="B57" s="512"/>
      <c r="C57" s="512"/>
      <c r="D57" s="512"/>
      <c r="E57" s="19">
        <f>+E37</f>
        <v>2022</v>
      </c>
      <c r="F57" s="19">
        <f t="shared" ref="F57:H57" si="10">+F37</f>
        <v>2023</v>
      </c>
      <c r="G57" s="19">
        <f t="shared" si="10"/>
        <v>2024</v>
      </c>
      <c r="H57" s="19">
        <f t="shared" si="10"/>
        <v>2025</v>
      </c>
    </row>
    <row r="58" spans="1:13" x14ac:dyDescent="0.25">
      <c r="A58" s="27" t="s">
        <v>243</v>
      </c>
      <c r="B58" s="24"/>
      <c r="C58" s="24"/>
      <c r="D58" s="25"/>
      <c r="E58" s="508">
        <f>ROUND(+D7+D8+D9,-2)</f>
        <v>455743800</v>
      </c>
      <c r="F58" s="40">
        <f>ROUND(+E7+E8+E9,-2)</f>
        <v>485612200</v>
      </c>
      <c r="G58" s="40">
        <f>ROUND(+F7+F8+F9,-2)</f>
        <v>518341200</v>
      </c>
      <c r="H58" s="40">
        <f>ROUND(+G7+G8+G9,-2)</f>
        <v>556280000</v>
      </c>
    </row>
    <row r="59" spans="1:13" x14ac:dyDescent="0.25">
      <c r="A59" s="27" t="s">
        <v>245</v>
      </c>
      <c r="B59" s="24"/>
      <c r="C59" s="24"/>
      <c r="D59" s="25"/>
      <c r="E59" s="509">
        <v>47591700</v>
      </c>
      <c r="F59" s="18">
        <v>50404000</v>
      </c>
      <c r="G59" s="18">
        <v>64356000</v>
      </c>
      <c r="H59" s="18">
        <v>81107200</v>
      </c>
    </row>
    <row r="60" spans="1:13" x14ac:dyDescent="0.25">
      <c r="A60" s="27" t="s">
        <v>239</v>
      </c>
      <c r="B60" s="24"/>
      <c r="C60" s="24"/>
      <c r="D60" s="25"/>
      <c r="E60" s="510">
        <v>-25662900</v>
      </c>
      <c r="F60" s="17">
        <v>-28429300</v>
      </c>
      <c r="G60" s="17">
        <v>-30225500</v>
      </c>
      <c r="H60" s="17">
        <v>-32468500</v>
      </c>
    </row>
    <row r="61" spans="1:13" x14ac:dyDescent="0.25">
      <c r="A61" s="27" t="s">
        <v>240</v>
      </c>
      <c r="B61" s="24"/>
      <c r="C61" s="24"/>
      <c r="D61" s="25"/>
      <c r="E61" s="510">
        <v>7939600</v>
      </c>
      <c r="F61" s="17">
        <v>10754300</v>
      </c>
      <c r="G61" s="17">
        <v>3808300</v>
      </c>
      <c r="H61" s="17">
        <v>3745300</v>
      </c>
    </row>
    <row r="62" spans="1:13" x14ac:dyDescent="0.25">
      <c r="A62" s="27" t="s">
        <v>244</v>
      </c>
      <c r="B62" s="24"/>
      <c r="C62" s="24"/>
      <c r="D62" s="25"/>
      <c r="E62" s="511">
        <f>SUM(E58:E61)</f>
        <v>485612200</v>
      </c>
      <c r="F62" s="16">
        <f t="shared" ref="F62:H62" si="11">SUM(F58:F61)</f>
        <v>518341200</v>
      </c>
      <c r="G62" s="16">
        <f t="shared" si="11"/>
        <v>556280000</v>
      </c>
      <c r="H62" s="16">
        <f t="shared" si="11"/>
        <v>608664000</v>
      </c>
    </row>
    <row r="63" spans="1:13" x14ac:dyDescent="0.25">
      <c r="B63" s="513"/>
      <c r="C63" s="513"/>
      <c r="D63" s="513"/>
      <c r="E63" s="3"/>
      <c r="F63" s="3"/>
      <c r="G63" s="3"/>
      <c r="H63" s="3"/>
      <c r="J63" s="3"/>
      <c r="K63" s="3"/>
      <c r="L63" s="3"/>
      <c r="M63" s="3"/>
    </row>
    <row r="64" spans="1:13" x14ac:dyDescent="0.25">
      <c r="A64" s="27" t="s">
        <v>241</v>
      </c>
      <c r="B64" s="24"/>
      <c r="C64" s="24"/>
      <c r="D64" s="25"/>
      <c r="E64" s="24"/>
      <c r="F64" s="24"/>
      <c r="G64" s="24"/>
      <c r="H64" s="25"/>
      <c r="K64" s="3"/>
      <c r="L64" s="3"/>
      <c r="M64" s="3"/>
    </row>
    <row r="65" spans="1:8" x14ac:dyDescent="0.25">
      <c r="A65" s="27" t="str">
        <f>+A58</f>
        <v>Opening Balance, January 1</v>
      </c>
      <c r="B65" s="24"/>
      <c r="C65" s="24"/>
      <c r="D65" s="25"/>
      <c r="E65" s="508">
        <f>ROUND(+D21,-2)</f>
        <v>-23493500</v>
      </c>
      <c r="F65" s="40">
        <f>+E68</f>
        <v>-25484300</v>
      </c>
      <c r="G65" s="40">
        <f>+F68</f>
        <v>-26091200</v>
      </c>
      <c r="H65" s="40">
        <f>+G68</f>
        <v>-34577700</v>
      </c>
    </row>
    <row r="66" spans="1:8" x14ac:dyDescent="0.25">
      <c r="A66" s="27" t="s">
        <v>242</v>
      </c>
      <c r="B66" s="24"/>
      <c r="C66" s="24"/>
      <c r="D66" s="25"/>
      <c r="E66" s="509">
        <v>-3538000</v>
      </c>
      <c r="F66" s="18">
        <v>-2250000</v>
      </c>
      <c r="G66" s="18">
        <v>-10250000</v>
      </c>
      <c r="H66" s="18">
        <v>-8750000</v>
      </c>
    </row>
    <row r="67" spans="1:8" x14ac:dyDescent="0.25">
      <c r="A67" s="27" t="s">
        <v>2</v>
      </c>
      <c r="B67" s="24"/>
      <c r="C67" s="24"/>
      <c r="D67" s="25"/>
      <c r="E67" s="510">
        <v>1547200</v>
      </c>
      <c r="F67" s="17">
        <v>1643100</v>
      </c>
      <c r="G67" s="17">
        <v>1763500</v>
      </c>
      <c r="H67" s="17">
        <v>1975800</v>
      </c>
    </row>
    <row r="68" spans="1:8" x14ac:dyDescent="0.25">
      <c r="A68" s="27" t="str">
        <f>+A62</f>
        <v>Closing Balance, December 31</v>
      </c>
      <c r="B68" s="24"/>
      <c r="C68" s="24"/>
      <c r="D68" s="25"/>
      <c r="E68" s="511">
        <f>SUM(E65:E67)</f>
        <v>-25484300</v>
      </c>
      <c r="F68" s="16">
        <f>SUM(F65:F67)</f>
        <v>-26091200</v>
      </c>
      <c r="G68" s="16">
        <f t="shared" ref="G68:H68" si="12">SUM(G65:G67)</f>
        <v>-34577700</v>
      </c>
      <c r="H68" s="16">
        <f t="shared" si="12"/>
        <v>-41351900</v>
      </c>
    </row>
    <row r="69" spans="1:8" x14ac:dyDescent="0.25">
      <c r="B69" s="513"/>
      <c r="C69" s="513"/>
      <c r="D69" s="513"/>
    </row>
    <row r="70" spans="1:8" x14ac:dyDescent="0.25">
      <c r="A70" s="27" t="s">
        <v>246</v>
      </c>
      <c r="B70" s="24"/>
      <c r="C70" s="24"/>
      <c r="D70" s="25"/>
      <c r="E70" s="511">
        <f>+E60+E67</f>
        <v>-24115700</v>
      </c>
      <c r="F70" s="16">
        <f t="shared" ref="F70:H70" si="13">+F60+F67</f>
        <v>-26786200</v>
      </c>
      <c r="G70" s="16">
        <f t="shared" si="13"/>
        <v>-28462000</v>
      </c>
      <c r="H70" s="16">
        <f t="shared" si="13"/>
        <v>-30492700</v>
      </c>
    </row>
  </sheetData>
  <mergeCells count="6">
    <mergeCell ref="A36:H36"/>
    <mergeCell ref="A1:F1"/>
    <mergeCell ref="A2:F2"/>
    <mergeCell ref="A4:H4"/>
    <mergeCell ref="A5:H5"/>
    <mergeCell ref="A35:H35"/>
  </mergeCells>
  <printOptions horizontalCentered="1"/>
  <pageMargins left="0.7" right="0.7" top="0.75" bottom="0.75" header="0.3" footer="0.3"/>
  <pageSetup scale="6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pageSetUpPr fitToPage="1"/>
  </sheetPr>
  <dimension ref="A2:N50"/>
  <sheetViews>
    <sheetView topLeftCell="A22" workbookViewId="0">
      <selection activeCell="I41" sqref="I41"/>
    </sheetView>
  </sheetViews>
  <sheetFormatPr defaultRowHeight="15" x14ac:dyDescent="0.25"/>
  <cols>
    <col min="1" max="1" width="40.85546875" bestFit="1" customWidth="1"/>
    <col min="2" max="2" width="13.7109375" bestFit="1" customWidth="1"/>
    <col min="3" max="3" width="19.140625" bestFit="1" customWidth="1"/>
    <col min="4" max="4" width="16.7109375" style="2" bestFit="1" customWidth="1"/>
    <col min="5" max="6" width="16.42578125" bestFit="1" customWidth="1"/>
    <col min="7" max="7" width="16.28515625" bestFit="1" customWidth="1"/>
    <col min="8" max="8" width="16" customWidth="1"/>
    <col min="9" max="9" width="15.42578125" bestFit="1" customWidth="1"/>
    <col min="10" max="10" width="12.5703125" bestFit="1" customWidth="1"/>
    <col min="11" max="12" width="9.140625" customWidth="1"/>
  </cols>
  <sheetData>
    <row r="2" spans="1:13" x14ac:dyDescent="0.25">
      <c r="A2" s="111" t="s">
        <v>176</v>
      </c>
      <c r="B2" s="112"/>
      <c r="C2" s="112"/>
      <c r="D2" s="112"/>
      <c r="E2" s="112"/>
      <c r="F2" s="112"/>
      <c r="G2" s="113"/>
      <c r="H2" s="113"/>
    </row>
    <row r="3" spans="1:13" x14ac:dyDescent="0.25">
      <c r="A3" s="111" t="s">
        <v>119</v>
      </c>
      <c r="B3" s="112"/>
      <c r="C3" s="112"/>
      <c r="D3" s="112"/>
      <c r="E3" s="112"/>
      <c r="F3" s="112"/>
      <c r="G3" s="113"/>
      <c r="H3" s="113"/>
    </row>
    <row r="4" spans="1:13" x14ac:dyDescent="0.25">
      <c r="A4" s="19"/>
      <c r="B4" s="19">
        <f>'Other Revenue &amp; Costs'!B4</f>
        <v>2019</v>
      </c>
      <c r="C4" s="19">
        <f>'Other Revenue &amp; Costs'!C4</f>
        <v>2020</v>
      </c>
      <c r="D4" s="19">
        <f>'Other Revenue &amp; Costs'!D4</f>
        <v>2021</v>
      </c>
      <c r="E4" s="19">
        <f>'Other Revenue &amp; Costs'!E4</f>
        <v>2022</v>
      </c>
      <c r="F4" s="19">
        <f>'Other Revenue &amp; Costs'!F4</f>
        <v>2023</v>
      </c>
      <c r="G4" s="19">
        <f>'Other Revenue &amp; Costs'!G4</f>
        <v>2024</v>
      </c>
      <c r="H4" s="19">
        <f>'Other Revenue &amp; Costs'!H4</f>
        <v>2025</v>
      </c>
    </row>
    <row r="5" spans="1:13" x14ac:dyDescent="0.25">
      <c r="A5" s="62" t="s">
        <v>120</v>
      </c>
      <c r="B5" s="88"/>
      <c r="C5" s="32"/>
      <c r="D5" s="32"/>
      <c r="E5" s="32"/>
      <c r="F5" s="117"/>
      <c r="G5" s="33"/>
      <c r="H5" s="119"/>
    </row>
    <row r="6" spans="1:13" x14ac:dyDescent="0.25">
      <c r="A6" s="23" t="s">
        <v>9</v>
      </c>
      <c r="B6" s="23">
        <v>641</v>
      </c>
      <c r="C6" s="23">
        <f t="shared" ref="C6:E7" si="0">+C29</f>
        <v>671.9</v>
      </c>
      <c r="D6" s="23">
        <f t="shared" si="0"/>
        <v>690.34792600000003</v>
      </c>
      <c r="E6" s="23">
        <f>+E29</f>
        <v>727.89999999999986</v>
      </c>
      <c r="F6" s="23">
        <f t="shared" ref="F6:G6" si="1">+F29</f>
        <v>723.52590819077591</v>
      </c>
      <c r="G6" s="23">
        <f t="shared" si="1"/>
        <v>742.827085377304</v>
      </c>
      <c r="H6" s="23">
        <f t="shared" ref="H6" si="2">+H29</f>
        <v>763.94054717762594</v>
      </c>
    </row>
    <row r="7" spans="1:13" x14ac:dyDescent="0.25">
      <c r="A7" s="23" t="s">
        <v>251</v>
      </c>
      <c r="B7" s="23">
        <v>392.8</v>
      </c>
      <c r="C7" s="23">
        <f t="shared" si="0"/>
        <v>370.5</v>
      </c>
      <c r="D7" s="23">
        <f t="shared" si="0"/>
        <v>381.55156399999998</v>
      </c>
      <c r="E7" s="23">
        <f t="shared" si="0"/>
        <v>401.02014525201452</v>
      </c>
      <c r="F7" s="23">
        <f t="shared" ref="F7:G7" si="3">+F30</f>
        <v>400.42817836143843</v>
      </c>
      <c r="G7" s="23">
        <f t="shared" si="3"/>
        <v>397.72258779294947</v>
      </c>
      <c r="H7" s="23">
        <f t="shared" ref="H7" si="4">+H30</f>
        <v>395.84662037286108</v>
      </c>
    </row>
    <row r="8" spans="1:13" x14ac:dyDescent="0.25">
      <c r="A8" s="23" t="s">
        <v>10</v>
      </c>
      <c r="B8" s="23">
        <v>154</v>
      </c>
      <c r="C8" s="23">
        <f t="shared" ref="C8:E11" si="5">+C31</f>
        <v>151.80000000000001</v>
      </c>
      <c r="D8" s="23">
        <f t="shared" si="5"/>
        <v>153.77743599999999</v>
      </c>
      <c r="E8" s="23">
        <f t="shared" si="5"/>
        <v>163.50000009000001</v>
      </c>
      <c r="F8" s="23">
        <f t="shared" ref="F8:G8" si="6">+F31</f>
        <v>163.50000029</v>
      </c>
      <c r="G8" s="23">
        <f t="shared" si="6"/>
        <v>168.00000046659997</v>
      </c>
      <c r="H8" s="23">
        <f t="shared" ref="H8" si="7">+H31</f>
        <v>168.00000054660001</v>
      </c>
    </row>
    <row r="9" spans="1:13" x14ac:dyDescent="0.25">
      <c r="A9" s="23" t="s">
        <v>11</v>
      </c>
      <c r="B9" s="23">
        <v>91.7</v>
      </c>
      <c r="C9" s="23">
        <f t="shared" si="5"/>
        <v>91.6</v>
      </c>
      <c r="D9" s="23">
        <f t="shared" si="5"/>
        <v>93.447494999999989</v>
      </c>
      <c r="E9" s="23">
        <f t="shared" si="5"/>
        <v>98.086524868942149</v>
      </c>
      <c r="F9" s="23">
        <f t="shared" ref="F9:G9" si="8">+F32</f>
        <v>97.941734199890846</v>
      </c>
      <c r="G9" s="23">
        <f t="shared" si="8"/>
        <v>97.27996700509199</v>
      </c>
      <c r="H9" s="23">
        <f t="shared" ref="H9" si="9">+H32</f>
        <v>96.85</v>
      </c>
    </row>
    <row r="10" spans="1:13" x14ac:dyDescent="0.25">
      <c r="A10" s="23" t="s">
        <v>121</v>
      </c>
      <c r="B10" s="23">
        <v>4.9210000000000003</v>
      </c>
      <c r="C10" s="23">
        <f t="shared" si="5"/>
        <v>4.5419999999999998</v>
      </c>
      <c r="D10" s="23">
        <f t="shared" si="5"/>
        <v>4.3293350000000004</v>
      </c>
      <c r="E10" s="23">
        <f t="shared" si="5"/>
        <v>3.8089901575156913</v>
      </c>
      <c r="F10" s="23">
        <f t="shared" ref="F10:G10" si="10">+F33</f>
        <v>3.7861599107472648</v>
      </c>
      <c r="G10" s="23">
        <f t="shared" si="10"/>
        <v>3.8486180889707011</v>
      </c>
      <c r="H10" s="23">
        <f t="shared" ref="H10" si="11">+H33</f>
        <v>3.8896958835313247</v>
      </c>
    </row>
    <row r="11" spans="1:13" x14ac:dyDescent="0.25">
      <c r="A11" s="23" t="s">
        <v>122</v>
      </c>
      <c r="B11" s="23">
        <v>2.4790000000000001</v>
      </c>
      <c r="C11" s="23">
        <f t="shared" si="5"/>
        <v>2.4580000000000002</v>
      </c>
      <c r="D11" s="23">
        <f t="shared" si="5"/>
        <v>2.5459999999999998</v>
      </c>
      <c r="E11" s="23">
        <f t="shared" si="5"/>
        <v>2.544</v>
      </c>
      <c r="F11" s="23">
        <f t="shared" ref="F11:G11" si="12">+F34</f>
        <v>2.5670000000000002</v>
      </c>
      <c r="G11" s="23">
        <f t="shared" si="12"/>
        <v>2.5670000000000002</v>
      </c>
      <c r="H11" s="23">
        <f t="shared" ref="H11" si="13">+H34</f>
        <v>2.589</v>
      </c>
    </row>
    <row r="12" spans="1:13" x14ac:dyDescent="0.25">
      <c r="A12" s="30" t="s">
        <v>13</v>
      </c>
      <c r="B12" s="30">
        <f t="shared" ref="B12:E12" si="14">SUM(B6:B11)</f>
        <v>1286.9000000000001</v>
      </c>
      <c r="C12" s="30">
        <f t="shared" si="14"/>
        <v>1292.8</v>
      </c>
      <c r="D12" s="30">
        <f t="shared" si="14"/>
        <v>1325.9997559999999</v>
      </c>
      <c r="E12" s="30">
        <f t="shared" si="14"/>
        <v>1396.8596603684723</v>
      </c>
      <c r="F12" s="30">
        <f t="shared" ref="F12:G12" si="15">SUM(F6:F11)</f>
        <v>1391.7489809528527</v>
      </c>
      <c r="G12" s="30">
        <f t="shared" si="15"/>
        <v>1412.245258730916</v>
      </c>
      <c r="H12" s="30">
        <f t="shared" ref="H12" si="16">SUM(H6:H11)</f>
        <v>1431.1158639806183</v>
      </c>
      <c r="I12" s="4" t="s">
        <v>156</v>
      </c>
      <c r="J12" s="73">
        <f>+C12-'Tables Section 4'!D15</f>
        <v>0</v>
      </c>
      <c r="K12" s="73">
        <f>+D12-'Tables Section 4'!E15</f>
        <v>0</v>
      </c>
      <c r="L12" s="73">
        <f>+E12-'Tables Section 4'!F15</f>
        <v>0</v>
      </c>
      <c r="M12" s="73">
        <f>+G12-'Tables Section 4'!H15</f>
        <v>0</v>
      </c>
    </row>
    <row r="13" spans="1:13" x14ac:dyDescent="0.25">
      <c r="A13" s="41" t="s">
        <v>123</v>
      </c>
      <c r="B13" s="86"/>
      <c r="C13" s="24"/>
      <c r="D13" s="82"/>
      <c r="E13" s="77"/>
      <c r="F13" s="77"/>
      <c r="G13" s="78"/>
      <c r="H13" s="78"/>
    </row>
    <row r="14" spans="1:13" x14ac:dyDescent="0.25">
      <c r="A14" s="92" t="s">
        <v>9</v>
      </c>
      <c r="B14" s="20">
        <v>108630752</v>
      </c>
      <c r="C14" s="20">
        <f t="shared" ref="C14" si="17">+C37</f>
        <v>113278981</v>
      </c>
      <c r="D14" s="20">
        <f t="shared" ref="D14" si="18">+D37</f>
        <v>119306396</v>
      </c>
      <c r="E14" s="20">
        <v>125026600</v>
      </c>
      <c r="F14" s="20">
        <v>124843200</v>
      </c>
      <c r="G14" s="20">
        <v>128001200</v>
      </c>
      <c r="H14" s="20">
        <v>131413700</v>
      </c>
    </row>
    <row r="15" spans="1:13" x14ac:dyDescent="0.25">
      <c r="A15" s="92" t="s">
        <v>251</v>
      </c>
      <c r="B15" s="34">
        <v>63552897</v>
      </c>
      <c r="C15" s="34">
        <f t="shared" ref="C15" si="19">+C38</f>
        <v>60305150</v>
      </c>
      <c r="D15" s="34">
        <f t="shared" ref="D15" si="20">+D38</f>
        <v>63536771</v>
      </c>
      <c r="E15" s="107">
        <v>66507600</v>
      </c>
      <c r="F15" s="107">
        <v>66479900</v>
      </c>
      <c r="G15" s="107">
        <v>66156500</v>
      </c>
      <c r="H15" s="107">
        <v>65949200</v>
      </c>
    </row>
    <row r="16" spans="1:13" x14ac:dyDescent="0.25">
      <c r="A16" s="92" t="s">
        <v>10</v>
      </c>
      <c r="B16" s="34">
        <v>13944113</v>
      </c>
      <c r="C16" s="34">
        <f t="shared" ref="C16" si="21">+C39</f>
        <v>13912289</v>
      </c>
      <c r="D16" s="34">
        <f t="shared" ref="D16" si="22">+D39</f>
        <v>14336689</v>
      </c>
      <c r="E16" s="107">
        <v>15019100</v>
      </c>
      <c r="F16" s="107">
        <v>15034300</v>
      </c>
      <c r="G16" s="107">
        <v>15376800</v>
      </c>
      <c r="H16" s="107">
        <v>15394400</v>
      </c>
    </row>
    <row r="17" spans="1:8" x14ac:dyDescent="0.25">
      <c r="A17" s="92" t="s">
        <v>11</v>
      </c>
      <c r="B17" s="34">
        <v>12767732</v>
      </c>
      <c r="C17" s="34">
        <f t="shared" ref="C17" si="23">+C40</f>
        <v>12761587</v>
      </c>
      <c r="D17" s="34">
        <f t="shared" ref="D17" si="24">+D40</f>
        <v>13247288</v>
      </c>
      <c r="E17" s="107">
        <v>13823300</v>
      </c>
      <c r="F17" s="107">
        <v>13808900</v>
      </c>
      <c r="G17" s="107">
        <v>13734500</v>
      </c>
      <c r="H17" s="107">
        <v>13683600</v>
      </c>
    </row>
    <row r="18" spans="1:8" x14ac:dyDescent="0.25">
      <c r="A18" s="92" t="s">
        <v>121</v>
      </c>
      <c r="B18" s="34">
        <v>2323872</v>
      </c>
      <c r="C18" s="34">
        <f t="shared" ref="C18" si="25">+C41</f>
        <v>2262580</v>
      </c>
      <c r="D18" s="34">
        <f t="shared" ref="D18" si="26">+D41</f>
        <v>2300814</v>
      </c>
      <c r="E18" s="107">
        <v>1991900</v>
      </c>
      <c r="F18" s="107">
        <v>1980400</v>
      </c>
      <c r="G18" s="107">
        <v>2001400</v>
      </c>
      <c r="H18" s="107">
        <v>2022600</v>
      </c>
    </row>
    <row r="19" spans="1:8" x14ac:dyDescent="0.25">
      <c r="A19" s="92" t="s">
        <v>122</v>
      </c>
      <c r="B19" s="34">
        <v>434952</v>
      </c>
      <c r="C19" s="34">
        <f t="shared" ref="C19" si="27">+C42</f>
        <v>440188</v>
      </c>
      <c r="D19" s="34">
        <f t="shared" ref="D19" si="28">+D42</f>
        <v>474567</v>
      </c>
      <c r="E19" s="107">
        <v>444800</v>
      </c>
      <c r="F19" s="107">
        <v>448600</v>
      </c>
      <c r="G19" s="107">
        <v>452500</v>
      </c>
      <c r="H19" s="107">
        <v>456500</v>
      </c>
    </row>
    <row r="20" spans="1:8" x14ac:dyDescent="0.25">
      <c r="A20" s="94" t="s">
        <v>124</v>
      </c>
      <c r="B20" s="36">
        <f t="shared" ref="B20:H20" si="29">ROUND(SUM(B14:B19),0)</f>
        <v>201654318</v>
      </c>
      <c r="C20" s="36">
        <f t="shared" si="29"/>
        <v>202960775</v>
      </c>
      <c r="D20" s="36">
        <f t="shared" si="29"/>
        <v>213202525</v>
      </c>
      <c r="E20" s="36">
        <f t="shared" si="29"/>
        <v>222813300</v>
      </c>
      <c r="F20" s="36">
        <f t="shared" si="29"/>
        <v>222595300</v>
      </c>
      <c r="G20" s="36">
        <f t="shared" si="29"/>
        <v>225722900</v>
      </c>
      <c r="H20" s="36">
        <f t="shared" si="29"/>
        <v>228920000</v>
      </c>
    </row>
    <row r="21" spans="1:8" x14ac:dyDescent="0.25">
      <c r="A21" s="95" t="s">
        <v>117</v>
      </c>
      <c r="B21" s="95">
        <f>+'Other Revenue &amp; Costs'!B24</f>
        <v>9066459</v>
      </c>
      <c r="C21" s="95">
        <f>+'Other Revenue &amp; Costs'!C24</f>
        <v>16471386</v>
      </c>
      <c r="D21" s="95">
        <f>+'Other Revenue &amp; Costs'!D24</f>
        <v>12054285.52</v>
      </c>
      <c r="E21" s="95">
        <f>+'Other Revenue &amp; Costs'!E24</f>
        <v>11465400</v>
      </c>
      <c r="F21" s="95">
        <f>+'Other Revenue &amp; Costs'!F24</f>
        <v>16188300</v>
      </c>
      <c r="G21" s="95">
        <f>+'Other Revenue &amp; Costs'!G24</f>
        <v>16546300</v>
      </c>
      <c r="H21" s="95">
        <f>+'Other Revenue &amp; Costs'!H24</f>
        <v>16876600</v>
      </c>
    </row>
    <row r="22" spans="1:8" x14ac:dyDescent="0.25">
      <c r="A22" s="96" t="s">
        <v>105</v>
      </c>
      <c r="B22" s="102">
        <f>SUM(B20:B21)</f>
        <v>210720777</v>
      </c>
      <c r="C22" s="102">
        <f t="shared" ref="C22:H22" si="30">SUM(C20:C21)</f>
        <v>219432161</v>
      </c>
      <c r="D22" s="102">
        <f t="shared" si="30"/>
        <v>225256810.52000001</v>
      </c>
      <c r="E22" s="102">
        <f t="shared" si="30"/>
        <v>234278700</v>
      </c>
      <c r="F22" s="102">
        <f t="shared" si="30"/>
        <v>238783600</v>
      </c>
      <c r="G22" s="102">
        <f t="shared" si="30"/>
        <v>242269200</v>
      </c>
      <c r="H22" s="102">
        <f t="shared" si="30"/>
        <v>245796600</v>
      </c>
    </row>
    <row r="23" spans="1:8" x14ac:dyDescent="0.25">
      <c r="A23" s="1"/>
      <c r="B23" s="98"/>
    </row>
    <row r="24" spans="1:8" x14ac:dyDescent="0.25">
      <c r="A24" s="1"/>
      <c r="B24" s="1"/>
    </row>
    <row r="25" spans="1:8" x14ac:dyDescent="0.25">
      <c r="A25" s="111" t="s">
        <v>177</v>
      </c>
      <c r="B25" s="112"/>
      <c r="C25" s="112"/>
      <c r="D25" s="112"/>
      <c r="E25" s="112"/>
      <c r="F25" s="112"/>
      <c r="G25" s="113"/>
      <c r="H25" s="113"/>
    </row>
    <row r="26" spans="1:8" x14ac:dyDescent="0.25">
      <c r="A26" s="111" t="s">
        <v>152</v>
      </c>
      <c r="B26" s="112"/>
      <c r="C26" s="112"/>
      <c r="D26" s="112"/>
      <c r="E26" s="112"/>
      <c r="F26" s="112"/>
      <c r="G26" s="113"/>
      <c r="H26" s="113"/>
    </row>
    <row r="27" spans="1:8" x14ac:dyDescent="0.25">
      <c r="A27" s="19"/>
      <c r="B27" s="19">
        <f t="shared" ref="B27:H27" si="31">+B4</f>
        <v>2019</v>
      </c>
      <c r="C27" s="19">
        <f t="shared" si="31"/>
        <v>2020</v>
      </c>
      <c r="D27" s="19">
        <f t="shared" si="31"/>
        <v>2021</v>
      </c>
      <c r="E27" s="19">
        <f t="shared" si="31"/>
        <v>2022</v>
      </c>
      <c r="F27" s="19">
        <f t="shared" si="31"/>
        <v>2023</v>
      </c>
      <c r="G27" s="19">
        <f t="shared" si="31"/>
        <v>2024</v>
      </c>
      <c r="H27" s="19">
        <f t="shared" si="31"/>
        <v>2025</v>
      </c>
    </row>
    <row r="28" spans="1:8" x14ac:dyDescent="0.25">
      <c r="A28" s="62" t="s">
        <v>120</v>
      </c>
      <c r="B28" s="88"/>
      <c r="C28" s="32"/>
      <c r="D28" s="32"/>
      <c r="E28" s="32"/>
      <c r="F28" s="117"/>
      <c r="G28" s="33"/>
      <c r="H28" s="119"/>
    </row>
    <row r="29" spans="1:8" x14ac:dyDescent="0.25">
      <c r="A29" s="23" t="s">
        <v>9</v>
      </c>
      <c r="B29" s="23">
        <f>+'Tables Section 4'!C10</f>
        <v>641</v>
      </c>
      <c r="C29" s="23">
        <f>+'Tables Section 4'!D10</f>
        <v>671.9</v>
      </c>
      <c r="D29" s="23">
        <f>+'Tables Section 4'!E10</f>
        <v>690.34792600000003</v>
      </c>
      <c r="E29" s="23">
        <f>+'Tables Section 4'!F10</f>
        <v>727.89999999999986</v>
      </c>
      <c r="F29" s="23">
        <f>+'Tables Section 4'!G10</f>
        <v>723.52590819077591</v>
      </c>
      <c r="G29" s="23">
        <f>+'Tables Section 4'!H10</f>
        <v>742.827085377304</v>
      </c>
      <c r="H29" s="23">
        <f>+'Tables Section 4'!I10</f>
        <v>763.94054717762594</v>
      </c>
    </row>
    <row r="30" spans="1:8" x14ac:dyDescent="0.25">
      <c r="A30" s="23" t="s">
        <v>251</v>
      </c>
      <c r="B30" s="23">
        <f>+'Tables Section 4'!C11</f>
        <v>392.8</v>
      </c>
      <c r="C30" s="23">
        <f>+'Tables Section 4'!D11</f>
        <v>370.5</v>
      </c>
      <c r="D30" s="23">
        <f>+'Tables Section 4'!E11</f>
        <v>381.55156399999998</v>
      </c>
      <c r="E30" s="23">
        <f>+'Tables Section 4'!F11</f>
        <v>401.02014525201452</v>
      </c>
      <c r="F30" s="23">
        <f>+'Tables Section 4'!G11</f>
        <v>400.42817836143843</v>
      </c>
      <c r="G30" s="23">
        <f>+'Tables Section 4'!H11</f>
        <v>397.72258779294947</v>
      </c>
      <c r="H30" s="23">
        <f>+'Tables Section 4'!I11</f>
        <v>395.84662037286108</v>
      </c>
    </row>
    <row r="31" spans="1:8" x14ac:dyDescent="0.25">
      <c r="A31" s="23" t="s">
        <v>10</v>
      </c>
      <c r="B31" s="23">
        <f>+'Tables Section 4'!C12</f>
        <v>154</v>
      </c>
      <c r="C31" s="23">
        <f>+'Tables Section 4'!D12</f>
        <v>151.80000000000001</v>
      </c>
      <c r="D31" s="23">
        <f>+'Tables Section 4'!E12</f>
        <v>153.77743599999999</v>
      </c>
      <c r="E31" s="23">
        <f>+'Tables Section 4'!F12</f>
        <v>163.50000009000001</v>
      </c>
      <c r="F31" s="23">
        <f>+'Tables Section 4'!G12</f>
        <v>163.50000029</v>
      </c>
      <c r="G31" s="23">
        <f>+'Tables Section 4'!H12</f>
        <v>168.00000046659997</v>
      </c>
      <c r="H31" s="23">
        <f>+'Tables Section 4'!I12</f>
        <v>168.00000054660001</v>
      </c>
    </row>
    <row r="32" spans="1:8" x14ac:dyDescent="0.25">
      <c r="A32" s="23" t="s">
        <v>11</v>
      </c>
      <c r="B32" s="23">
        <f>+'Tables Section 4'!C13</f>
        <v>91.7</v>
      </c>
      <c r="C32" s="23">
        <f>+'Tables Section 4'!D13</f>
        <v>91.6</v>
      </c>
      <c r="D32" s="23">
        <f>+'Tables Section 4'!E13</f>
        <v>93.447494999999989</v>
      </c>
      <c r="E32" s="23">
        <f>+'Tables Section 4'!F13</f>
        <v>98.086524868942149</v>
      </c>
      <c r="F32" s="23">
        <f>+'Tables Section 4'!G13</f>
        <v>97.941734199890846</v>
      </c>
      <c r="G32" s="23">
        <f>+'Tables Section 4'!H13</f>
        <v>97.27996700509199</v>
      </c>
      <c r="H32" s="23">
        <f>+'Tables Section 4'!I13</f>
        <v>96.85</v>
      </c>
    </row>
    <row r="33" spans="1:14" x14ac:dyDescent="0.25">
      <c r="A33" s="23" t="s">
        <v>121</v>
      </c>
      <c r="B33" s="23">
        <f>+'Tables Section 4'!C14-B34</f>
        <v>4.984</v>
      </c>
      <c r="C33" s="23">
        <f>+'Tables Section 4'!D14-C34</f>
        <v>4.5419999999999998</v>
      </c>
      <c r="D33" s="23">
        <f>+'Tables Section 4'!E14-D34</f>
        <v>4.3293350000000004</v>
      </c>
      <c r="E33" s="23">
        <f>+'Tables Section 4'!F14-E34</f>
        <v>3.8089901575156913</v>
      </c>
      <c r="F33" s="23">
        <f>+'Tables Section 4'!G14-F34</f>
        <v>3.7861599107472648</v>
      </c>
      <c r="G33" s="23">
        <f>+'Tables Section 4'!H14-G34</f>
        <v>3.8486180889707011</v>
      </c>
      <c r="H33" s="23">
        <f>+'Tables Section 4'!I14-H34</f>
        <v>3.8896958835313247</v>
      </c>
    </row>
    <row r="34" spans="1:14" x14ac:dyDescent="0.25">
      <c r="A34" s="23" t="s">
        <v>122</v>
      </c>
      <c r="B34" s="23">
        <v>2.4159999999999999</v>
      </c>
      <c r="C34" s="23">
        <v>2.4580000000000002</v>
      </c>
      <c r="D34" s="23">
        <v>2.5459999999999998</v>
      </c>
      <c r="E34" s="23">
        <v>2.544</v>
      </c>
      <c r="F34" s="23">
        <v>2.5670000000000002</v>
      </c>
      <c r="G34" s="23">
        <v>2.5670000000000002</v>
      </c>
      <c r="H34" s="23">
        <v>2.589</v>
      </c>
    </row>
    <row r="35" spans="1:14" x14ac:dyDescent="0.25">
      <c r="A35" s="30" t="s">
        <v>13</v>
      </c>
      <c r="B35" s="30">
        <f t="shared" ref="B35:G35" si="32">SUM(B29:B34)</f>
        <v>1286.8999999999999</v>
      </c>
      <c r="C35" s="30">
        <f t="shared" si="32"/>
        <v>1292.8</v>
      </c>
      <c r="D35" s="30">
        <f t="shared" si="32"/>
        <v>1325.9997559999999</v>
      </c>
      <c r="E35" s="30">
        <f t="shared" si="32"/>
        <v>1396.8596603684723</v>
      </c>
      <c r="F35" s="30">
        <f t="shared" ref="F35" si="33">SUM(F29:F34)</f>
        <v>1391.7489809528527</v>
      </c>
      <c r="G35" s="30">
        <f t="shared" si="32"/>
        <v>1412.245258730916</v>
      </c>
      <c r="H35" s="30">
        <f t="shared" ref="H35" si="34">SUM(H29:H34)</f>
        <v>1431.1158639806183</v>
      </c>
      <c r="I35" s="4" t="s">
        <v>156</v>
      </c>
      <c r="J35" s="73">
        <f>+C35-'Tables Section 4'!D15</f>
        <v>0</v>
      </c>
      <c r="K35" s="73">
        <f>+D35-'Tables Section 4'!E15</f>
        <v>0</v>
      </c>
      <c r="L35" s="73">
        <f>+E35-'Tables Section 4'!F15</f>
        <v>0</v>
      </c>
      <c r="M35" s="73">
        <f>+G35-'Tables Section 4'!H15</f>
        <v>0</v>
      </c>
    </row>
    <row r="36" spans="1:14" x14ac:dyDescent="0.25">
      <c r="A36" s="41" t="s">
        <v>123</v>
      </c>
      <c r="B36" s="86"/>
      <c r="C36" s="24"/>
      <c r="D36" s="47"/>
      <c r="E36" s="24"/>
      <c r="F36" s="24"/>
      <c r="G36" s="25"/>
      <c r="H36" s="25"/>
    </row>
    <row r="37" spans="1:14" x14ac:dyDescent="0.25">
      <c r="A37" s="23" t="s">
        <v>9</v>
      </c>
      <c r="B37" s="37">
        <f t="shared" ref="B37:B42" si="35">B14</f>
        <v>108630752</v>
      </c>
      <c r="C37" s="37">
        <v>113278981</v>
      </c>
      <c r="D37" s="37">
        <v>119306396</v>
      </c>
      <c r="E37" s="37">
        <v>124902400</v>
      </c>
      <c r="F37" s="37">
        <v>130251200</v>
      </c>
      <c r="G37" s="37">
        <v>138665400</v>
      </c>
      <c r="H37" s="37">
        <v>147044400</v>
      </c>
      <c r="N37" s="120"/>
    </row>
    <row r="38" spans="1:14" x14ac:dyDescent="0.25">
      <c r="A38" s="23" t="s">
        <v>251</v>
      </c>
      <c r="B38" s="17">
        <f t="shared" si="35"/>
        <v>63552897</v>
      </c>
      <c r="C38" s="17">
        <v>60305150</v>
      </c>
      <c r="D38" s="17">
        <v>63536771</v>
      </c>
      <c r="E38" s="17">
        <v>66524900</v>
      </c>
      <c r="F38" s="17">
        <v>69702200</v>
      </c>
      <c r="G38" s="17">
        <v>72018400</v>
      </c>
      <c r="H38" s="17">
        <v>74172800</v>
      </c>
      <c r="N38" s="120"/>
    </row>
    <row r="39" spans="1:14" x14ac:dyDescent="0.25">
      <c r="A39" s="23" t="s">
        <v>10</v>
      </c>
      <c r="B39" s="17">
        <f t="shared" si="35"/>
        <v>13944113</v>
      </c>
      <c r="C39" s="17">
        <v>13912289</v>
      </c>
      <c r="D39" s="17">
        <v>14336689</v>
      </c>
      <c r="E39" s="17">
        <v>15019100</v>
      </c>
      <c r="F39" s="17">
        <v>16045400</v>
      </c>
      <c r="G39" s="17">
        <v>17018100</v>
      </c>
      <c r="H39" s="17">
        <v>17557100</v>
      </c>
      <c r="N39" s="120"/>
    </row>
    <row r="40" spans="1:14" x14ac:dyDescent="0.25">
      <c r="A40" s="23" t="s">
        <v>11</v>
      </c>
      <c r="B40" s="17">
        <f t="shared" si="35"/>
        <v>12767732</v>
      </c>
      <c r="C40" s="17">
        <v>12761587</v>
      </c>
      <c r="D40" s="17">
        <v>13247288</v>
      </c>
      <c r="E40" s="17">
        <v>13830600</v>
      </c>
      <c r="F40" s="17">
        <v>14498400</v>
      </c>
      <c r="G40" s="17">
        <v>14941800</v>
      </c>
      <c r="H40" s="17">
        <v>15371500</v>
      </c>
      <c r="N40" s="120"/>
    </row>
    <row r="41" spans="1:14" x14ac:dyDescent="0.25">
      <c r="A41" s="23" t="s">
        <v>121</v>
      </c>
      <c r="B41" s="17">
        <f t="shared" si="35"/>
        <v>2323872</v>
      </c>
      <c r="C41" s="17">
        <v>2262580</v>
      </c>
      <c r="D41" s="17">
        <v>2300814</v>
      </c>
      <c r="E41" s="17">
        <v>1991900</v>
      </c>
      <c r="F41" s="17">
        <v>2096100</v>
      </c>
      <c r="G41" s="17">
        <v>2212700</v>
      </c>
      <c r="H41" s="17">
        <v>2324200</v>
      </c>
      <c r="N41" s="120"/>
    </row>
    <row r="42" spans="1:14" x14ac:dyDescent="0.25">
      <c r="A42" s="23" t="s">
        <v>122</v>
      </c>
      <c r="B42" s="17">
        <f t="shared" si="35"/>
        <v>434952</v>
      </c>
      <c r="C42" s="17">
        <v>440188</v>
      </c>
      <c r="D42" s="17">
        <v>474567</v>
      </c>
      <c r="E42" s="17">
        <v>444800</v>
      </c>
      <c r="F42" s="17">
        <v>474900</v>
      </c>
      <c r="G42" s="17">
        <v>500200</v>
      </c>
      <c r="H42" s="17">
        <v>524300</v>
      </c>
      <c r="N42" s="120"/>
    </row>
    <row r="43" spans="1:14" x14ac:dyDescent="0.25">
      <c r="A43" s="30" t="s">
        <v>124</v>
      </c>
      <c r="B43" s="36">
        <f t="shared" ref="B43:E43" si="36">ROUND(SUM(B37:B42),0)</f>
        <v>201654318</v>
      </c>
      <c r="C43" s="36">
        <f t="shared" si="36"/>
        <v>202960775</v>
      </c>
      <c r="D43" s="36">
        <f t="shared" si="36"/>
        <v>213202525</v>
      </c>
      <c r="E43" s="36">
        <f t="shared" si="36"/>
        <v>222713700</v>
      </c>
      <c r="F43" s="36">
        <f t="shared" ref="F43:G43" si="37">ROUND(SUM(F37:F42),0)</f>
        <v>233068200</v>
      </c>
      <c r="G43" s="36">
        <f t="shared" si="37"/>
        <v>245356600</v>
      </c>
      <c r="H43" s="36">
        <f t="shared" ref="H43" si="38">ROUND(SUM(H37:H42),0)</f>
        <v>256994300</v>
      </c>
    </row>
    <row r="44" spans="1:14" x14ac:dyDescent="0.25">
      <c r="A44" s="39" t="s">
        <v>117</v>
      </c>
      <c r="B44" s="97">
        <f t="shared" ref="B44:H44" si="39">+B21</f>
        <v>9066459</v>
      </c>
      <c r="C44" s="36">
        <f t="shared" si="39"/>
        <v>16471386</v>
      </c>
      <c r="D44" s="36">
        <f t="shared" si="39"/>
        <v>12054285.52</v>
      </c>
      <c r="E44" s="36">
        <f t="shared" si="39"/>
        <v>11465400</v>
      </c>
      <c r="F44" s="36">
        <f t="shared" si="39"/>
        <v>16188300</v>
      </c>
      <c r="G44" s="36">
        <f t="shared" si="39"/>
        <v>16546300</v>
      </c>
      <c r="H44" s="36">
        <f t="shared" si="39"/>
        <v>16876600</v>
      </c>
    </row>
    <row r="45" spans="1:14" x14ac:dyDescent="0.25">
      <c r="A45" s="21" t="s">
        <v>105</v>
      </c>
      <c r="B45" s="38">
        <f>SUM(B43:B44)</f>
        <v>210720777</v>
      </c>
      <c r="C45" s="38">
        <f t="shared" ref="C45:H45" si="40">SUM(C43:C44)</f>
        <v>219432161</v>
      </c>
      <c r="D45" s="38">
        <f t="shared" si="40"/>
        <v>225256810.52000001</v>
      </c>
      <c r="E45" s="38">
        <f t="shared" si="40"/>
        <v>234179100</v>
      </c>
      <c r="F45" s="38">
        <f t="shared" si="40"/>
        <v>249256500</v>
      </c>
      <c r="G45" s="38">
        <f t="shared" si="40"/>
        <v>261902900</v>
      </c>
      <c r="H45" s="38">
        <f t="shared" si="40"/>
        <v>273870900</v>
      </c>
    </row>
    <row r="47" spans="1:14" x14ac:dyDescent="0.25">
      <c r="A47" s="1"/>
      <c r="B47" s="1"/>
    </row>
    <row r="48" spans="1:14" x14ac:dyDescent="0.25">
      <c r="D48" s="6">
        <f>+D45-D22</f>
        <v>0</v>
      </c>
      <c r="E48" s="6">
        <f>+E45-E22</f>
        <v>-99600</v>
      </c>
      <c r="F48" s="6">
        <f>+F45-F22</f>
        <v>10472900</v>
      </c>
      <c r="G48" s="6">
        <f>+G45-G22</f>
        <v>19633700</v>
      </c>
      <c r="H48" s="6">
        <f>+H45-H22</f>
        <v>28074300</v>
      </c>
    </row>
    <row r="49" spans="1:8" x14ac:dyDescent="0.25">
      <c r="E49" s="2"/>
    </row>
    <row r="50" spans="1:8" x14ac:dyDescent="0.25">
      <c r="A50" s="3"/>
      <c r="B50" s="3"/>
      <c r="C50" s="3"/>
      <c r="D50" s="12"/>
      <c r="E50" s="13"/>
      <c r="F50" s="13"/>
      <c r="G50" s="13"/>
      <c r="H50" s="13"/>
    </row>
  </sheetData>
  <printOptions horizontalCentered="1"/>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8"/>
  <sheetViews>
    <sheetView workbookViewId="0">
      <selection activeCell="N11" sqref="N11"/>
    </sheetView>
  </sheetViews>
  <sheetFormatPr defaultRowHeight="15" x14ac:dyDescent="0.25"/>
  <cols>
    <col min="1" max="1" width="26.140625" bestFit="1" customWidth="1"/>
    <col min="2" max="2" width="8.85546875" bestFit="1" customWidth="1"/>
    <col min="3" max="5" width="7.5703125" bestFit="1" customWidth="1"/>
    <col min="6" max="6" width="12.85546875" customWidth="1"/>
    <col min="7" max="7" width="16.7109375" bestFit="1" customWidth="1"/>
    <col min="10" max="14" width="18.7109375" customWidth="1"/>
  </cols>
  <sheetData>
    <row r="2" spans="1:14" x14ac:dyDescent="0.25">
      <c r="A2" s="533" t="s">
        <v>283</v>
      </c>
      <c r="B2" s="534"/>
      <c r="C2" s="534"/>
      <c r="D2" s="534"/>
      <c r="E2" s="534"/>
      <c r="F2" s="534"/>
      <c r="G2" s="535"/>
      <c r="J2" s="522" t="s">
        <v>289</v>
      </c>
      <c r="K2" s="523"/>
      <c r="L2" s="523"/>
      <c r="M2" s="523"/>
      <c r="N2" s="524"/>
    </row>
    <row r="3" spans="1:14" x14ac:dyDescent="0.25">
      <c r="A3" s="536" t="s">
        <v>284</v>
      </c>
      <c r="B3" s="537"/>
      <c r="C3" s="537"/>
      <c r="D3" s="537"/>
      <c r="E3" s="537"/>
      <c r="F3" s="537"/>
      <c r="G3" s="538"/>
      <c r="J3" s="525" t="s">
        <v>290</v>
      </c>
      <c r="K3" s="526"/>
      <c r="L3" s="526"/>
      <c r="M3" s="526"/>
      <c r="N3" s="527"/>
    </row>
    <row r="4" spans="1:14" x14ac:dyDescent="0.25">
      <c r="A4" s="539" t="s">
        <v>285</v>
      </c>
      <c r="B4" s="540"/>
      <c r="C4" s="540"/>
      <c r="D4" s="540"/>
      <c r="E4" s="540"/>
      <c r="F4" s="540"/>
      <c r="G4" s="541"/>
      <c r="J4" s="528" t="s">
        <v>226</v>
      </c>
      <c r="K4" s="529"/>
      <c r="L4" s="529"/>
      <c r="M4" s="529"/>
      <c r="N4" s="530"/>
    </row>
    <row r="5" spans="1:14" ht="32.25" customHeight="1" x14ac:dyDescent="0.25">
      <c r="A5" s="542" t="s">
        <v>286</v>
      </c>
      <c r="B5" s="271" t="s">
        <v>249</v>
      </c>
      <c r="C5" s="542" t="s">
        <v>248</v>
      </c>
      <c r="D5" s="542"/>
      <c r="E5" s="542"/>
      <c r="F5" s="543" t="s">
        <v>287</v>
      </c>
      <c r="G5" s="543" t="s">
        <v>288</v>
      </c>
      <c r="J5" s="531"/>
      <c r="K5" s="472" t="s">
        <v>249</v>
      </c>
      <c r="L5" s="532" t="s">
        <v>248</v>
      </c>
      <c r="M5" s="532"/>
      <c r="N5" s="532"/>
    </row>
    <row r="6" spans="1:14" x14ac:dyDescent="0.25">
      <c r="A6" s="542"/>
      <c r="B6" s="271">
        <v>2022</v>
      </c>
      <c r="C6" s="271">
        <v>2023</v>
      </c>
      <c r="D6" s="271">
        <v>2024</v>
      </c>
      <c r="E6" s="271">
        <v>2025</v>
      </c>
      <c r="F6" s="543"/>
      <c r="G6" s="543"/>
      <c r="J6" s="531"/>
      <c r="K6" s="472" t="s">
        <v>291</v>
      </c>
      <c r="L6" s="472" t="s">
        <v>292</v>
      </c>
      <c r="M6" s="472" t="s">
        <v>293</v>
      </c>
      <c r="N6" s="472" t="s">
        <v>294</v>
      </c>
    </row>
    <row r="7" spans="1:14" x14ac:dyDescent="0.25">
      <c r="A7" s="477" t="s">
        <v>187</v>
      </c>
      <c r="B7" s="478">
        <f>'Section 7.2 Proposed Rates'!H28</f>
        <v>0.15322</v>
      </c>
      <c r="C7" s="478">
        <f>'Section 7.2 Proposed Rates'!I28</f>
        <v>0.15920999999999999</v>
      </c>
      <c r="D7" s="478">
        <f>'Section 7.2 Proposed Rates'!J28</f>
        <v>0.16522000000000001</v>
      </c>
      <c r="E7" s="478">
        <f>'Section 7.2 Proposed Rates'!K28</f>
        <v>0.17150000000000001</v>
      </c>
      <c r="F7" s="479">
        <f>+(E7-B7)/B7</f>
        <v>0.11930557368489765</v>
      </c>
      <c r="G7" s="479">
        <f>F7/3</f>
        <v>3.9768524561632553E-2</v>
      </c>
      <c r="J7" s="275" t="s">
        <v>295</v>
      </c>
      <c r="K7" s="480">
        <f>'Section 7.3 Customer Impact'!F17</f>
        <v>1625.0229000000004</v>
      </c>
      <c r="L7" s="518">
        <f>'Section 7.3 Customer Impact'!G17</f>
        <v>1673.3390000000004</v>
      </c>
      <c r="M7" s="480">
        <f>'Section 7.3 Customer Impact'!H17</f>
        <v>1722.5802499999998</v>
      </c>
      <c r="N7" s="480">
        <f>'Section 7.3 Customer Impact'!I17</f>
        <v>1773.9065000000005</v>
      </c>
    </row>
    <row r="8" spans="1:14" x14ac:dyDescent="0.25">
      <c r="A8" s="477" t="s">
        <v>188</v>
      </c>
      <c r="B8" s="478">
        <f>'Section 7.2 Proposed Rates'!H29</f>
        <v>0.12282</v>
      </c>
      <c r="C8" s="478">
        <f>'Section 7.2 Proposed Rates'!I29</f>
        <v>0.12651000000000001</v>
      </c>
      <c r="D8" s="478">
        <f>'Section 7.2 Proposed Rates'!J29</f>
        <v>0.13131999999999999</v>
      </c>
      <c r="E8" s="478">
        <f>'Section 7.2 Proposed Rates'!K29</f>
        <v>0.13620000000000002</v>
      </c>
      <c r="F8" s="479">
        <f t="shared" ref="F8:F13" si="0">+(E8-B8)/B8</f>
        <v>0.10893991206643883</v>
      </c>
      <c r="G8" s="479">
        <f t="shared" ref="G8:G13" si="1">F8/3</f>
        <v>3.6313304022146276E-2</v>
      </c>
      <c r="J8" s="368" t="s">
        <v>296</v>
      </c>
      <c r="K8" s="481" t="s">
        <v>297</v>
      </c>
      <c r="L8" s="482">
        <f>(L7-K7)/K7</f>
        <v>2.9732565614921484E-2</v>
      </c>
      <c r="M8" s="482">
        <f t="shared" ref="M8:N8" si="2">(M7-L7)/L7</f>
        <v>2.9426942179677486E-2</v>
      </c>
      <c r="N8" s="482">
        <f t="shared" si="2"/>
        <v>2.9796144475707744E-2</v>
      </c>
    </row>
    <row r="9" spans="1:14" x14ac:dyDescent="0.25">
      <c r="A9" s="477" t="s">
        <v>189</v>
      </c>
      <c r="B9" s="478">
        <f>'Section 7.2 Proposed Rates'!H30</f>
        <v>0.18712000000000001</v>
      </c>
      <c r="C9" s="478">
        <f>'Section 7.2 Proposed Rates'!I30</f>
        <v>0.19561000000000001</v>
      </c>
      <c r="D9" s="478">
        <f>'Section 7.2 Proposed Rates'!J30</f>
        <v>0.20302000000000001</v>
      </c>
      <c r="E9" s="478">
        <f>'Section 7.2 Proposed Rates'!K30</f>
        <v>0.2107</v>
      </c>
      <c r="F9" s="479">
        <f t="shared" si="0"/>
        <v>0.12601539119281738</v>
      </c>
      <c r="G9" s="479">
        <f t="shared" si="1"/>
        <v>4.200513039760579E-2</v>
      </c>
      <c r="J9" s="275" t="s">
        <v>298</v>
      </c>
      <c r="K9" s="480">
        <f>'Section 7.3 Customer Impact'!F83</f>
        <v>1592.5929000000001</v>
      </c>
      <c r="L9" s="480">
        <f>'Section 7.3 Customer Impact'!G83</f>
        <v>1640.8965499999999</v>
      </c>
      <c r="M9" s="480">
        <f>'Section 7.3 Customer Impact'!H83</f>
        <v>1690.1502499999997</v>
      </c>
      <c r="N9" s="480">
        <f>'Section 7.3 Customer Impact'!I83</f>
        <v>1741.4765000000002</v>
      </c>
    </row>
    <row r="10" spans="1:14" x14ac:dyDescent="0.25">
      <c r="A10" s="477" t="s">
        <v>190</v>
      </c>
      <c r="B10" s="478">
        <f>'Section 7.2 Proposed Rates'!H31</f>
        <v>0.12412000000000001</v>
      </c>
      <c r="C10" s="478">
        <f>'Section 7.2 Proposed Rates'!I31</f>
        <v>0.12791</v>
      </c>
      <c r="D10" s="478">
        <f>'Section 7.2 Proposed Rates'!J31</f>
        <v>0.13281999999999999</v>
      </c>
      <c r="E10" s="478">
        <f>'Section 7.2 Proposed Rates'!K31</f>
        <v>0.13770000000000002</v>
      </c>
      <c r="F10" s="479">
        <f t="shared" si="0"/>
        <v>0.10941024814695462</v>
      </c>
      <c r="G10" s="479">
        <f t="shared" si="1"/>
        <v>3.6470082715651539E-2</v>
      </c>
      <c r="J10" s="368" t="s">
        <v>296</v>
      </c>
      <c r="K10" s="369" t="s">
        <v>299</v>
      </c>
      <c r="L10" s="482">
        <f>(L9-K9)/K9</f>
        <v>3.0330192982776599E-2</v>
      </c>
      <c r="M10" s="482">
        <f t="shared" ref="M10" si="3">(M9-L9)/L9</f>
        <v>3.001633466777644E-2</v>
      </c>
      <c r="N10" s="482">
        <f t="shared" ref="N10" si="4">(N9-M9)/M9</f>
        <v>3.0367862265500086E-2</v>
      </c>
    </row>
    <row r="11" spans="1:14" x14ac:dyDescent="0.25">
      <c r="A11" s="477" t="s">
        <v>191</v>
      </c>
      <c r="B11" s="478">
        <f>'Section 7.2 Proposed Rates'!H32</f>
        <v>0.18342</v>
      </c>
      <c r="C11" s="478">
        <f>'Section 7.2 Proposed Rates'!I32</f>
        <v>0.19161</v>
      </c>
      <c r="D11" s="478">
        <f>'Section 7.2 Proposed Rates'!J32</f>
        <v>0.19882</v>
      </c>
      <c r="E11" s="478">
        <f>'Section 7.2 Proposed Rates'!K32</f>
        <v>0.2064</v>
      </c>
      <c r="F11" s="479">
        <f t="shared" si="0"/>
        <v>0.12528622832842656</v>
      </c>
      <c r="G11" s="479">
        <f t="shared" si="1"/>
        <v>4.1762076109475521E-2</v>
      </c>
      <c r="J11" s="275" t="s">
        <v>300</v>
      </c>
      <c r="K11" s="480">
        <f>'Section 7.3 Customer Impact'!F136</f>
        <v>27351.945</v>
      </c>
      <c r="L11" s="480">
        <f>'Section 7.3 Customer Impact'!G136</f>
        <v>28185.246500000001</v>
      </c>
      <c r="M11" s="480">
        <f>'Section 7.3 Customer Impact'!H136</f>
        <v>29036.338500000002</v>
      </c>
      <c r="N11" s="480">
        <f>'Section 7.3 Customer Impact'!I136</f>
        <v>29902.001</v>
      </c>
    </row>
    <row r="12" spans="1:14" x14ac:dyDescent="0.25">
      <c r="A12" s="477" t="s">
        <v>192</v>
      </c>
      <c r="B12" s="478">
        <f>'Section 7.2 Proposed Rates'!H33</f>
        <v>9.5020000000000007E-2</v>
      </c>
      <c r="C12" s="478">
        <f>'Section 7.2 Proposed Rates'!I33</f>
        <v>9.670999999999999E-2</v>
      </c>
      <c r="D12" s="478">
        <f>'Section 7.2 Proposed Rates'!J33</f>
        <v>0.10042</v>
      </c>
      <c r="E12" s="478">
        <f>'Section 7.2 Proposed Rates'!K33</f>
        <v>0.10400000000000001</v>
      </c>
      <c r="F12" s="479">
        <f>+(E12-B12)/B12-0.0001</f>
        <v>9.440641970111556E-2</v>
      </c>
      <c r="G12" s="479">
        <f t="shared" si="1"/>
        <v>3.1468806567038522E-2</v>
      </c>
      <c r="J12" s="368" t="s">
        <v>296</v>
      </c>
      <c r="K12" s="369" t="s">
        <v>299</v>
      </c>
      <c r="L12" s="482">
        <f>(L11-K11)/K11</f>
        <v>3.0465895569766661E-2</v>
      </c>
      <c r="M12" s="482">
        <f t="shared" ref="M12" si="5">(M11-L11)/L11</f>
        <v>3.0196365321836036E-2</v>
      </c>
      <c r="N12" s="482">
        <f t="shared" ref="N12" si="6">(N11-M11)/M11</f>
        <v>2.9813073711067204E-2</v>
      </c>
    </row>
    <row r="13" spans="1:14" x14ac:dyDescent="0.25">
      <c r="A13" s="477" t="s">
        <v>10</v>
      </c>
      <c r="B13" s="478">
        <f>'Section 7.2 Proposed Rates'!H34</f>
        <v>7.8020000000000006E-2</v>
      </c>
      <c r="C13" s="478">
        <f>'Section 7.2 Proposed Rates'!I34</f>
        <v>8.0809999999999993E-2</v>
      </c>
      <c r="D13" s="478">
        <f>'Section 7.2 Proposed Rates'!J34</f>
        <v>8.3720000000000003E-2</v>
      </c>
      <c r="E13" s="478">
        <f>'Section 7.2 Proposed Rates'!K34</f>
        <v>8.6699999999999999E-2</v>
      </c>
      <c r="F13" s="479">
        <f t="shared" si="0"/>
        <v>0.11125352473724677</v>
      </c>
      <c r="G13" s="479">
        <f t="shared" si="1"/>
        <v>3.7084508245748923E-2</v>
      </c>
    </row>
    <row r="14" spans="1:14" x14ac:dyDescent="0.25">
      <c r="J14" s="247"/>
    </row>
    <row r="15" spans="1:14" x14ac:dyDescent="0.25">
      <c r="J15" s="248" t="s">
        <v>301</v>
      </c>
      <c r="K15" s="521" t="s">
        <v>302</v>
      </c>
      <c r="L15" s="521"/>
      <c r="M15" s="521"/>
      <c r="N15" s="521"/>
    </row>
    <row r="16" spans="1:14" x14ac:dyDescent="0.25">
      <c r="J16" s="248" t="s">
        <v>303</v>
      </c>
      <c r="K16" s="521" t="s">
        <v>304</v>
      </c>
      <c r="L16" s="521"/>
      <c r="M16" s="521"/>
      <c r="N16" s="521"/>
    </row>
    <row r="17" spans="10:14" x14ac:dyDescent="0.25">
      <c r="J17" s="248" t="s">
        <v>305</v>
      </c>
      <c r="K17" s="521" t="s">
        <v>302</v>
      </c>
      <c r="L17" s="521"/>
      <c r="M17" s="521"/>
      <c r="N17" s="521"/>
    </row>
    <row r="18" spans="10:14" x14ac:dyDescent="0.25">
      <c r="J18" s="248" t="s">
        <v>306</v>
      </c>
      <c r="K18" s="521" t="s">
        <v>307</v>
      </c>
      <c r="L18" s="521"/>
      <c r="M18" s="521"/>
      <c r="N18" s="521"/>
    </row>
  </sheetData>
  <mergeCells count="16">
    <mergeCell ref="A2:G2"/>
    <mergeCell ref="A3:G3"/>
    <mergeCell ref="A4:G4"/>
    <mergeCell ref="A5:A6"/>
    <mergeCell ref="C5:E5"/>
    <mergeCell ref="G5:G6"/>
    <mergeCell ref="F5:F6"/>
    <mergeCell ref="K15:N15"/>
    <mergeCell ref="K16:N16"/>
    <mergeCell ref="K17:N17"/>
    <mergeCell ref="K18:N18"/>
    <mergeCell ref="J2:N2"/>
    <mergeCell ref="J3:N3"/>
    <mergeCell ref="J4:N4"/>
    <mergeCell ref="J5:J6"/>
    <mergeCell ref="L5:N5"/>
  </mergeCells>
  <hyperlinks>
    <hyperlink ref="J7" location="_ftn1" display="_ftn1" xr:uid="{00000000-0004-0000-0100-000000000000}"/>
    <hyperlink ref="K8" location="_ftn2" display="_ftn2" xr:uid="{00000000-0004-0000-0100-000001000000}"/>
    <hyperlink ref="J9" location="_ftn3" display="_ftn3" xr:uid="{00000000-0004-0000-0100-000002000000}"/>
    <hyperlink ref="J11" location="_ftn4" display="_ftn4" xr:uid="{00000000-0004-0000-0100-000003000000}"/>
    <hyperlink ref="J15" location="_ftnref1" display="_ftnref1" xr:uid="{00000000-0004-0000-0100-000004000000}"/>
    <hyperlink ref="J16" location="_ftnref2" display="_ftnref2" xr:uid="{00000000-0004-0000-0100-000005000000}"/>
    <hyperlink ref="J17" location="_ftnref3" display="_ftnref3" xr:uid="{00000000-0004-0000-0100-000006000000}"/>
    <hyperlink ref="J18" location="_ftnref4" display="_ftnref4" xr:uid="{00000000-0004-0000-0100-000007000000}"/>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J56"/>
  <sheetViews>
    <sheetView topLeftCell="A13" workbookViewId="0">
      <selection activeCell="I34" sqref="I34"/>
    </sheetView>
  </sheetViews>
  <sheetFormatPr defaultRowHeight="15" x14ac:dyDescent="0.25"/>
  <cols>
    <col min="1" max="1" width="26" bestFit="1" customWidth="1"/>
    <col min="2" max="5" width="10.7109375" customWidth="1"/>
    <col min="6" max="6" width="12.85546875" bestFit="1" customWidth="1"/>
    <col min="7" max="7" width="12.85546875" customWidth="1"/>
    <col min="8" max="9" width="12.85546875" bestFit="1" customWidth="1"/>
    <col min="10" max="10" width="11.5703125" hidden="1" customWidth="1"/>
    <col min="11" max="11" width="9.140625" customWidth="1"/>
  </cols>
  <sheetData>
    <row r="1" spans="1:10" x14ac:dyDescent="0.25">
      <c r="A1" s="22"/>
      <c r="B1" s="22"/>
      <c r="C1" s="31"/>
      <c r="D1" s="31"/>
      <c r="E1" s="31"/>
      <c r="F1" s="31"/>
      <c r="G1" s="31"/>
      <c r="H1" s="31"/>
    </row>
    <row r="2" spans="1:10" x14ac:dyDescent="0.25">
      <c r="A2" s="22"/>
      <c r="B2" s="22"/>
      <c r="C2" s="31"/>
      <c r="D2" s="31"/>
      <c r="E2" s="31"/>
      <c r="F2" s="31"/>
      <c r="G2" s="31"/>
      <c r="H2" s="31"/>
    </row>
    <row r="3" spans="1:10" x14ac:dyDescent="0.25">
      <c r="A3" s="22"/>
      <c r="B3" s="22"/>
      <c r="C3" s="31"/>
      <c r="D3" s="31"/>
      <c r="E3" s="31"/>
      <c r="F3" s="31"/>
      <c r="G3" s="31"/>
      <c r="H3" s="31"/>
    </row>
    <row r="4" spans="1:10" x14ac:dyDescent="0.25">
      <c r="A4" s="557" t="s">
        <v>308</v>
      </c>
      <c r="B4" s="558"/>
      <c r="C4" s="558"/>
      <c r="D4" s="558"/>
      <c r="E4" s="558"/>
      <c r="F4" s="558"/>
      <c r="G4" s="558"/>
      <c r="H4" s="558"/>
      <c r="I4" s="559"/>
    </row>
    <row r="5" spans="1:10" x14ac:dyDescent="0.25">
      <c r="A5" s="557" t="s">
        <v>8</v>
      </c>
      <c r="B5" s="558"/>
      <c r="C5" s="558"/>
      <c r="D5" s="558"/>
      <c r="E5" s="558"/>
      <c r="F5" s="558"/>
      <c r="G5" s="558"/>
      <c r="H5" s="558"/>
      <c r="I5" s="559"/>
    </row>
    <row r="6" spans="1:10" x14ac:dyDescent="0.25">
      <c r="A6" s="26"/>
      <c r="B6" s="19">
        <v>2018</v>
      </c>
      <c r="C6" s="19">
        <f>B6+1</f>
        <v>2019</v>
      </c>
      <c r="D6" s="19">
        <f t="shared" ref="D6:I6" si="0">C6+1</f>
        <v>2020</v>
      </c>
      <c r="E6" s="19">
        <f t="shared" si="0"/>
        <v>2021</v>
      </c>
      <c r="F6" s="19">
        <f t="shared" si="0"/>
        <v>2022</v>
      </c>
      <c r="G6" s="19">
        <f t="shared" si="0"/>
        <v>2023</v>
      </c>
      <c r="H6" s="19">
        <f t="shared" si="0"/>
        <v>2024</v>
      </c>
      <c r="I6" s="19">
        <f t="shared" si="0"/>
        <v>2025</v>
      </c>
      <c r="J6" s="5" t="s">
        <v>161</v>
      </c>
    </row>
    <row r="7" spans="1:10" s="252" customFormat="1" x14ac:dyDescent="0.25">
      <c r="A7" s="249" t="s">
        <v>9</v>
      </c>
      <c r="B7" s="250"/>
      <c r="C7" s="250"/>
      <c r="D7" s="250"/>
      <c r="E7" s="250"/>
      <c r="F7" s="250"/>
      <c r="G7" s="250"/>
      <c r="H7" s="250"/>
      <c r="I7" s="250"/>
      <c r="J7" s="251"/>
    </row>
    <row r="8" spans="1:10" s="252" customFormat="1" x14ac:dyDescent="0.25">
      <c r="A8" s="249" t="s">
        <v>309</v>
      </c>
      <c r="B8" s="23">
        <v>163.16407056773107</v>
      </c>
      <c r="C8" s="23">
        <v>178.44263972948764</v>
      </c>
      <c r="D8" s="23">
        <v>176.84065743170626</v>
      </c>
      <c r="E8" s="23">
        <v>171.8</v>
      </c>
      <c r="F8" s="23">
        <v>222.8</v>
      </c>
      <c r="G8" s="23">
        <v>229.7761838804789</v>
      </c>
      <c r="H8" s="23">
        <v>244.30071801270472</v>
      </c>
      <c r="I8" s="23">
        <v>258.8</v>
      </c>
      <c r="J8" s="251"/>
    </row>
    <row r="9" spans="1:10" s="252" customFormat="1" x14ac:dyDescent="0.25">
      <c r="A9" s="249" t="s">
        <v>310</v>
      </c>
      <c r="B9" s="23">
        <f>B10-B8</f>
        <v>449.63592943226888</v>
      </c>
      <c r="C9" s="23">
        <f>C10-C8</f>
        <v>462.55736027051239</v>
      </c>
      <c r="D9" s="23">
        <f>D10-D8</f>
        <v>495.05934256829369</v>
      </c>
      <c r="E9" s="23">
        <f>E10-E8</f>
        <v>518.54792599999996</v>
      </c>
      <c r="F9" s="23">
        <f t="shared" ref="F9:I9" si="1">F10-F8</f>
        <v>505.09999999999985</v>
      </c>
      <c r="G9" s="23">
        <f t="shared" si="1"/>
        <v>493.74972431029698</v>
      </c>
      <c r="H9" s="23">
        <f t="shared" si="1"/>
        <v>498.52636736459931</v>
      </c>
      <c r="I9" s="23">
        <f t="shared" si="1"/>
        <v>505.14054717762593</v>
      </c>
      <c r="J9" s="251"/>
    </row>
    <row r="10" spans="1:10" x14ac:dyDescent="0.25">
      <c r="A10" s="15" t="s">
        <v>311</v>
      </c>
      <c r="B10" s="23">
        <v>612.79999999999995</v>
      </c>
      <c r="C10" s="23">
        <v>641</v>
      </c>
      <c r="D10" s="23">
        <v>671.9</v>
      </c>
      <c r="E10" s="83">
        <v>690.34792600000003</v>
      </c>
      <c r="F10" s="83">
        <v>727.89999999999986</v>
      </c>
      <c r="G10" s="83">
        <v>723.52590819077591</v>
      </c>
      <c r="H10" s="83">
        <v>742.827085377304</v>
      </c>
      <c r="I10" s="83">
        <v>763.94054717762594</v>
      </c>
      <c r="J10" s="14">
        <v>568.03399999999999</v>
      </c>
    </row>
    <row r="11" spans="1:10" x14ac:dyDescent="0.25">
      <c r="A11" s="15" t="s">
        <v>251</v>
      </c>
      <c r="B11" s="23">
        <v>393.6</v>
      </c>
      <c r="C11" s="23">
        <v>392.8</v>
      </c>
      <c r="D11" s="23">
        <v>370.5</v>
      </c>
      <c r="E11" s="83">
        <v>381.55156399999998</v>
      </c>
      <c r="F11" s="83">
        <v>401.02014525201452</v>
      </c>
      <c r="G11" s="83">
        <v>400.42817836143843</v>
      </c>
      <c r="H11" s="83">
        <v>397.72258779294947</v>
      </c>
      <c r="I11" s="83">
        <v>395.84662037286108</v>
      </c>
      <c r="J11" s="14">
        <f>377.206+11.814</f>
        <v>389.02000000000004</v>
      </c>
    </row>
    <row r="12" spans="1:10" x14ac:dyDescent="0.25">
      <c r="A12" s="15" t="s">
        <v>10</v>
      </c>
      <c r="B12" s="23">
        <v>151.69999999999999</v>
      </c>
      <c r="C12" s="23">
        <v>154</v>
      </c>
      <c r="D12" s="23">
        <v>151.80000000000001</v>
      </c>
      <c r="E12" s="83">
        <v>153.77743599999999</v>
      </c>
      <c r="F12" s="83">
        <v>163.50000009000001</v>
      </c>
      <c r="G12" s="83">
        <v>163.50000029</v>
      </c>
      <c r="H12" s="83">
        <v>168.00000046659997</v>
      </c>
      <c r="I12" s="83">
        <v>168.00000054660001</v>
      </c>
      <c r="J12" s="14">
        <v>130.13399999999999</v>
      </c>
    </row>
    <row r="13" spans="1:10" x14ac:dyDescent="0.25">
      <c r="A13" s="15" t="s">
        <v>11</v>
      </c>
      <c r="B13" s="23">
        <v>91.7</v>
      </c>
      <c r="C13" s="23">
        <v>91.7</v>
      </c>
      <c r="D13" s="23">
        <v>91.6</v>
      </c>
      <c r="E13" s="83">
        <v>93.447494999999989</v>
      </c>
      <c r="F13" s="83">
        <v>98.086524868942149</v>
      </c>
      <c r="G13" s="83">
        <v>97.941734199890846</v>
      </c>
      <c r="H13" s="83">
        <v>97.27996700509199</v>
      </c>
      <c r="I13" s="83">
        <v>96.85</v>
      </c>
      <c r="J13" s="14">
        <v>93.084000000000003</v>
      </c>
    </row>
    <row r="14" spans="1:10" x14ac:dyDescent="0.25">
      <c r="A14" s="15" t="s">
        <v>12</v>
      </c>
      <c r="B14" s="23">
        <v>7.6</v>
      </c>
      <c r="C14" s="23">
        <v>7.4</v>
      </c>
      <c r="D14" s="23">
        <v>7</v>
      </c>
      <c r="E14" s="83">
        <v>6.8753349999999998</v>
      </c>
      <c r="F14" s="83">
        <v>6.3529901575156913</v>
      </c>
      <c r="G14" s="83">
        <v>6.3531599107472649</v>
      </c>
      <c r="H14" s="83">
        <v>6.4156180889707013</v>
      </c>
      <c r="I14" s="83">
        <v>6.4786958835313246</v>
      </c>
      <c r="J14" s="14">
        <f>6.02+2.378</f>
        <v>8.3979999999999997</v>
      </c>
    </row>
    <row r="15" spans="1:10" x14ac:dyDescent="0.25">
      <c r="A15" s="21" t="s">
        <v>13</v>
      </c>
      <c r="B15" s="30">
        <f t="shared" ref="B15:H15" si="2">SUM(B10:B14)</f>
        <v>1257.3999999999999</v>
      </c>
      <c r="C15" s="30">
        <f t="shared" si="2"/>
        <v>1286.9000000000001</v>
      </c>
      <c r="D15" s="30">
        <f t="shared" si="2"/>
        <v>1292.8</v>
      </c>
      <c r="E15" s="30">
        <f t="shared" si="2"/>
        <v>1325.9997559999999</v>
      </c>
      <c r="F15" s="30">
        <f t="shared" si="2"/>
        <v>1396.8596603684723</v>
      </c>
      <c r="G15" s="30">
        <f t="shared" si="2"/>
        <v>1391.7489809528527</v>
      </c>
      <c r="H15" s="30">
        <f t="shared" si="2"/>
        <v>1412.245258730916</v>
      </c>
      <c r="I15" s="30">
        <f>SUM(I10:I14)</f>
        <v>1431.1158639806183</v>
      </c>
      <c r="J15" s="14">
        <f>SUM(J10:J14)</f>
        <v>1188.67</v>
      </c>
    </row>
    <row r="16" spans="1:10" x14ac:dyDescent="0.25">
      <c r="A16" s="27"/>
      <c r="B16" s="24"/>
      <c r="C16" s="24"/>
      <c r="D16" s="24"/>
      <c r="E16" s="24"/>
      <c r="F16" s="24"/>
      <c r="G16" s="25"/>
      <c r="H16" s="25"/>
      <c r="I16" s="25"/>
    </row>
    <row r="17" spans="1:10" x14ac:dyDescent="0.25">
      <c r="A17" s="80" t="s">
        <v>14</v>
      </c>
      <c r="B17" s="89"/>
      <c r="C17" s="24"/>
      <c r="D17" s="24"/>
      <c r="E17" s="24"/>
      <c r="F17" s="24"/>
      <c r="G17" s="25"/>
      <c r="H17" s="25"/>
      <c r="I17" s="25"/>
    </row>
    <row r="18" spans="1:10" x14ac:dyDescent="0.25">
      <c r="A18" s="259" t="str">
        <f>A7</f>
        <v>Residential</v>
      </c>
      <c r="B18" s="260"/>
      <c r="C18" s="253"/>
      <c r="D18" s="23"/>
      <c r="E18" s="23"/>
      <c r="F18" s="23"/>
      <c r="G18" s="23"/>
      <c r="H18" s="23"/>
      <c r="I18" s="23"/>
    </row>
    <row r="19" spans="1:10" x14ac:dyDescent="0.25">
      <c r="A19" s="259" t="str">
        <f t="shared" ref="A19:A21" si="3">A8</f>
        <v xml:space="preserve">  Space heating load</v>
      </c>
      <c r="B19" s="260"/>
      <c r="C19" s="253">
        <f t="shared" ref="C19:C20" si="4">(C8-B8)/B8*100</f>
        <v>9.3639298827214983</v>
      </c>
      <c r="D19" s="23">
        <f t="shared" ref="D19:D20" si="5">(D8-C8)/C8*100</f>
        <v>-0.89775756523772632</v>
      </c>
      <c r="E19" s="23">
        <f t="shared" ref="E19:E20" si="6">(E8-D8)/D8*100</f>
        <v>-2.850395098566568</v>
      </c>
      <c r="F19" s="23">
        <f t="shared" ref="F19:F20" si="7">(F8-E8)/E8*100</f>
        <v>29.685681024447032</v>
      </c>
      <c r="G19" s="23">
        <f t="shared" ref="G19:G20" si="8">(G8-F8)/F8*100</f>
        <v>3.1311417775937542</v>
      </c>
      <c r="H19" s="23">
        <f t="shared" ref="H19:I19" si="9">(H8-G8)/G8*100</f>
        <v>6.3211660525187199</v>
      </c>
      <c r="I19" s="23">
        <f t="shared" si="9"/>
        <v>5.9350140700533123</v>
      </c>
    </row>
    <row r="20" spans="1:10" x14ac:dyDescent="0.25">
      <c r="A20" s="259" t="str">
        <f t="shared" si="3"/>
        <v xml:space="preserve">  Non-space heating load</v>
      </c>
      <c r="B20" s="260"/>
      <c r="C20" s="253">
        <f t="shared" si="4"/>
        <v>2.8737540735587359</v>
      </c>
      <c r="D20" s="23">
        <f t="shared" si="5"/>
        <v>7.0265841794785215</v>
      </c>
      <c r="E20" s="23">
        <f t="shared" si="6"/>
        <v>4.744599568579198</v>
      </c>
      <c r="F20" s="23">
        <f t="shared" si="7"/>
        <v>-2.5933815035642649</v>
      </c>
      <c r="G20" s="23">
        <f t="shared" si="8"/>
        <v>-2.2471343673931643</v>
      </c>
      <c r="H20" s="23">
        <f t="shared" ref="H20:I20" si="10">(H9-G9)/G9*100</f>
        <v>0.96742191825517776</v>
      </c>
      <c r="I20" s="23">
        <f t="shared" si="10"/>
        <v>1.3267462357089965</v>
      </c>
    </row>
    <row r="21" spans="1:10" x14ac:dyDescent="0.25">
      <c r="A21" s="259" t="str">
        <f t="shared" si="3"/>
        <v xml:space="preserve">  Subtotal</v>
      </c>
      <c r="B21" s="253"/>
      <c r="C21" s="253">
        <f t="shared" ref="C21:C26" si="11">(C10-B10)/B10*100</f>
        <v>4.6018276762402168</v>
      </c>
      <c r="D21" s="23">
        <f t="shared" ref="D21:G21" si="12">(D10-C10)/C10*100</f>
        <v>4.8205928237129454</v>
      </c>
      <c r="E21" s="23">
        <f t="shared" si="12"/>
        <v>2.7456356600684706</v>
      </c>
      <c r="F21" s="23">
        <f>(F10-E10)/E10*100</f>
        <v>5.4395867048639222</v>
      </c>
      <c r="G21" s="23">
        <f t="shared" si="12"/>
        <v>-0.6009193308454398</v>
      </c>
      <c r="H21" s="23">
        <f>(H10-G10)/G10*100</f>
        <v>2.6676552930622699</v>
      </c>
      <c r="I21" s="23">
        <f>(I10-H10)/H10*100</f>
        <v>2.8423117864095904</v>
      </c>
      <c r="J21" s="23">
        <f t="shared" ref="J21:J25" si="13">(J10-I10)/I10*100</f>
        <v>-25.644213794044784</v>
      </c>
    </row>
    <row r="22" spans="1:10" x14ac:dyDescent="0.25">
      <c r="A22" s="27" t="s">
        <v>251</v>
      </c>
      <c r="B22" s="253"/>
      <c r="C22" s="253">
        <f t="shared" si="11"/>
        <v>-0.20325203252032809</v>
      </c>
      <c r="D22" s="23">
        <f t="shared" ref="D22:I26" si="14">(D11-C11)/C11*100</f>
        <v>-5.6771894093686379</v>
      </c>
      <c r="E22" s="23">
        <f t="shared" si="14"/>
        <v>2.9828782726045842</v>
      </c>
      <c r="F22" s="23">
        <f t="shared" si="14"/>
        <v>5.1024771194528595</v>
      </c>
      <c r="G22" s="23">
        <f t="shared" si="14"/>
        <v>-0.14761525015260188</v>
      </c>
      <c r="H22" s="23">
        <f t="shared" si="14"/>
        <v>-0.67567436926149871</v>
      </c>
      <c r="I22" s="23">
        <f t="shared" si="14"/>
        <v>-0.47167736449130143</v>
      </c>
      <c r="J22" s="23">
        <f t="shared" si="13"/>
        <v>-1.7245619948531639</v>
      </c>
    </row>
    <row r="23" spans="1:10" x14ac:dyDescent="0.25">
      <c r="A23" s="257" t="s">
        <v>10</v>
      </c>
      <c r="B23" s="258"/>
      <c r="C23" s="253">
        <f t="shared" si="11"/>
        <v>1.5161502966381091</v>
      </c>
      <c r="D23" s="23">
        <f t="shared" si="14"/>
        <v>-1.4285714285714213</v>
      </c>
      <c r="E23" s="23">
        <f t="shared" si="14"/>
        <v>1.3026587615283156</v>
      </c>
      <c r="F23" s="23">
        <f t="shared" si="14"/>
        <v>6.3224907001310786</v>
      </c>
      <c r="G23" s="23">
        <f t="shared" si="14"/>
        <v>1.2232415169191011E-7</v>
      </c>
      <c r="H23" s="23">
        <f t="shared" si="14"/>
        <v>2.7522936811121204</v>
      </c>
      <c r="I23" s="23">
        <f t="shared" si="14"/>
        <v>4.7619068344493183E-8</v>
      </c>
      <c r="J23" s="23">
        <f t="shared" si="13"/>
        <v>-22.539285966309691</v>
      </c>
    </row>
    <row r="24" spans="1:10" x14ac:dyDescent="0.25">
      <c r="A24" s="255" t="s">
        <v>11</v>
      </c>
      <c r="B24" s="256"/>
      <c r="C24" s="253">
        <f t="shared" si="11"/>
        <v>0</v>
      </c>
      <c r="D24" s="23">
        <f t="shared" si="14"/>
        <v>-0.10905125408943131</v>
      </c>
      <c r="E24" s="23">
        <f>(E13-D13)/D13*100</f>
        <v>2.0169159388646234</v>
      </c>
      <c r="F24" s="23">
        <f t="shared" si="14"/>
        <v>4.9643169877824551</v>
      </c>
      <c r="G24" s="23">
        <f t="shared" si="14"/>
        <v>-0.14761525015262295</v>
      </c>
      <c r="H24" s="23">
        <f t="shared" si="14"/>
        <v>-0.67567436926146751</v>
      </c>
      <c r="I24" s="23">
        <f>(I13-H13)/H13*100</f>
        <v>-0.44198925876433498</v>
      </c>
      <c r="J24" s="23">
        <f t="shared" si="13"/>
        <v>-3.8884873515745912</v>
      </c>
    </row>
    <row r="25" spans="1:10" x14ac:dyDescent="0.25">
      <c r="A25" s="27" t="s">
        <v>12</v>
      </c>
      <c r="B25" s="253"/>
      <c r="C25" s="253">
        <f t="shared" si="11"/>
        <v>-2.6315789473684119</v>
      </c>
      <c r="D25" s="23">
        <f t="shared" si="14"/>
        <v>-5.4054054054054097</v>
      </c>
      <c r="E25" s="23">
        <f t="shared" si="14"/>
        <v>-1.780928571428575</v>
      </c>
      <c r="F25" s="23">
        <f t="shared" si="14"/>
        <v>-7.5973729641436893</v>
      </c>
      <c r="G25" s="23">
        <f t="shared" si="14"/>
        <v>2.6720210068769427E-3</v>
      </c>
      <c r="H25" s="23">
        <f t="shared" si="14"/>
        <v>0.98310414188976336</v>
      </c>
      <c r="I25" s="23">
        <f t="shared" si="14"/>
        <v>0.98319123248720874</v>
      </c>
      <c r="J25" s="23">
        <f t="shared" si="13"/>
        <v>29.624852763154014</v>
      </c>
    </row>
    <row r="26" spans="1:10" x14ac:dyDescent="0.25">
      <c r="A26" s="41" t="s">
        <v>15</v>
      </c>
      <c r="B26" s="254"/>
      <c r="C26" s="254">
        <f t="shared" si="11"/>
        <v>2.3461110227453661</v>
      </c>
      <c r="D26" s="30">
        <f t="shared" si="14"/>
        <v>0.45846608128058619</v>
      </c>
      <c r="E26" s="30">
        <f t="shared" si="14"/>
        <v>2.5680504331683154</v>
      </c>
      <c r="F26" s="30">
        <f t="shared" si="14"/>
        <v>5.3438851740235442</v>
      </c>
      <c r="G26" s="30">
        <f t="shared" si="14"/>
        <v>-0.36586921081760754</v>
      </c>
      <c r="H26" s="30">
        <f t="shared" si="14"/>
        <v>1.4726993199614706</v>
      </c>
      <c r="I26" s="30">
        <f t="shared" si="14"/>
        <v>1.3362130361591695</v>
      </c>
    </row>
    <row r="27" spans="1:10" x14ac:dyDescent="0.25">
      <c r="C27" s="28"/>
      <c r="D27" s="28"/>
      <c r="E27" s="28"/>
      <c r="F27" s="28"/>
      <c r="G27" s="28"/>
      <c r="H27" s="28"/>
    </row>
    <row r="28" spans="1:10" x14ac:dyDescent="0.25">
      <c r="A28" s="551" t="s">
        <v>312</v>
      </c>
      <c r="B28" s="552"/>
      <c r="C28" s="552"/>
      <c r="D28" s="552"/>
      <c r="E28" s="552"/>
      <c r="F28" s="552"/>
      <c r="G28" s="552"/>
      <c r="H28" s="552"/>
      <c r="I28" s="553"/>
    </row>
    <row r="29" spans="1:10" x14ac:dyDescent="0.25">
      <c r="A29" s="554" t="s">
        <v>313</v>
      </c>
      <c r="B29" s="555"/>
      <c r="C29" s="555"/>
      <c r="D29" s="555"/>
      <c r="E29" s="555"/>
      <c r="F29" s="555"/>
      <c r="G29" s="555"/>
      <c r="H29" s="555"/>
      <c r="I29" s="556"/>
    </row>
    <row r="30" spans="1:10" x14ac:dyDescent="0.25">
      <c r="A30" s="266"/>
      <c r="B30" s="267"/>
      <c r="C30" s="268">
        <v>2019</v>
      </c>
      <c r="D30" s="268">
        <v>2020</v>
      </c>
      <c r="E30" s="268">
        <v>2021</v>
      </c>
      <c r="F30" s="268">
        <v>2022</v>
      </c>
      <c r="G30" s="268">
        <v>2023</v>
      </c>
      <c r="H30" s="268">
        <v>2024</v>
      </c>
      <c r="I30" s="268">
        <v>2025</v>
      </c>
    </row>
    <row r="31" spans="1:10" x14ac:dyDescent="0.25">
      <c r="A31" s="261"/>
      <c r="B31" s="262"/>
      <c r="C31" s="268" t="s">
        <v>314</v>
      </c>
      <c r="D31" s="268" t="s">
        <v>314</v>
      </c>
      <c r="E31" s="268" t="s">
        <v>314</v>
      </c>
      <c r="F31" s="268" t="s">
        <v>315</v>
      </c>
      <c r="G31" s="268" t="s">
        <v>315</v>
      </c>
      <c r="H31" s="268" t="s">
        <v>315</v>
      </c>
      <c r="I31" s="268" t="s">
        <v>315</v>
      </c>
    </row>
    <row r="32" spans="1:10" x14ac:dyDescent="0.25">
      <c r="A32" s="547" t="s">
        <v>316</v>
      </c>
      <c r="B32" s="548"/>
      <c r="C32" s="269">
        <f>'Tables Section 5.1 - 5.2'!B36</f>
        <v>16516</v>
      </c>
      <c r="D32" s="269">
        <f>'Tables Section 5.1 - 5.2'!C36</f>
        <v>17110</v>
      </c>
      <c r="E32" s="269">
        <f>'Tables Section 5.1 - 5.2'!D36</f>
        <v>18409</v>
      </c>
      <c r="F32" s="269">
        <f>'Tables Section 5.1 - 5.2'!E36</f>
        <v>19625</v>
      </c>
      <c r="G32" s="269">
        <f>'Tables Section 5.1 - 5.2'!F36</f>
        <v>21394</v>
      </c>
      <c r="H32" s="269">
        <f>'Tables Section 5.1 - 5.2'!G36</f>
        <v>22699</v>
      </c>
      <c r="I32" s="269">
        <f>'Tables Section 5.1 - 5.2'!H36</f>
        <v>23815</v>
      </c>
    </row>
    <row r="33" spans="1:9" x14ac:dyDescent="0.25">
      <c r="A33" s="270" t="s">
        <v>317</v>
      </c>
      <c r="B33" s="263"/>
      <c r="C33" s="269">
        <f>'Tables Section 5.1 - 5.2'!B98</f>
        <v>9484</v>
      </c>
      <c r="D33" s="269">
        <f>'Tables Section 5.1 - 5.2'!C98</f>
        <v>10634</v>
      </c>
      <c r="E33" s="269">
        <f>'Tables Section 5.1 - 5.2'!D98</f>
        <v>12329</v>
      </c>
      <c r="F33" s="269">
        <f>'Tables Section 5.1 - 5.2'!E98</f>
        <v>12854</v>
      </c>
      <c r="G33" s="269">
        <f>'Tables Section 5.1 - 5.2'!F98</f>
        <v>13185</v>
      </c>
      <c r="H33" s="269">
        <f>'Tables Section 5.1 - 5.2'!G98</f>
        <v>13559</v>
      </c>
      <c r="I33" s="269">
        <f>'Tables Section 5.1 - 5.2'!H98</f>
        <v>13972</v>
      </c>
    </row>
    <row r="34" spans="1:9" x14ac:dyDescent="0.25">
      <c r="A34" s="264" t="s">
        <v>5</v>
      </c>
      <c r="B34" s="265"/>
      <c r="C34" s="341">
        <f>SUM(C32:C33)</f>
        <v>26000</v>
      </c>
      <c r="D34" s="341">
        <f t="shared" ref="D34:I34" si="15">SUM(D32:D33)</f>
        <v>27744</v>
      </c>
      <c r="E34" s="341">
        <f t="shared" si="15"/>
        <v>30738</v>
      </c>
      <c r="F34" s="341">
        <f t="shared" si="15"/>
        <v>32479</v>
      </c>
      <c r="G34" s="341">
        <f t="shared" si="15"/>
        <v>34579</v>
      </c>
      <c r="H34" s="341">
        <f t="shared" si="15"/>
        <v>36258</v>
      </c>
      <c r="I34" s="341">
        <f t="shared" si="15"/>
        <v>37787</v>
      </c>
    </row>
    <row r="36" spans="1:9" x14ac:dyDescent="0.25">
      <c r="A36" s="549" t="s">
        <v>318</v>
      </c>
      <c r="B36" s="549"/>
      <c r="C36" s="549"/>
      <c r="D36" s="549"/>
      <c r="E36" s="549"/>
      <c r="F36" s="549"/>
      <c r="G36" s="549"/>
      <c r="H36" s="549"/>
    </row>
    <row r="37" spans="1:9" x14ac:dyDescent="0.25">
      <c r="A37" s="549" t="s">
        <v>319</v>
      </c>
      <c r="B37" s="549"/>
      <c r="C37" s="549"/>
      <c r="D37" s="549"/>
      <c r="E37" s="549"/>
      <c r="F37" s="549"/>
      <c r="G37" s="549"/>
      <c r="H37" s="549"/>
    </row>
    <row r="38" spans="1:9" x14ac:dyDescent="0.25">
      <c r="A38" s="550"/>
      <c r="B38" s="271">
        <v>2019</v>
      </c>
      <c r="C38" s="271">
        <v>2020</v>
      </c>
      <c r="D38" s="271">
        <v>2021</v>
      </c>
      <c r="E38" s="271">
        <v>2022</v>
      </c>
      <c r="F38" s="271">
        <v>2023</v>
      </c>
      <c r="G38" s="271">
        <v>2024</v>
      </c>
      <c r="H38" s="271">
        <v>2025</v>
      </c>
    </row>
    <row r="39" spans="1:9" x14ac:dyDescent="0.25">
      <c r="A39" s="550"/>
      <c r="B39" s="272" t="s">
        <v>320</v>
      </c>
      <c r="C39" s="272" t="s">
        <v>321</v>
      </c>
      <c r="D39" s="272" t="s">
        <v>322</v>
      </c>
      <c r="E39" s="271" t="s">
        <v>315</v>
      </c>
      <c r="F39" s="271" t="s">
        <v>315</v>
      </c>
      <c r="G39" s="271" t="s">
        <v>315</v>
      </c>
      <c r="H39" s="271" t="s">
        <v>315</v>
      </c>
    </row>
    <row r="40" spans="1:9" x14ac:dyDescent="0.25">
      <c r="A40" s="273" t="s">
        <v>75</v>
      </c>
      <c r="B40" s="277">
        <v>485</v>
      </c>
      <c r="C40" s="277">
        <v>729</v>
      </c>
      <c r="D40" s="278">
        <v>1000</v>
      </c>
      <c r="E40" s="278">
        <v>1245</v>
      </c>
      <c r="F40" s="278">
        <v>1540</v>
      </c>
      <c r="G40" s="278">
        <v>1506</v>
      </c>
      <c r="H40" s="278">
        <v>1921</v>
      </c>
    </row>
    <row r="41" spans="1:9" x14ac:dyDescent="0.25">
      <c r="A41" s="273" t="s">
        <v>78</v>
      </c>
      <c r="B41" s="278">
        <v>7721</v>
      </c>
      <c r="C41" s="278">
        <v>7655</v>
      </c>
      <c r="D41" s="278">
        <v>9257</v>
      </c>
      <c r="E41" s="278">
        <v>8889</v>
      </c>
      <c r="F41" s="278">
        <v>15343</v>
      </c>
      <c r="G41" s="278">
        <v>15325</v>
      </c>
      <c r="H41" s="278">
        <v>18440</v>
      </c>
    </row>
    <row r="42" spans="1:9" x14ac:dyDescent="0.25">
      <c r="A42" s="273" t="s">
        <v>79</v>
      </c>
      <c r="B42" s="278">
        <v>22507</v>
      </c>
      <c r="C42" s="278">
        <v>21974</v>
      </c>
      <c r="D42" s="278">
        <v>24772</v>
      </c>
      <c r="E42" s="278">
        <v>28249</v>
      </c>
      <c r="F42" s="278">
        <v>29110</v>
      </c>
      <c r="G42" s="278">
        <v>43748</v>
      </c>
      <c r="H42" s="278">
        <v>44170</v>
      </c>
    </row>
    <row r="43" spans="1:9" x14ac:dyDescent="0.25">
      <c r="A43" s="273" t="s">
        <v>77</v>
      </c>
      <c r="B43" s="278">
        <v>1434</v>
      </c>
      <c r="C43" s="278">
        <v>1687</v>
      </c>
      <c r="D43" s="278">
        <v>2311</v>
      </c>
      <c r="E43" s="278">
        <v>4035</v>
      </c>
      <c r="F43" s="278">
        <v>6445</v>
      </c>
      <c r="G43" s="278">
        <v>11485</v>
      </c>
      <c r="H43" s="278">
        <v>9062</v>
      </c>
    </row>
    <row r="44" spans="1:9" x14ac:dyDescent="0.25">
      <c r="A44" s="274" t="s">
        <v>323</v>
      </c>
      <c r="B44" s="279">
        <f>SUM(B40:B43)</f>
        <v>32147</v>
      </c>
      <c r="C44" s="279">
        <f t="shared" ref="C44:H44" si="16">SUM(C40:C43)</f>
        <v>32045</v>
      </c>
      <c r="D44" s="279">
        <f t="shared" si="16"/>
        <v>37340</v>
      </c>
      <c r="E44" s="279">
        <f t="shared" si="16"/>
        <v>42418</v>
      </c>
      <c r="F44" s="279">
        <f t="shared" si="16"/>
        <v>52438</v>
      </c>
      <c r="G44" s="279">
        <f t="shared" si="16"/>
        <v>72064</v>
      </c>
      <c r="H44" s="279">
        <f t="shared" si="16"/>
        <v>73593</v>
      </c>
    </row>
    <row r="45" spans="1:9" x14ac:dyDescent="0.25">
      <c r="A45" s="273" t="s">
        <v>76</v>
      </c>
      <c r="B45" s="277">
        <v>568</v>
      </c>
      <c r="C45" s="277">
        <v>490</v>
      </c>
      <c r="D45" s="277">
        <v>681</v>
      </c>
      <c r="E45" s="277">
        <v>690</v>
      </c>
      <c r="F45" s="277">
        <v>721</v>
      </c>
      <c r="G45" s="277">
        <v>739</v>
      </c>
      <c r="H45" s="277">
        <v>758</v>
      </c>
    </row>
    <row r="46" spans="1:9" x14ac:dyDescent="0.25">
      <c r="A46" s="273" t="s">
        <v>324</v>
      </c>
      <c r="B46" s="277">
        <v>474</v>
      </c>
      <c r="C46" s="277">
        <v>444</v>
      </c>
      <c r="D46" s="277">
        <v>548</v>
      </c>
      <c r="E46" s="277">
        <v>496</v>
      </c>
      <c r="F46" s="277">
        <v>682</v>
      </c>
      <c r="G46" s="277">
        <v>950</v>
      </c>
      <c r="H46" s="277">
        <v>961</v>
      </c>
    </row>
    <row r="47" spans="1:9" x14ac:dyDescent="0.25">
      <c r="A47" s="273" t="s">
        <v>241</v>
      </c>
      <c r="B47" s="280">
        <v>-759</v>
      </c>
      <c r="C47" s="280">
        <v>-1157</v>
      </c>
      <c r="D47" s="280">
        <v>-1482</v>
      </c>
      <c r="E47" s="280">
        <v>-3538</v>
      </c>
      <c r="F47" s="280">
        <v>-2250</v>
      </c>
      <c r="G47" s="280">
        <v>-10250</v>
      </c>
      <c r="H47" s="280">
        <v>-8750</v>
      </c>
    </row>
    <row r="48" spans="1:9" x14ac:dyDescent="0.25">
      <c r="A48" s="274" t="s">
        <v>323</v>
      </c>
      <c r="B48" s="279">
        <f>SUM(B44:B47)</f>
        <v>32430</v>
      </c>
      <c r="C48" s="279">
        <f t="shared" ref="C48:H48" si="17">SUM(C44:C47)</f>
        <v>31822</v>
      </c>
      <c r="D48" s="279">
        <f t="shared" si="17"/>
        <v>37087</v>
      </c>
      <c r="E48" s="279">
        <f t="shared" si="17"/>
        <v>40066</v>
      </c>
      <c r="F48" s="279">
        <f t="shared" si="17"/>
        <v>51591</v>
      </c>
      <c r="G48" s="279">
        <f t="shared" si="17"/>
        <v>63503</v>
      </c>
      <c r="H48" s="279">
        <f t="shared" si="17"/>
        <v>66562</v>
      </c>
    </row>
    <row r="49" spans="1:8" x14ac:dyDescent="0.25">
      <c r="A49" s="275" t="s">
        <v>325</v>
      </c>
      <c r="B49" s="278">
        <v>2641</v>
      </c>
      <c r="C49" s="278">
        <v>2723</v>
      </c>
      <c r="D49" s="278">
        <v>5082</v>
      </c>
      <c r="E49" s="278">
        <f>13641</f>
        <v>13641</v>
      </c>
      <c r="F49" s="280">
        <f>-E50</f>
        <v>8000</v>
      </c>
      <c r="G49" s="280">
        <f>-F50</f>
        <v>7000</v>
      </c>
      <c r="H49" s="280">
        <f>-G50</f>
        <v>6000</v>
      </c>
    </row>
    <row r="50" spans="1:8" x14ac:dyDescent="0.25">
      <c r="A50" s="275" t="s">
        <v>422</v>
      </c>
      <c r="B50" s="278"/>
      <c r="C50" s="278"/>
      <c r="D50" s="278"/>
      <c r="E50" s="280">
        <v>-8000</v>
      </c>
      <c r="F50" s="280">
        <v>-7000</v>
      </c>
      <c r="G50" s="280">
        <v>-6000</v>
      </c>
      <c r="H50" s="280">
        <v>-5000</v>
      </c>
    </row>
    <row r="51" spans="1:8" x14ac:dyDescent="0.25">
      <c r="A51" s="274" t="s">
        <v>5</v>
      </c>
      <c r="B51" s="279">
        <f>SUM(B48:B49)</f>
        <v>35071</v>
      </c>
      <c r="C51" s="279">
        <f t="shared" ref="C51:D51" si="18">SUM(C48:C49)</f>
        <v>34545</v>
      </c>
      <c r="D51" s="279">
        <f t="shared" si="18"/>
        <v>42169</v>
      </c>
      <c r="E51" s="279">
        <f>SUM(E48:E50)</f>
        <v>45707</v>
      </c>
      <c r="F51" s="279">
        <f t="shared" ref="F51:H51" si="19">SUM(F48:F50)</f>
        <v>52591</v>
      </c>
      <c r="G51" s="279">
        <f t="shared" si="19"/>
        <v>64503</v>
      </c>
      <c r="H51" s="279">
        <f t="shared" si="19"/>
        <v>67562</v>
      </c>
    </row>
    <row r="52" spans="1:8" ht="31.5" customHeight="1" x14ac:dyDescent="0.25">
      <c r="A52" s="276" t="s">
        <v>301</v>
      </c>
      <c r="B52" s="544" t="s">
        <v>326</v>
      </c>
      <c r="C52" s="545"/>
      <c r="D52" s="545"/>
      <c r="E52" s="545"/>
      <c r="F52" s="545"/>
      <c r="G52" s="545"/>
      <c r="H52" s="546"/>
    </row>
    <row r="53" spans="1:8" ht="30" customHeight="1" x14ac:dyDescent="0.25">
      <c r="A53" s="276" t="s">
        <v>303</v>
      </c>
      <c r="B53" s="544" t="s">
        <v>327</v>
      </c>
      <c r="C53" s="545"/>
      <c r="D53" s="545"/>
      <c r="E53" s="545"/>
      <c r="F53" s="545"/>
      <c r="G53" s="545"/>
      <c r="H53" s="546"/>
    </row>
    <row r="54" spans="1:8" ht="24" customHeight="1" x14ac:dyDescent="0.25">
      <c r="A54" s="276" t="s">
        <v>305</v>
      </c>
      <c r="B54" s="544" t="s">
        <v>328</v>
      </c>
      <c r="C54" s="545"/>
      <c r="D54" s="545"/>
      <c r="E54" s="545"/>
      <c r="F54" s="545"/>
      <c r="G54" s="545"/>
      <c r="H54" s="546"/>
    </row>
    <row r="55" spans="1:8" ht="52.5" customHeight="1" x14ac:dyDescent="0.25">
      <c r="A55" s="276" t="s">
        <v>329</v>
      </c>
      <c r="B55" s="544" t="s">
        <v>330</v>
      </c>
      <c r="C55" s="545"/>
      <c r="D55" s="545"/>
      <c r="E55" s="545"/>
      <c r="F55" s="545"/>
      <c r="G55" s="545"/>
      <c r="H55" s="546"/>
    </row>
    <row r="56" spans="1:8" ht="32.25" customHeight="1" x14ac:dyDescent="0.25">
      <c r="A56" s="276" t="s">
        <v>421</v>
      </c>
      <c r="B56" s="544" t="s">
        <v>423</v>
      </c>
      <c r="C56" s="545"/>
      <c r="D56" s="545"/>
      <c r="E56" s="545"/>
      <c r="F56" s="545"/>
      <c r="G56" s="545"/>
      <c r="H56" s="546"/>
    </row>
  </sheetData>
  <mergeCells count="13">
    <mergeCell ref="A28:I28"/>
    <mergeCell ref="A29:I29"/>
    <mergeCell ref="A5:I5"/>
    <mergeCell ref="A4:I4"/>
    <mergeCell ref="B53:H53"/>
    <mergeCell ref="B56:H56"/>
    <mergeCell ref="B54:H54"/>
    <mergeCell ref="B55:H55"/>
    <mergeCell ref="A32:B32"/>
    <mergeCell ref="A36:H36"/>
    <mergeCell ref="A37:H37"/>
    <mergeCell ref="A38:A39"/>
    <mergeCell ref="B52:H52"/>
  </mergeCells>
  <hyperlinks>
    <hyperlink ref="B39" location="_ftn1" display="_ftn1" xr:uid="{00000000-0004-0000-0200-000000000000}"/>
    <hyperlink ref="C39" location="_ftn2" display="_ftn2" xr:uid="{00000000-0004-0000-0200-000001000000}"/>
    <hyperlink ref="D39" location="_ftn3" display="_ftn3" xr:uid="{00000000-0004-0000-0200-000002000000}"/>
    <hyperlink ref="A55" location="_ftnref4" display="_ftnref4" xr:uid="{00000000-0004-0000-0200-000003000000}"/>
    <hyperlink ref="A54" location="_ftnref3" display="_ftnref3" xr:uid="{00000000-0004-0000-0200-000004000000}"/>
    <hyperlink ref="A53" location="_ftnref2" display="_ftnref2" xr:uid="{00000000-0004-0000-0200-000005000000}"/>
    <hyperlink ref="A52" location="_ftnref1" display="_ftnref1" xr:uid="{00000000-0004-0000-0200-000006000000}"/>
    <hyperlink ref="A49" location="_ftn4" display="_ftn4" xr:uid="{00000000-0004-0000-0200-000007000000}"/>
    <hyperlink ref="A56" location="_ftnref4" display="_ftnref4" xr:uid="{00000000-0004-0000-0200-000008000000}"/>
    <hyperlink ref="A50" location="_ftn4" display="_ftn4" xr:uid="{00000000-0004-0000-0200-000009000000}"/>
  </hyperlinks>
  <printOptions horizontalCentered="1"/>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P177"/>
  <sheetViews>
    <sheetView topLeftCell="A76" workbookViewId="0">
      <selection activeCell="D110" sqref="D110:H110"/>
    </sheetView>
  </sheetViews>
  <sheetFormatPr defaultRowHeight="15" x14ac:dyDescent="0.25"/>
  <cols>
    <col min="1" max="1" width="45.140625" style="10" bestFit="1" customWidth="1"/>
    <col min="2" max="2" width="13.7109375" style="10" bestFit="1" customWidth="1"/>
    <col min="3" max="3" width="16.28515625" style="10" bestFit="1" customWidth="1"/>
    <col min="4" max="6" width="13.28515625" style="10" customWidth="1"/>
    <col min="7" max="7" width="13.42578125" style="10" customWidth="1"/>
    <col min="8" max="8" width="13.7109375" style="10" bestFit="1" customWidth="1"/>
    <col min="9" max="16384" width="9.140625" style="10"/>
  </cols>
  <sheetData>
    <row r="2" spans="1:11" x14ac:dyDescent="0.25">
      <c r="A2" s="569" t="s">
        <v>343</v>
      </c>
      <c r="B2" s="570"/>
      <c r="C2" s="570"/>
      <c r="D2" s="570"/>
      <c r="E2" s="570"/>
      <c r="F2" s="570"/>
      <c r="G2" s="570"/>
      <c r="H2" s="571"/>
    </row>
    <row r="3" spans="1:11" x14ac:dyDescent="0.25">
      <c r="A3" s="569" t="s">
        <v>17</v>
      </c>
      <c r="B3" s="570"/>
      <c r="C3" s="570"/>
      <c r="D3" s="570"/>
      <c r="E3" s="570"/>
      <c r="F3" s="570"/>
      <c r="G3" s="570"/>
      <c r="H3" s="571"/>
    </row>
    <row r="4" spans="1:11" x14ac:dyDescent="0.25">
      <c r="A4" s="96"/>
      <c r="B4" s="90">
        <f>+'Tables Section 4'!C6</f>
        <v>2019</v>
      </c>
      <c r="C4" s="90">
        <f>+'Tables Section 4'!D6</f>
        <v>2020</v>
      </c>
      <c r="D4" s="90">
        <f>+'Tables Section 4'!E6</f>
        <v>2021</v>
      </c>
      <c r="E4" s="90">
        <f>+'Tables Section 4'!F6</f>
        <v>2022</v>
      </c>
      <c r="F4" s="90">
        <f>+'Tables Section 4'!G6</f>
        <v>2023</v>
      </c>
      <c r="G4" s="90">
        <f>+'Tables Section 4'!H6</f>
        <v>2024</v>
      </c>
      <c r="H4" s="90">
        <f>+'Tables Section 4'!I6</f>
        <v>2025</v>
      </c>
    </row>
    <row r="5" spans="1:11" x14ac:dyDescent="0.25">
      <c r="A5" s="92" t="s">
        <v>16</v>
      </c>
      <c r="B5" s="92">
        <f>+'Tables Section 4'!C15</f>
        <v>1286.9000000000001</v>
      </c>
      <c r="C5" s="92">
        <f>+'Tables Section 4'!D15</f>
        <v>1292.8</v>
      </c>
      <c r="D5" s="92">
        <f>+'Tables Section 4'!E15</f>
        <v>1325.9997559999999</v>
      </c>
      <c r="E5" s="92">
        <f>+'Tables Section 4'!F15</f>
        <v>1396.8596603684723</v>
      </c>
      <c r="F5" s="92">
        <f>+'Tables Section 4'!G15</f>
        <v>1391.7489809528527</v>
      </c>
      <c r="G5" s="92">
        <f>+'Tables Section 4'!H15</f>
        <v>1412.245258730916</v>
      </c>
      <c r="H5" s="92">
        <f>ROUND(+'Tables Section 4'!I15,1)</f>
        <v>1431.1</v>
      </c>
    </row>
    <row r="6" spans="1:11" x14ac:dyDescent="0.25">
      <c r="A6" s="92" t="s">
        <v>625</v>
      </c>
      <c r="B6" s="92">
        <f>+B7-B5</f>
        <v>98.398410000000013</v>
      </c>
      <c r="C6" s="92">
        <f t="shared" ref="C6:H6" si="0">+C7-C5</f>
        <v>99.002566000000115</v>
      </c>
      <c r="D6" s="92">
        <f t="shared" si="0"/>
        <v>105.6078500000001</v>
      </c>
      <c r="E6" s="92">
        <f t="shared" si="0"/>
        <v>107.33845263152762</v>
      </c>
      <c r="F6" s="92">
        <f t="shared" si="0"/>
        <v>106.96548904714723</v>
      </c>
      <c r="G6" s="92">
        <f t="shared" si="0"/>
        <v>105.17781426908391</v>
      </c>
      <c r="H6" s="92">
        <f t="shared" si="0"/>
        <v>106.53952900000013</v>
      </c>
    </row>
    <row r="7" spans="1:11" x14ac:dyDescent="0.25">
      <c r="A7" s="94" t="s">
        <v>5</v>
      </c>
      <c r="B7" s="94">
        <f>+'Energy Supply'!B7</f>
        <v>1385.2984100000001</v>
      </c>
      <c r="C7" s="94">
        <f>+'Energy Supply'!C7</f>
        <v>1391.8025660000001</v>
      </c>
      <c r="D7" s="94">
        <f>+'Energy Supply'!D7</f>
        <v>1431.607606</v>
      </c>
      <c r="E7" s="94">
        <f>+'Energy Supply'!E7</f>
        <v>1504.1981129999999</v>
      </c>
      <c r="F7" s="94">
        <f>+'Energy Supply'!F7</f>
        <v>1498.7144699999999</v>
      </c>
      <c r="G7" s="94">
        <f>+'Energy Supply'!G7</f>
        <v>1517.4230729999999</v>
      </c>
      <c r="H7" s="94">
        <f>+'Energy Supply'!H7</f>
        <v>1537.639529</v>
      </c>
    </row>
    <row r="9" spans="1:11" x14ac:dyDescent="0.25">
      <c r="A9" s="9"/>
      <c r="B9" s="9"/>
    </row>
    <row r="10" spans="1:11" x14ac:dyDescent="0.25">
      <c r="A10" s="563" t="s">
        <v>577</v>
      </c>
      <c r="B10" s="564"/>
      <c r="C10" s="564"/>
      <c r="D10" s="564"/>
      <c r="E10" s="564"/>
      <c r="F10" s="564"/>
      <c r="G10" s="564"/>
      <c r="H10" s="565"/>
      <c r="J10" s="292"/>
      <c r="K10" s="292"/>
    </row>
    <row r="11" spans="1:11" x14ac:dyDescent="0.25">
      <c r="A11" s="560" t="s">
        <v>331</v>
      </c>
      <c r="B11" s="561"/>
      <c r="C11" s="561"/>
      <c r="D11" s="561"/>
      <c r="E11" s="561"/>
      <c r="F11" s="561"/>
      <c r="G11" s="561"/>
      <c r="H11" s="562"/>
      <c r="J11" s="292"/>
      <c r="K11" s="292"/>
    </row>
    <row r="12" spans="1:11" x14ac:dyDescent="0.25">
      <c r="A12" s="289"/>
      <c r="B12" s="293">
        <f t="shared" ref="B12:H12" si="1">+B4</f>
        <v>2019</v>
      </c>
      <c r="C12" s="293">
        <f t="shared" si="1"/>
        <v>2020</v>
      </c>
      <c r="D12" s="293">
        <f t="shared" si="1"/>
        <v>2021</v>
      </c>
      <c r="E12" s="293">
        <f t="shared" si="1"/>
        <v>2022</v>
      </c>
      <c r="F12" s="293">
        <f t="shared" si="1"/>
        <v>2023</v>
      </c>
      <c r="G12" s="293">
        <f t="shared" si="1"/>
        <v>2024</v>
      </c>
      <c r="H12" s="293">
        <f t="shared" si="1"/>
        <v>2025</v>
      </c>
    </row>
    <row r="13" spans="1:11" x14ac:dyDescent="0.25">
      <c r="A13" s="34" t="s">
        <v>18</v>
      </c>
      <c r="B13" s="20">
        <f>ROUND('Energy Supply'!B13/1000,0)</f>
        <v>24442</v>
      </c>
      <c r="C13" s="20">
        <f>ROUND('Energy Supply'!C13/1000,0)</f>
        <v>23985</v>
      </c>
      <c r="D13" s="20">
        <f>ROUND('Energy Supply'!D13/1000,0)</f>
        <v>25758</v>
      </c>
      <c r="E13" s="20">
        <f>ROUND('Energy Supply'!E13/1000,0)</f>
        <v>24529</v>
      </c>
      <c r="F13" s="20">
        <f>ROUND('Energy Supply'!F13/1000,0)</f>
        <v>25481</v>
      </c>
      <c r="G13" s="20">
        <f>ROUND('Energy Supply'!G13/1000,0)</f>
        <v>24661</v>
      </c>
      <c r="H13" s="20">
        <f>ROUND('Energy Supply'!H13/1000,0)</f>
        <v>25647</v>
      </c>
    </row>
    <row r="14" spans="1:11" x14ac:dyDescent="0.25">
      <c r="A14" s="34" t="s">
        <v>184</v>
      </c>
      <c r="B14" s="34">
        <f>ROUND('Energy Supply'!B14/1000,0)</f>
        <v>24599</v>
      </c>
      <c r="C14" s="34">
        <f>ROUND('Energy Supply'!C14/1000,0)</f>
        <v>24958</v>
      </c>
      <c r="D14" s="34">
        <f>ROUND('Energy Supply'!D14/1000,0)</f>
        <v>23658</v>
      </c>
      <c r="E14" s="34">
        <f>ROUND('Energy Supply'!E14/1000,0)</f>
        <v>24472</v>
      </c>
      <c r="F14" s="34">
        <f>ROUND('Energy Supply'!F14/1000,0)</f>
        <v>26635</v>
      </c>
      <c r="G14" s="34">
        <f>ROUND('Energy Supply'!G14/1000,0)</f>
        <v>37187</v>
      </c>
      <c r="H14" s="34">
        <f>ROUND('Energy Supply'!H14/1000,0)</f>
        <v>50637</v>
      </c>
    </row>
    <row r="15" spans="1:11" x14ac:dyDescent="0.25">
      <c r="A15" s="34" t="s">
        <v>19</v>
      </c>
      <c r="B15" s="34">
        <f>ROUND('Energy Supply'!B15/1000,0)</f>
        <v>59046</v>
      </c>
      <c r="C15" s="34">
        <f>ROUND('Energy Supply'!C15/1000,0)</f>
        <v>65739</v>
      </c>
      <c r="D15" s="34">
        <f>ROUND('Energy Supply'!D15/1000,0)+1</f>
        <v>73305</v>
      </c>
      <c r="E15" s="34">
        <f>ROUND('Energy Supply'!E15/1000,0)</f>
        <v>86057</v>
      </c>
      <c r="F15" s="34">
        <f>ROUND('Energy Supply'!F15/1000,0)</f>
        <v>81978</v>
      </c>
      <c r="G15" s="34">
        <f>ROUND('Energy Supply'!G15/1000,0)</f>
        <v>77269</v>
      </c>
      <c r="H15" s="34">
        <f>ROUND('Energy Supply'!H15/1000,0)</f>
        <v>65475</v>
      </c>
      <c r="I15" s="287"/>
    </row>
    <row r="16" spans="1:11" x14ac:dyDescent="0.25">
      <c r="A16" s="34" t="s">
        <v>20</v>
      </c>
      <c r="B16" s="34">
        <f>ROUND('Energy Supply'!B16/1000,0)</f>
        <v>8725</v>
      </c>
      <c r="C16" s="34">
        <f>ROUND('Energy Supply'!C16/1000,0)</f>
        <v>4759</v>
      </c>
      <c r="D16" s="34">
        <f>ROUND('Energy Supply'!D16/1000,0)</f>
        <v>6042</v>
      </c>
      <c r="E16" s="34">
        <f>ROUND('Energy Supply'!E16/1000,0)</f>
        <v>478</v>
      </c>
      <c r="F16" s="34">
        <f>ROUND('Energy Supply'!F16/1000,0)</f>
        <v>124</v>
      </c>
      <c r="G16" s="34">
        <f>ROUND('Energy Supply'!G16/1000,0)</f>
        <v>0</v>
      </c>
      <c r="H16" s="34">
        <f>ROUND('Energy Supply'!H16/1000,0)</f>
        <v>0</v>
      </c>
    </row>
    <row r="17" spans="1:9" x14ac:dyDescent="0.25">
      <c r="A17" s="34" t="s">
        <v>332</v>
      </c>
      <c r="B17" s="34">
        <f>ROUND('Energy Supply'!B17/1000,0)</f>
        <v>-3</v>
      </c>
      <c r="C17" s="34">
        <f>ROUND('Energy Supply'!C17/1000,0)</f>
        <v>207</v>
      </c>
      <c r="D17" s="34">
        <f>ROUND('Energy Supply'!D17/1000,0)-1</f>
        <v>-606</v>
      </c>
      <c r="E17" s="34">
        <f>ROUND('Energy Supply'!E17/1000,0)</f>
        <v>0</v>
      </c>
      <c r="F17" s="34">
        <f>ROUND('Energy Supply'!F17/1000,0)</f>
        <v>0</v>
      </c>
      <c r="G17" s="34">
        <f>ROUND('Energy Supply'!G17/1000,0)</f>
        <v>0</v>
      </c>
      <c r="H17" s="34">
        <f>ROUND('Energy Supply'!H17/1000,0)</f>
        <v>0</v>
      </c>
    </row>
    <row r="18" spans="1:9" x14ac:dyDescent="0.25">
      <c r="A18" s="34" t="s">
        <v>21</v>
      </c>
      <c r="B18" s="34">
        <f>ROUND('Energy Supply'!B18/1000,0)</f>
        <v>1440</v>
      </c>
      <c r="C18" s="34">
        <f>ROUND('Energy Supply'!C18/1000,0)</f>
        <v>1173</v>
      </c>
      <c r="D18" s="34">
        <f>ROUND('Energy Supply'!D18/1000,0)</f>
        <v>802</v>
      </c>
      <c r="E18" s="34">
        <f>ROUND('Energy Supply'!E18/1000,0)</f>
        <v>289</v>
      </c>
      <c r="F18" s="34">
        <f>ROUND('Energy Supply'!F18/1000,0)</f>
        <v>0</v>
      </c>
      <c r="G18" s="34">
        <f>ROUND('Energy Supply'!G18/1000,0)</f>
        <v>0</v>
      </c>
      <c r="H18" s="34">
        <f>ROUND('Energy Supply'!H18/1000,0)</f>
        <v>0</v>
      </c>
    </row>
    <row r="19" spans="1:9" x14ac:dyDescent="0.25">
      <c r="A19" s="34" t="s">
        <v>22</v>
      </c>
      <c r="B19" s="34">
        <f>ROUND('Energy Supply'!B19/1000,0)</f>
        <v>598</v>
      </c>
      <c r="C19" s="34">
        <f>ROUND('Energy Supply'!C19/1000,0)</f>
        <v>429</v>
      </c>
      <c r="D19" s="34">
        <f>ROUND('Energy Supply'!D19/1000,0)</f>
        <v>650</v>
      </c>
      <c r="E19" s="34">
        <f>ROUND('Energy Supply'!E19/1000,0)</f>
        <v>815</v>
      </c>
      <c r="F19" s="34">
        <f>ROUND('Energy Supply'!F19/1000,0)</f>
        <v>1164</v>
      </c>
      <c r="G19" s="34">
        <f>ROUND('Energy Supply'!G19/1000,0)-1</f>
        <v>1351</v>
      </c>
      <c r="H19" s="34">
        <f>ROUND('Energy Supply'!H19/1000,0)</f>
        <v>1596</v>
      </c>
    </row>
    <row r="20" spans="1:9" x14ac:dyDescent="0.25">
      <c r="A20" s="34" t="s">
        <v>23</v>
      </c>
      <c r="B20" s="34">
        <f>ROUND('Energy Supply'!B20/1000,0)</f>
        <v>310</v>
      </c>
      <c r="C20" s="34">
        <f>ROUND('Energy Supply'!C20/1000,0)</f>
        <v>313</v>
      </c>
      <c r="D20" s="34">
        <f>ROUND('Energy Supply'!D20/1000,0)</f>
        <v>426</v>
      </c>
      <c r="E20" s="34">
        <f>ROUND('Energy Supply'!E20/1000,0)</f>
        <v>608</v>
      </c>
      <c r="F20" s="34">
        <f>ROUND('Energy Supply'!F20/1000,0)</f>
        <v>607</v>
      </c>
      <c r="G20" s="34">
        <f>ROUND('Energy Supply'!G20/1000,0)</f>
        <v>675</v>
      </c>
      <c r="H20" s="34">
        <f>ROUND('Energy Supply'!H20/1000,0)</f>
        <v>893</v>
      </c>
    </row>
    <row r="21" spans="1:9" x14ac:dyDescent="0.25">
      <c r="A21" s="35" t="s">
        <v>24</v>
      </c>
      <c r="B21" s="34">
        <f>ROUND('Energy Supply'!B21/1000,0)</f>
        <v>952</v>
      </c>
      <c r="C21" s="34">
        <f>ROUND('Energy Supply'!C21/1000,0)</f>
        <v>949</v>
      </c>
      <c r="D21" s="34">
        <f>ROUND('Energy Supply'!D21/1000,0)</f>
        <v>1000</v>
      </c>
      <c r="E21" s="34">
        <f>ROUND('Energy Supply'!E21/1000,0)</f>
        <v>1127</v>
      </c>
      <c r="F21" s="34">
        <f>ROUND('Energy Supply'!F21/1000,0)</f>
        <v>1106</v>
      </c>
      <c r="G21" s="34">
        <f>ROUND('Energy Supply'!G21/1000,0)</f>
        <v>1154</v>
      </c>
      <c r="H21" s="34">
        <f>ROUND('Energy Supply'!H21/1000,0)</f>
        <v>1206</v>
      </c>
    </row>
    <row r="22" spans="1:9" x14ac:dyDescent="0.25">
      <c r="A22" s="106" t="s">
        <v>227</v>
      </c>
      <c r="B22" s="34">
        <f>ROUND('Energy Supply'!B22/1000,0)</f>
        <v>4588</v>
      </c>
      <c r="C22" s="34">
        <f>ROUND('Energy Supply'!C22/1000,0)</f>
        <v>4602</v>
      </c>
      <c r="D22" s="34">
        <f>ROUND('Energy Supply'!D22/1000,0)</f>
        <v>4986</v>
      </c>
      <c r="E22" s="34">
        <f>ROUND('Energy Supply'!E22/1000,0)</f>
        <v>4798</v>
      </c>
      <c r="F22" s="34">
        <f>ROUND('Energy Supply'!F22/1000,0)</f>
        <v>4605</v>
      </c>
      <c r="G22" s="34">
        <f>ROUND('Energy Supply'!G22/1000,0)</f>
        <v>4631</v>
      </c>
      <c r="H22" s="34">
        <f>ROUND('Energy Supply'!H22/1000,0)</f>
        <v>4653</v>
      </c>
    </row>
    <row r="23" spans="1:9" x14ac:dyDescent="0.25">
      <c r="A23" s="106" t="s">
        <v>229</v>
      </c>
      <c r="B23" s="34">
        <f>ROUND('Energy Supply'!B23/1000,0)</f>
        <v>1495</v>
      </c>
      <c r="C23" s="34">
        <f>ROUND('Energy Supply'!C23/1000,0)</f>
        <v>1500</v>
      </c>
      <c r="D23" s="34">
        <f>ROUND('Energy Supply'!D23/1000,0)</f>
        <v>1504</v>
      </c>
      <c r="E23" s="34">
        <f>ROUND('Energy Supply'!E23/1000,0)</f>
        <v>1629</v>
      </c>
      <c r="F23" s="34">
        <f>ROUND('Energy Supply'!F23/1000,0)</f>
        <v>1753</v>
      </c>
      <c r="G23" s="34">
        <f>ROUND('Energy Supply'!G23/1000,0)</f>
        <v>1761</v>
      </c>
      <c r="H23" s="34">
        <f>ROUND('Energy Supply'!H23/1000,0)</f>
        <v>1793</v>
      </c>
    </row>
    <row r="24" spans="1:9" x14ac:dyDescent="0.25">
      <c r="A24" s="106" t="s">
        <v>228</v>
      </c>
      <c r="B24" s="34">
        <f>ROUND('Energy Supply'!B24/1000,0)</f>
        <v>0</v>
      </c>
      <c r="C24" s="34">
        <f>ROUND('Energy Supply'!C24/1000,0)</f>
        <v>0</v>
      </c>
      <c r="D24" s="34">
        <f>ROUND('Energy Supply'!D24/1000,0)</f>
        <v>0</v>
      </c>
      <c r="E24" s="34">
        <f>ROUND('Energy Supply'!E24/1000,0)</f>
        <v>0</v>
      </c>
      <c r="F24" s="34">
        <f>ROUND('Energy Supply'!F24/1000,0)</f>
        <v>4103</v>
      </c>
      <c r="G24" s="34">
        <f>ROUND('Energy Supply'!G24/1000,0)</f>
        <v>5411</v>
      </c>
      <c r="H24" s="34">
        <f>ROUND('Energy Supply'!H24/1000,0)</f>
        <v>5457</v>
      </c>
    </row>
    <row r="25" spans="1:9" x14ac:dyDescent="0.25">
      <c r="A25" s="106" t="s">
        <v>252</v>
      </c>
      <c r="B25" s="34">
        <f>ROUND('Energy Supply'!B25/1000,0)</f>
        <v>828</v>
      </c>
      <c r="C25" s="34">
        <f>ROUND('Energy Supply'!C25/1000,0)</f>
        <v>905</v>
      </c>
      <c r="D25" s="34">
        <f>ROUND('Energy Supply'!D25/1000,0)</f>
        <v>1020</v>
      </c>
      <c r="E25" s="34">
        <f>ROUND('Energy Supply'!E25/1000,0)</f>
        <v>1228</v>
      </c>
      <c r="F25" s="34">
        <f>ROUND('Energy Supply'!F25/1000,0)</f>
        <v>1330</v>
      </c>
      <c r="G25" s="34">
        <f>ROUND('Energy Supply'!G25/1000,0)-1</f>
        <v>1384</v>
      </c>
      <c r="H25" s="34">
        <f>ROUND('Energy Supply'!H25/1000,0)</f>
        <v>1441</v>
      </c>
    </row>
    <row r="26" spans="1:9" x14ac:dyDescent="0.25">
      <c r="A26" s="97" t="s">
        <v>5</v>
      </c>
      <c r="B26" s="102">
        <f t="shared" ref="B26:H26" si="2">SUM(B13:B25)</f>
        <v>127020</v>
      </c>
      <c r="C26" s="102">
        <f t="shared" si="2"/>
        <v>129519</v>
      </c>
      <c r="D26" s="102">
        <f t="shared" si="2"/>
        <v>138545</v>
      </c>
      <c r="E26" s="102">
        <f t="shared" si="2"/>
        <v>146030</v>
      </c>
      <c r="F26" s="102">
        <f t="shared" si="2"/>
        <v>148886</v>
      </c>
      <c r="G26" s="102">
        <f t="shared" si="2"/>
        <v>155484</v>
      </c>
      <c r="H26" s="102">
        <f t="shared" si="2"/>
        <v>158798</v>
      </c>
      <c r="I26" s="288"/>
    </row>
    <row r="27" spans="1:9" x14ac:dyDescent="0.25">
      <c r="A27" s="487"/>
      <c r="B27" s="327"/>
      <c r="C27" s="327"/>
      <c r="D27" s="327"/>
      <c r="E27" s="327"/>
      <c r="F27" s="327"/>
      <c r="G27" s="327"/>
      <c r="H27" s="327"/>
      <c r="I27" s="288"/>
    </row>
    <row r="28" spans="1:9" x14ac:dyDescent="0.25">
      <c r="A28" s="281"/>
      <c r="B28" s="281"/>
      <c r="C28" s="281"/>
      <c r="D28" s="285"/>
    </row>
    <row r="29" spans="1:9" x14ac:dyDescent="0.25">
      <c r="A29" s="563" t="s">
        <v>578</v>
      </c>
      <c r="B29" s="564"/>
      <c r="C29" s="564"/>
      <c r="D29" s="564"/>
      <c r="E29" s="564"/>
      <c r="F29" s="564"/>
      <c r="G29" s="564"/>
      <c r="H29" s="565"/>
    </row>
    <row r="30" spans="1:9" x14ac:dyDescent="0.25">
      <c r="A30" s="560" t="s">
        <v>338</v>
      </c>
      <c r="B30" s="561"/>
      <c r="C30" s="561"/>
      <c r="D30" s="561"/>
      <c r="E30" s="561"/>
      <c r="F30" s="561"/>
      <c r="G30" s="561"/>
      <c r="H30" s="562"/>
    </row>
    <row r="31" spans="1:9" x14ac:dyDescent="0.25">
      <c r="A31" s="293" t="s">
        <v>27</v>
      </c>
      <c r="B31" s="293">
        <f t="shared" ref="B31:H31" si="3">B40</f>
        <v>2019</v>
      </c>
      <c r="C31" s="293">
        <f t="shared" si="3"/>
        <v>2020</v>
      </c>
      <c r="D31" s="293">
        <f t="shared" si="3"/>
        <v>2021</v>
      </c>
      <c r="E31" s="293">
        <f t="shared" si="3"/>
        <v>2022</v>
      </c>
      <c r="F31" s="293">
        <f t="shared" si="3"/>
        <v>2023</v>
      </c>
      <c r="G31" s="293">
        <f t="shared" si="3"/>
        <v>2024</v>
      </c>
      <c r="H31" s="293">
        <f t="shared" si="3"/>
        <v>2025</v>
      </c>
    </row>
    <row r="32" spans="1:9" x14ac:dyDescent="0.25">
      <c r="A32" s="34" t="s">
        <v>78</v>
      </c>
      <c r="B32" s="20">
        <f t="shared" ref="B32:H32" si="4">B46</f>
        <v>671</v>
      </c>
      <c r="C32" s="20">
        <f t="shared" si="4"/>
        <v>739</v>
      </c>
      <c r="D32" s="20">
        <f t="shared" si="4"/>
        <v>1077</v>
      </c>
      <c r="E32" s="20">
        <f t="shared" si="4"/>
        <v>1065</v>
      </c>
      <c r="F32" s="20">
        <f t="shared" si="4"/>
        <v>1171</v>
      </c>
      <c r="G32" s="20">
        <f t="shared" si="4"/>
        <v>1279</v>
      </c>
      <c r="H32" s="20">
        <f t="shared" si="4"/>
        <v>1386</v>
      </c>
    </row>
    <row r="33" spans="1:8" x14ac:dyDescent="0.25">
      <c r="A33" s="34" t="s">
        <v>110</v>
      </c>
      <c r="B33" s="34">
        <f t="shared" ref="B33:H33" si="5">B60</f>
        <v>8520</v>
      </c>
      <c r="C33" s="34">
        <f t="shared" si="5"/>
        <v>8820</v>
      </c>
      <c r="D33" s="34">
        <f t="shared" si="5"/>
        <v>8788</v>
      </c>
      <c r="E33" s="34">
        <f t="shared" si="5"/>
        <v>10259</v>
      </c>
      <c r="F33" s="34">
        <f t="shared" si="5"/>
        <v>11421</v>
      </c>
      <c r="G33" s="34">
        <f t="shared" si="5"/>
        <v>11611</v>
      </c>
      <c r="H33" s="34">
        <f t="shared" si="5"/>
        <v>11813</v>
      </c>
    </row>
    <row r="34" spans="1:8" x14ac:dyDescent="0.25">
      <c r="A34" s="34" t="s">
        <v>79</v>
      </c>
      <c r="B34" s="34">
        <f t="shared" ref="B34:H34" si="6">B75</f>
        <v>5031</v>
      </c>
      <c r="C34" s="34">
        <f t="shared" si="6"/>
        <v>5187</v>
      </c>
      <c r="D34" s="34">
        <f t="shared" si="6"/>
        <v>6031</v>
      </c>
      <c r="E34" s="34">
        <f t="shared" si="6"/>
        <v>5708</v>
      </c>
      <c r="F34" s="34">
        <f t="shared" si="6"/>
        <v>6109</v>
      </c>
      <c r="G34" s="34">
        <f t="shared" si="6"/>
        <v>6943</v>
      </c>
      <c r="H34" s="34">
        <f t="shared" si="6"/>
        <v>7607</v>
      </c>
    </row>
    <row r="35" spans="1:8" x14ac:dyDescent="0.25">
      <c r="A35" s="34" t="s">
        <v>118</v>
      </c>
      <c r="B35" s="34">
        <f t="shared" ref="B35:H35" si="7">B84</f>
        <v>2294</v>
      </c>
      <c r="C35" s="34">
        <f t="shared" si="7"/>
        <v>2364</v>
      </c>
      <c r="D35" s="34">
        <f t="shared" si="7"/>
        <v>2513</v>
      </c>
      <c r="E35" s="34">
        <f t="shared" si="7"/>
        <v>2593</v>
      </c>
      <c r="F35" s="34">
        <f t="shared" si="7"/>
        <v>2693</v>
      </c>
      <c r="G35" s="34">
        <f t="shared" si="7"/>
        <v>2866</v>
      </c>
      <c r="H35" s="34">
        <f t="shared" si="7"/>
        <v>3009</v>
      </c>
    </row>
    <row r="36" spans="1:8" x14ac:dyDescent="0.25">
      <c r="A36" s="95" t="s">
        <v>5</v>
      </c>
      <c r="B36" s="102">
        <f t="shared" ref="B36:H36" si="8">SUM(B32:B35)</f>
        <v>16516</v>
      </c>
      <c r="C36" s="102">
        <f t="shared" si="8"/>
        <v>17110</v>
      </c>
      <c r="D36" s="102">
        <f t="shared" si="8"/>
        <v>18409</v>
      </c>
      <c r="E36" s="102">
        <f t="shared" si="8"/>
        <v>19625</v>
      </c>
      <c r="F36" s="102">
        <f t="shared" si="8"/>
        <v>21394</v>
      </c>
      <c r="G36" s="102">
        <f t="shared" si="8"/>
        <v>22699</v>
      </c>
      <c r="H36" s="102">
        <f t="shared" si="8"/>
        <v>23815</v>
      </c>
    </row>
    <row r="37" spans="1:8" x14ac:dyDescent="0.25">
      <c r="A37" s="301"/>
      <c r="B37" s="302"/>
      <c r="C37" s="302"/>
      <c r="D37" s="302"/>
      <c r="E37" s="302"/>
      <c r="F37" s="302"/>
      <c r="G37" s="302"/>
      <c r="H37" s="303"/>
    </row>
    <row r="38" spans="1:8" x14ac:dyDescent="0.25">
      <c r="A38" s="563" t="s">
        <v>333</v>
      </c>
      <c r="B38" s="564"/>
      <c r="C38" s="564"/>
      <c r="D38" s="564"/>
      <c r="E38" s="564"/>
      <c r="F38" s="564"/>
      <c r="G38" s="564"/>
      <c r="H38" s="565"/>
    </row>
    <row r="39" spans="1:8" x14ac:dyDescent="0.25">
      <c r="A39" s="560" t="s">
        <v>339</v>
      </c>
      <c r="B39" s="561"/>
      <c r="C39" s="561"/>
      <c r="D39" s="561"/>
      <c r="E39" s="561"/>
      <c r="F39" s="561"/>
      <c r="G39" s="561"/>
      <c r="H39" s="562"/>
    </row>
    <row r="40" spans="1:8" x14ac:dyDescent="0.25">
      <c r="A40" s="293" t="s">
        <v>27</v>
      </c>
      <c r="B40" s="293">
        <f>+'Energy Supply'!B4</f>
        <v>2019</v>
      </c>
      <c r="C40" s="293">
        <f>+'Energy Supply'!C4</f>
        <v>2020</v>
      </c>
      <c r="D40" s="293">
        <f>+'Energy Supply'!D4</f>
        <v>2021</v>
      </c>
      <c r="E40" s="293">
        <f>+'Energy Supply'!E4</f>
        <v>2022</v>
      </c>
      <c r="F40" s="293">
        <f>+'Energy Supply'!F4</f>
        <v>2023</v>
      </c>
      <c r="G40" s="293">
        <f>+'Energy Supply'!G4</f>
        <v>2024</v>
      </c>
      <c r="H40" s="293">
        <f>+'Energy Supply'!H4</f>
        <v>2025</v>
      </c>
    </row>
    <row r="41" spans="1:8" x14ac:dyDescent="0.25">
      <c r="A41" s="34" t="s">
        <v>40</v>
      </c>
      <c r="B41" s="20">
        <f>ROUND('T &amp; D'!B15/1000,0)</f>
        <v>62</v>
      </c>
      <c r="C41" s="300">
        <f>ROUND('T &amp; D'!C15/1000,0)</f>
        <v>67</v>
      </c>
      <c r="D41" s="300">
        <f>ROUND('T &amp; D'!D15/1000,0)</f>
        <v>69</v>
      </c>
      <c r="E41" s="300">
        <f>ROUND('T &amp; D'!E15/1000,0)</f>
        <v>80</v>
      </c>
      <c r="F41" s="300">
        <f>ROUND('T &amp; D'!F15/1000,0)</f>
        <v>82</v>
      </c>
      <c r="G41" s="300">
        <f>ROUND('T &amp; D'!G15/1000,0)</f>
        <v>89</v>
      </c>
      <c r="H41" s="300">
        <f>ROUND('T &amp; D'!H15/1000,0)</f>
        <v>91</v>
      </c>
    </row>
    <row r="42" spans="1:8" x14ac:dyDescent="0.25">
      <c r="A42" s="34" t="s">
        <v>41</v>
      </c>
      <c r="B42" s="34">
        <f>ROUND('T &amp; D'!B16/1000,0)</f>
        <v>143</v>
      </c>
      <c r="C42" s="118">
        <f>ROUND('T &amp; D'!C16/1000,0)</f>
        <v>230</v>
      </c>
      <c r="D42" s="118">
        <f>ROUND('T &amp; D'!D16/1000,0)</f>
        <v>544</v>
      </c>
      <c r="E42" s="118">
        <f>ROUND('T &amp; D'!E16/1000,0)</f>
        <v>397</v>
      </c>
      <c r="F42" s="118">
        <f>ROUND('T &amp; D'!F16/1000,0)-1</f>
        <v>473</v>
      </c>
      <c r="G42" s="118">
        <f>ROUND('T &amp; D'!G16/1000,0)+1</f>
        <v>551</v>
      </c>
      <c r="H42" s="118">
        <f>ROUND('T &amp; D'!H16/1000,0)</f>
        <v>627</v>
      </c>
    </row>
    <row r="43" spans="1:8" x14ac:dyDescent="0.25">
      <c r="A43" s="34" t="s">
        <v>42</v>
      </c>
      <c r="B43" s="34">
        <f>ROUND('T &amp; D'!B17/1000,0)</f>
        <v>290</v>
      </c>
      <c r="C43" s="118">
        <f>ROUND('T &amp; D'!C17/1000,0)</f>
        <v>245</v>
      </c>
      <c r="D43" s="118">
        <f>ROUND('T &amp; D'!D17/1000,0)</f>
        <v>260</v>
      </c>
      <c r="E43" s="118">
        <f>ROUND('T &amp; D'!E17/1000,0)</f>
        <v>322</v>
      </c>
      <c r="F43" s="118">
        <f>ROUND('T &amp; D'!F17/1000,0)</f>
        <v>326</v>
      </c>
      <c r="G43" s="118">
        <f>ROUND('T &amp; D'!G17/1000,0)</f>
        <v>333</v>
      </c>
      <c r="H43" s="118">
        <f>ROUND('T &amp; D'!H17/1000,0)</f>
        <v>354</v>
      </c>
    </row>
    <row r="44" spans="1:8" x14ac:dyDescent="0.25">
      <c r="A44" s="34" t="s">
        <v>43</v>
      </c>
      <c r="B44" s="34">
        <f>ROUND('T &amp; D'!B18/1000,0)</f>
        <v>47</v>
      </c>
      <c r="C44" s="118">
        <f>ROUND('T &amp; D'!C18/1000,0)</f>
        <v>55</v>
      </c>
      <c r="D44" s="118">
        <f>ROUND('T &amp; D'!D18/1000,0)</f>
        <v>61</v>
      </c>
      <c r="E44" s="118">
        <f>ROUND('T &amp; D'!E18/1000,0)</f>
        <v>79</v>
      </c>
      <c r="F44" s="118">
        <f>ROUND('T &amp; D'!F18/1000,0)</f>
        <v>81</v>
      </c>
      <c r="G44" s="118">
        <f>ROUND('T &amp; D'!G18/1000,0)</f>
        <v>83</v>
      </c>
      <c r="H44" s="118">
        <f>ROUND('T &amp; D'!H18/1000,0)</f>
        <v>85</v>
      </c>
    </row>
    <row r="45" spans="1:8" x14ac:dyDescent="0.25">
      <c r="A45" s="34" t="s">
        <v>44</v>
      </c>
      <c r="B45" s="34">
        <f>ROUND('T &amp; D'!B19/1000,0)</f>
        <v>129</v>
      </c>
      <c r="C45" s="118">
        <f>ROUND('T &amp; D'!C19/1000,0)</f>
        <v>142</v>
      </c>
      <c r="D45" s="118">
        <f>ROUND('T &amp; D'!D19/1000,0)</f>
        <v>143</v>
      </c>
      <c r="E45" s="118">
        <f>ROUND('T &amp; D'!E19/1000,0)</f>
        <v>187</v>
      </c>
      <c r="F45" s="118">
        <f>ROUND('T &amp; D'!F19/1000,0)</f>
        <v>209</v>
      </c>
      <c r="G45" s="118">
        <f>ROUND('T &amp; D'!G19/1000,0)</f>
        <v>223</v>
      </c>
      <c r="H45" s="118">
        <f>ROUND('T &amp; D'!H19/1000,0)</f>
        <v>229</v>
      </c>
    </row>
    <row r="46" spans="1:8" x14ac:dyDescent="0.25">
      <c r="A46" s="95" t="s">
        <v>5</v>
      </c>
      <c r="B46" s="102">
        <f t="shared" ref="B46:H46" si="9">SUM(B41:B45)</f>
        <v>671</v>
      </c>
      <c r="C46" s="102">
        <f t="shared" si="9"/>
        <v>739</v>
      </c>
      <c r="D46" s="102">
        <f t="shared" si="9"/>
        <v>1077</v>
      </c>
      <c r="E46" s="102">
        <f t="shared" si="9"/>
        <v>1065</v>
      </c>
      <c r="F46" s="102">
        <f t="shared" si="9"/>
        <v>1171</v>
      </c>
      <c r="G46" s="102">
        <f t="shared" si="9"/>
        <v>1279</v>
      </c>
      <c r="H46" s="102">
        <f t="shared" si="9"/>
        <v>1386</v>
      </c>
    </row>
    <row r="49" spans="1:8" x14ac:dyDescent="0.25">
      <c r="A49" s="563" t="s">
        <v>334</v>
      </c>
      <c r="B49" s="564"/>
      <c r="C49" s="564"/>
      <c r="D49" s="564"/>
      <c r="E49" s="564"/>
      <c r="F49" s="564"/>
      <c r="G49" s="564"/>
      <c r="H49" s="565"/>
    </row>
    <row r="50" spans="1:8" x14ac:dyDescent="0.25">
      <c r="A50" s="560" t="s">
        <v>340</v>
      </c>
      <c r="B50" s="561"/>
      <c r="C50" s="561"/>
      <c r="D50" s="561"/>
      <c r="E50" s="561"/>
      <c r="F50" s="561"/>
      <c r="G50" s="561"/>
      <c r="H50" s="562"/>
    </row>
    <row r="51" spans="1:8" x14ac:dyDescent="0.25">
      <c r="A51" s="293" t="s">
        <v>27</v>
      </c>
      <c r="B51" s="293">
        <f t="shared" ref="B51:H51" si="10">+B40</f>
        <v>2019</v>
      </c>
      <c r="C51" s="293">
        <f t="shared" si="10"/>
        <v>2020</v>
      </c>
      <c r="D51" s="293">
        <f t="shared" si="10"/>
        <v>2021</v>
      </c>
      <c r="E51" s="293">
        <f t="shared" si="10"/>
        <v>2022</v>
      </c>
      <c r="F51" s="293">
        <f t="shared" si="10"/>
        <v>2023</v>
      </c>
      <c r="G51" s="293">
        <f t="shared" si="10"/>
        <v>2024</v>
      </c>
      <c r="H51" s="293">
        <f t="shared" si="10"/>
        <v>2025</v>
      </c>
    </row>
    <row r="52" spans="1:8" x14ac:dyDescent="0.25">
      <c r="A52" s="91" t="s">
        <v>45</v>
      </c>
      <c r="B52" s="20">
        <f>ROUND('T &amp; D'!B26/1000,0)+2</f>
        <v>7545</v>
      </c>
      <c r="C52" s="20">
        <f>ROUND('T &amp; D'!C26/1000,0)+1</f>
        <v>7809</v>
      </c>
      <c r="D52" s="20">
        <f>ROUND('T &amp; D'!D26/1000,0)+2</f>
        <v>7984</v>
      </c>
      <c r="E52" s="20">
        <f>ROUND('T &amp; D'!E26/1000,0)-1</f>
        <v>9317</v>
      </c>
      <c r="F52" s="20">
        <f>ROUND('T &amp; D'!F26/1000,0)</f>
        <v>10577</v>
      </c>
      <c r="G52" s="20">
        <f>ROUND('T &amp; D'!G26/1000,0)</f>
        <v>10752</v>
      </c>
      <c r="H52" s="20">
        <f>ROUND('T &amp; D'!H26/1000,0)</f>
        <v>10938</v>
      </c>
    </row>
    <row r="53" spans="1:8" x14ac:dyDescent="0.25">
      <c r="A53" s="91" t="s">
        <v>46</v>
      </c>
      <c r="B53" s="34">
        <f>ROUND('T &amp; D'!B27/1000,0)</f>
        <v>237</v>
      </c>
      <c r="C53" s="34">
        <f>ROUND('T &amp; D'!C27/1000,0)</f>
        <v>245</v>
      </c>
      <c r="D53" s="34">
        <f>ROUND('T &amp; D'!D27/1000,0)</f>
        <v>250</v>
      </c>
      <c r="E53" s="34">
        <f>ROUND('T &amp; D'!E27/1000,0)</f>
        <v>261</v>
      </c>
      <c r="F53" s="34">
        <f>ROUND('T &amp; D'!F27/1000,0)</f>
        <v>267</v>
      </c>
      <c r="G53" s="34">
        <f>ROUND('T &amp; D'!G27/1000,0)</f>
        <v>271</v>
      </c>
      <c r="H53" s="34">
        <f>ROUND('T &amp; D'!H27/1000,0)-1</f>
        <v>275</v>
      </c>
    </row>
    <row r="54" spans="1:8" x14ac:dyDescent="0.25">
      <c r="A54" s="91" t="s">
        <v>47</v>
      </c>
      <c r="B54" s="34">
        <f>ROUND('T &amp; D'!B28/1000,0)</f>
        <v>316</v>
      </c>
      <c r="C54" s="34">
        <f>ROUND('T &amp; D'!C28/1000,0)</f>
        <v>327</v>
      </c>
      <c r="D54" s="34">
        <f>ROUND('T &amp; D'!D28/1000,0)</f>
        <v>335</v>
      </c>
      <c r="E54" s="34">
        <f>ROUND('T &amp; D'!E28/1000,0)</f>
        <v>271</v>
      </c>
      <c r="F54" s="34">
        <f>ROUND('T &amp; D'!F28/1000,0)</f>
        <v>195</v>
      </c>
      <c r="G54" s="34">
        <f>ROUND('T &amp; D'!G28/1000,0)</f>
        <v>198</v>
      </c>
      <c r="H54" s="34">
        <f>ROUND('T &amp; D'!H28/1000,0)</f>
        <v>202</v>
      </c>
    </row>
    <row r="55" spans="1:8" x14ac:dyDescent="0.25">
      <c r="A55" s="91" t="s">
        <v>50</v>
      </c>
      <c r="B55" s="34">
        <f>ROUND('T &amp; D'!B29/1000,0)</f>
        <v>13</v>
      </c>
      <c r="C55" s="34">
        <f>ROUND('T &amp; D'!C29/1000,0)</f>
        <v>16</v>
      </c>
      <c r="D55" s="34">
        <f>ROUND('T &amp; D'!D29/1000,0)</f>
        <v>14</v>
      </c>
      <c r="E55" s="34">
        <f>ROUND('T &amp; D'!E29/1000,0)</f>
        <v>0</v>
      </c>
      <c r="F55" s="34">
        <f>ROUND('T &amp; D'!F29/1000,0)</f>
        <v>0</v>
      </c>
      <c r="G55" s="34">
        <f>ROUND('T &amp; D'!G29/1000,0)</f>
        <v>0</v>
      </c>
      <c r="H55" s="34">
        <f>ROUND('T &amp; D'!H29/1000,0)</f>
        <v>0</v>
      </c>
    </row>
    <row r="56" spans="1:8" x14ac:dyDescent="0.25">
      <c r="A56" s="91" t="s">
        <v>48</v>
      </c>
      <c r="B56" s="34">
        <f>ROUND('T &amp; D'!B30/1000,0)</f>
        <v>104</v>
      </c>
      <c r="C56" s="34">
        <f>ROUND('T &amp; D'!C30/1000,0)</f>
        <v>138</v>
      </c>
      <c r="D56" s="34">
        <f>ROUND('T &amp; D'!D30/1000,0)</f>
        <v>-88</v>
      </c>
      <c r="E56" s="34">
        <f>ROUND('T &amp; D'!E30/1000,0)</f>
        <v>0</v>
      </c>
      <c r="F56" s="34">
        <f>ROUND('T &amp; D'!F30/1000,0)</f>
        <v>0</v>
      </c>
      <c r="G56" s="34">
        <f>ROUND('T &amp; D'!G30/1000,0)</f>
        <v>0</v>
      </c>
      <c r="H56" s="34">
        <f>ROUND('T &amp; D'!H30/1000,0)</f>
        <v>0</v>
      </c>
    </row>
    <row r="57" spans="1:8" x14ac:dyDescent="0.25">
      <c r="A57" s="91" t="s">
        <v>52</v>
      </c>
      <c r="B57" s="34">
        <f>ROUND('T &amp; D'!B31/1000,0)</f>
        <v>67</v>
      </c>
      <c r="C57" s="34">
        <f>ROUND('T &amp; D'!C31/1000,0)</f>
        <v>67</v>
      </c>
      <c r="D57" s="34">
        <f>ROUND('T &amp; D'!D31/1000,0)</f>
        <v>67</v>
      </c>
      <c r="E57" s="34">
        <f>ROUND('T &amp; D'!E31/1000,0)</f>
        <v>67</v>
      </c>
      <c r="F57" s="34">
        <f>ROUND('T &amp; D'!F31/1000,0)</f>
        <v>66</v>
      </c>
      <c r="G57" s="34">
        <f>ROUND('T &amp; D'!G31/1000,0)</f>
        <v>66</v>
      </c>
      <c r="H57" s="34">
        <f>ROUND('T &amp; D'!H31/1000,0)</f>
        <v>66</v>
      </c>
    </row>
    <row r="58" spans="1:8" x14ac:dyDescent="0.25">
      <c r="A58" s="91" t="s">
        <v>51</v>
      </c>
      <c r="B58" s="34">
        <f>ROUND('T &amp; D'!B32/1000,0)</f>
        <v>0</v>
      </c>
      <c r="C58" s="34">
        <f>ROUND('T &amp; D'!C32/1000,0)</f>
        <v>0</v>
      </c>
      <c r="D58" s="34">
        <f>ROUND('T &amp; D'!D32/1000,0)</f>
        <v>0</v>
      </c>
      <c r="E58" s="34">
        <f>ROUND('T &amp; D'!E32/1000,0)</f>
        <v>0</v>
      </c>
      <c r="F58" s="34">
        <f>ROUND('T &amp; D'!F32/1000,0)</f>
        <v>0</v>
      </c>
      <c r="G58" s="34">
        <f>ROUND('T &amp; D'!G32/1000,0)</f>
        <v>0</v>
      </c>
      <c r="H58" s="34">
        <f>ROUND('T &amp; D'!H32/1000,0)</f>
        <v>0</v>
      </c>
    </row>
    <row r="59" spans="1:8" x14ac:dyDescent="0.25">
      <c r="A59" s="91" t="s">
        <v>49</v>
      </c>
      <c r="B59" s="34">
        <f>ROUND('T &amp; D'!B33/1000,0)</f>
        <v>238</v>
      </c>
      <c r="C59" s="34">
        <f>ROUND('T &amp; D'!C33/1000,0)</f>
        <v>218</v>
      </c>
      <c r="D59" s="34">
        <f>ROUND('T &amp; D'!D33/1000,0)</f>
        <v>226</v>
      </c>
      <c r="E59" s="34">
        <f>ROUND('T &amp; D'!E33/1000,0)</f>
        <v>343</v>
      </c>
      <c r="F59" s="34">
        <f>ROUND('T &amp; D'!F33/1000,0)</f>
        <v>316</v>
      </c>
      <c r="G59" s="34">
        <f>ROUND('T &amp; D'!G33/1000,0)</f>
        <v>324</v>
      </c>
      <c r="H59" s="34">
        <f>ROUND('T &amp; D'!H33/1000,0)</f>
        <v>332</v>
      </c>
    </row>
    <row r="60" spans="1:8" x14ac:dyDescent="0.25">
      <c r="A60" s="96" t="s">
        <v>5</v>
      </c>
      <c r="B60" s="102">
        <f t="shared" ref="B60:H60" si="11">SUM(B52:B59)</f>
        <v>8520</v>
      </c>
      <c r="C60" s="102">
        <f t="shared" si="11"/>
        <v>8820</v>
      </c>
      <c r="D60" s="102">
        <f t="shared" si="11"/>
        <v>8788</v>
      </c>
      <c r="E60" s="102">
        <f t="shared" si="11"/>
        <v>10259</v>
      </c>
      <c r="F60" s="102">
        <f t="shared" si="11"/>
        <v>11421</v>
      </c>
      <c r="G60" s="102">
        <f t="shared" si="11"/>
        <v>11611</v>
      </c>
      <c r="H60" s="102">
        <f t="shared" si="11"/>
        <v>11813</v>
      </c>
    </row>
    <row r="61" spans="1:8" x14ac:dyDescent="0.25">
      <c r="E61" s="285"/>
      <c r="F61" s="285"/>
      <c r="G61" s="285"/>
      <c r="H61" s="285"/>
    </row>
    <row r="62" spans="1:8" x14ac:dyDescent="0.25">
      <c r="A62" s="297"/>
      <c r="B62" s="297"/>
      <c r="E62" s="296"/>
      <c r="F62" s="298"/>
      <c r="G62" s="298"/>
      <c r="H62" s="298"/>
    </row>
    <row r="63" spans="1:8" x14ac:dyDescent="0.25">
      <c r="A63" s="563" t="s">
        <v>335</v>
      </c>
      <c r="B63" s="564"/>
      <c r="C63" s="564"/>
      <c r="D63" s="564"/>
      <c r="E63" s="564"/>
      <c r="F63" s="564"/>
      <c r="G63" s="564"/>
      <c r="H63" s="565"/>
    </row>
    <row r="64" spans="1:8" x14ac:dyDescent="0.25">
      <c r="A64" s="560" t="s">
        <v>341</v>
      </c>
      <c r="B64" s="561"/>
      <c r="C64" s="561"/>
      <c r="D64" s="561"/>
      <c r="E64" s="561"/>
      <c r="F64" s="561"/>
      <c r="G64" s="561"/>
      <c r="H64" s="562"/>
    </row>
    <row r="65" spans="1:8" x14ac:dyDescent="0.25">
      <c r="A65" s="293" t="s">
        <v>27</v>
      </c>
      <c r="B65" s="293">
        <f t="shared" ref="B65:H65" si="12">+B51</f>
        <v>2019</v>
      </c>
      <c r="C65" s="293">
        <f t="shared" si="12"/>
        <v>2020</v>
      </c>
      <c r="D65" s="293">
        <f t="shared" si="12"/>
        <v>2021</v>
      </c>
      <c r="E65" s="293">
        <f t="shared" si="12"/>
        <v>2022</v>
      </c>
      <c r="F65" s="293">
        <f t="shared" si="12"/>
        <v>2023</v>
      </c>
      <c r="G65" s="293">
        <f t="shared" si="12"/>
        <v>2024</v>
      </c>
      <c r="H65" s="293">
        <f t="shared" si="12"/>
        <v>2025</v>
      </c>
    </row>
    <row r="66" spans="1:8" x14ac:dyDescent="0.25">
      <c r="A66" s="34" t="s">
        <v>40</v>
      </c>
      <c r="B66" s="20">
        <f>ROUND('T &amp; D'!B40/1000,0)</f>
        <v>101</v>
      </c>
      <c r="C66" s="20">
        <f>ROUND('T &amp; D'!C40/1000,0)</f>
        <v>120</v>
      </c>
      <c r="D66" s="20">
        <f>ROUND('T &amp; D'!D40/1000,0)</f>
        <v>109</v>
      </c>
      <c r="E66" s="20">
        <f>ROUND('T &amp; D'!E40/1000,0)</f>
        <v>122</v>
      </c>
      <c r="F66" s="20">
        <f>ROUND('T &amp; D'!F40/1000,0)</f>
        <v>126</v>
      </c>
      <c r="G66" s="20">
        <f>ROUND('T &amp; D'!G40/1000,0)</f>
        <v>129</v>
      </c>
      <c r="H66" s="20">
        <f>ROUND('T &amp; D'!H40/1000,0)-1</f>
        <v>135</v>
      </c>
    </row>
    <row r="67" spans="1:8" x14ac:dyDescent="0.25">
      <c r="A67" s="34" t="s">
        <v>41</v>
      </c>
      <c r="B67" s="34">
        <f>ROUND('T &amp; D'!B41/1000,0)</f>
        <v>1596</v>
      </c>
      <c r="C67" s="34">
        <f>ROUND('T &amp; D'!C41/1000,0)</f>
        <v>1414</v>
      </c>
      <c r="D67" s="34">
        <f>ROUND('T &amp; D'!D41/1000,0)</f>
        <v>2766</v>
      </c>
      <c r="E67" s="34">
        <f>ROUND('T &amp; D'!E41/1000,0)</f>
        <v>1831</v>
      </c>
      <c r="F67" s="34">
        <f>ROUND('T &amp; D'!F41/1000,0)</f>
        <v>2144</v>
      </c>
      <c r="G67" s="34">
        <f>ROUND('T &amp; D'!G41/1000,0)</f>
        <v>2773</v>
      </c>
      <c r="H67" s="34">
        <f>ROUND('T &amp; D'!H41/1000,0)</f>
        <v>3362</v>
      </c>
    </row>
    <row r="68" spans="1:8" x14ac:dyDescent="0.25">
      <c r="A68" s="34" t="s">
        <v>42</v>
      </c>
      <c r="B68" s="34">
        <f>ROUND('T &amp; D'!B42/1000,0)</f>
        <v>1805</v>
      </c>
      <c r="C68" s="34">
        <f>ROUND('T &amp; D'!C42/1000,0)</f>
        <v>2145</v>
      </c>
      <c r="D68" s="34">
        <f>ROUND('T &amp; D'!D42/1000,0)</f>
        <v>1569</v>
      </c>
      <c r="E68" s="34">
        <f>ROUND('T &amp; D'!E42/1000,0)</f>
        <v>2059</v>
      </c>
      <c r="F68" s="34">
        <f>ROUND('T &amp; D'!F42/1000,0)</f>
        <v>2094</v>
      </c>
      <c r="G68" s="34">
        <f>ROUND('T &amp; D'!G42/1000,0)</f>
        <v>2241</v>
      </c>
      <c r="H68" s="34">
        <f>ROUND('T &amp; D'!H42/1000,0)</f>
        <v>2242</v>
      </c>
    </row>
    <row r="69" spans="1:8" x14ac:dyDescent="0.25">
      <c r="A69" s="34" t="s">
        <v>43</v>
      </c>
      <c r="B69" s="34">
        <f>ROUND('T &amp; D'!B43/1000,0)</f>
        <v>56</v>
      </c>
      <c r="C69" s="34">
        <f>ROUND('T &amp; D'!C43/1000,0)</f>
        <v>37</v>
      </c>
      <c r="D69" s="34">
        <f>ROUND('T &amp; D'!D43/1000,0)</f>
        <v>41</v>
      </c>
      <c r="E69" s="34">
        <f>ROUND('T &amp; D'!E43/1000,0)</f>
        <v>55</v>
      </c>
      <c r="F69" s="34">
        <f>ROUND('T &amp; D'!F43/1000,0)</f>
        <v>56</v>
      </c>
      <c r="G69" s="34">
        <f>ROUND('T &amp; D'!G43/1000,0)</f>
        <v>57</v>
      </c>
      <c r="H69" s="34">
        <f>ROUND('T &amp; D'!H43/1000,0)</f>
        <v>59</v>
      </c>
    </row>
    <row r="70" spans="1:8" x14ac:dyDescent="0.25">
      <c r="A70" s="34" t="s">
        <v>53</v>
      </c>
      <c r="B70" s="34">
        <f>ROUND('T &amp; D'!B44/1000,0)</f>
        <v>701</v>
      </c>
      <c r="C70" s="34">
        <f>ROUND('T &amp; D'!C44/1000,0)</f>
        <v>638</v>
      </c>
      <c r="D70" s="34">
        <f>ROUND('T &amp; D'!D44/1000,0)</f>
        <v>659</v>
      </c>
      <c r="E70" s="34">
        <f>ROUND('T &amp; D'!E44/1000,0)</f>
        <v>637</v>
      </c>
      <c r="F70" s="34">
        <f>ROUND('T &amp; D'!F44/1000,0)</f>
        <v>641</v>
      </c>
      <c r="G70" s="34">
        <f>ROUND('T &amp; D'!G44/1000,0)</f>
        <v>655</v>
      </c>
      <c r="H70" s="34">
        <f>ROUND('T &amp; D'!H44/1000,0)</f>
        <v>694</v>
      </c>
    </row>
    <row r="71" spans="1:8" x14ac:dyDescent="0.25">
      <c r="A71" s="34" t="s">
        <v>54</v>
      </c>
      <c r="B71" s="34">
        <f>ROUND('T &amp; D'!B45/1000,0)</f>
        <v>173</v>
      </c>
      <c r="C71" s="34">
        <f>ROUND('T &amp; D'!C45/1000,0)</f>
        <v>163</v>
      </c>
      <c r="D71" s="34">
        <f>ROUND('T &amp; D'!D45/1000,0)</f>
        <v>165</v>
      </c>
      <c r="E71" s="34">
        <f>ROUND('T &amp; D'!E45/1000,0)</f>
        <v>190</v>
      </c>
      <c r="F71" s="34">
        <f>ROUND('T &amp; D'!F45/1000,0)</f>
        <v>194</v>
      </c>
      <c r="G71" s="34">
        <f>ROUND('T &amp; D'!G45/1000,0)</f>
        <v>199</v>
      </c>
      <c r="H71" s="34">
        <f>ROUND('T &amp; D'!H45/1000,0)-1</f>
        <v>204</v>
      </c>
    </row>
    <row r="72" spans="1:8" x14ac:dyDescent="0.25">
      <c r="A72" s="34" t="s">
        <v>55</v>
      </c>
      <c r="B72" s="34">
        <f>ROUND('T &amp; D'!B46/1000,0)</f>
        <v>160</v>
      </c>
      <c r="C72" s="34">
        <f>ROUND('T &amp; D'!C46/1000,0)</f>
        <v>211</v>
      </c>
      <c r="D72" s="34">
        <f>ROUND('T &amp; D'!D46/1000,0)</f>
        <v>236</v>
      </c>
      <c r="E72" s="34">
        <f>ROUND('T &amp; D'!E46/1000,0)</f>
        <v>251</v>
      </c>
      <c r="F72" s="34">
        <f>ROUND('T &amp; D'!F46/1000,0)+1</f>
        <v>258</v>
      </c>
      <c r="G72" s="34">
        <f>ROUND('T &amp; D'!G46/1000,0)</f>
        <v>264</v>
      </c>
      <c r="H72" s="34">
        <f>ROUND('T &amp; D'!H46/1000,0)</f>
        <v>271</v>
      </c>
    </row>
    <row r="73" spans="1:8" x14ac:dyDescent="0.25">
      <c r="A73" s="34" t="s">
        <v>56</v>
      </c>
      <c r="B73" s="34">
        <f>ROUND('T &amp; D'!B47/1000,0)</f>
        <v>89</v>
      </c>
      <c r="C73" s="34">
        <f>ROUND('T &amp; D'!C47/1000,0)</f>
        <v>93</v>
      </c>
      <c r="D73" s="34">
        <f>ROUND('T &amp; D'!D47/1000,0)</f>
        <v>101</v>
      </c>
      <c r="E73" s="34">
        <f>ROUND('T &amp; D'!E47/1000,0)</f>
        <v>121</v>
      </c>
      <c r="F73" s="34">
        <f>ROUND('T &amp; D'!F47/1000,0)</f>
        <v>124</v>
      </c>
      <c r="G73" s="34">
        <f>ROUND('T &amp; D'!G47/1000,0)</f>
        <v>128</v>
      </c>
      <c r="H73" s="34">
        <f>ROUND('T &amp; D'!H47/1000,0)</f>
        <v>131</v>
      </c>
    </row>
    <row r="74" spans="1:8" x14ac:dyDescent="0.25">
      <c r="A74" s="34" t="s">
        <v>44</v>
      </c>
      <c r="B74" s="34">
        <f>ROUND('T &amp; D'!B48/1000,0)</f>
        <v>350</v>
      </c>
      <c r="C74" s="34">
        <f>ROUND('T &amp; D'!C48/1000,0)</f>
        <v>366</v>
      </c>
      <c r="D74" s="34">
        <f>ROUND('T &amp; D'!D48/1000,0)</f>
        <v>385</v>
      </c>
      <c r="E74" s="34">
        <f>ROUND('T &amp; D'!E48/1000,0)</f>
        <v>442</v>
      </c>
      <c r="F74" s="34">
        <f>ROUND('T &amp; D'!F48/1000,0)</f>
        <v>472</v>
      </c>
      <c r="G74" s="34">
        <f>ROUND('T &amp; D'!G48/1000,0)</f>
        <v>497</v>
      </c>
      <c r="H74" s="34">
        <f>ROUND('T &amp; D'!H48/1000,0)</f>
        <v>509</v>
      </c>
    </row>
    <row r="75" spans="1:8" x14ac:dyDescent="0.25">
      <c r="A75" s="96" t="s">
        <v>5</v>
      </c>
      <c r="B75" s="102">
        <f t="shared" ref="B75:H75" si="13">SUM(B66:B74)</f>
        <v>5031</v>
      </c>
      <c r="C75" s="102">
        <f t="shared" si="13"/>
        <v>5187</v>
      </c>
      <c r="D75" s="102">
        <f t="shared" si="13"/>
        <v>6031</v>
      </c>
      <c r="E75" s="102">
        <f t="shared" si="13"/>
        <v>5708</v>
      </c>
      <c r="F75" s="102">
        <f t="shared" si="13"/>
        <v>6109</v>
      </c>
      <c r="G75" s="102">
        <f t="shared" si="13"/>
        <v>6943</v>
      </c>
      <c r="H75" s="102">
        <f t="shared" si="13"/>
        <v>7607</v>
      </c>
    </row>
    <row r="78" spans="1:8" x14ac:dyDescent="0.25">
      <c r="A78" s="563" t="s">
        <v>336</v>
      </c>
      <c r="B78" s="564"/>
      <c r="C78" s="564"/>
      <c r="D78" s="564"/>
      <c r="E78" s="564"/>
      <c r="F78" s="564"/>
      <c r="G78" s="564"/>
      <c r="H78" s="565"/>
    </row>
    <row r="79" spans="1:8" x14ac:dyDescent="0.25">
      <c r="A79" s="560" t="s">
        <v>342</v>
      </c>
      <c r="B79" s="561"/>
      <c r="C79" s="561"/>
      <c r="D79" s="561"/>
      <c r="E79" s="561"/>
      <c r="F79" s="561"/>
      <c r="G79" s="561"/>
      <c r="H79" s="562"/>
    </row>
    <row r="80" spans="1:8" x14ac:dyDescent="0.25">
      <c r="A80" s="293" t="s">
        <v>27</v>
      </c>
      <c r="B80" s="293">
        <f t="shared" ref="B80:H80" si="14">+B65</f>
        <v>2019</v>
      </c>
      <c r="C80" s="293">
        <f t="shared" si="14"/>
        <v>2020</v>
      </c>
      <c r="D80" s="293">
        <f t="shared" si="14"/>
        <v>2021</v>
      </c>
      <c r="E80" s="293">
        <f t="shared" si="14"/>
        <v>2022</v>
      </c>
      <c r="F80" s="293">
        <f t="shared" si="14"/>
        <v>2023</v>
      </c>
      <c r="G80" s="293">
        <f t="shared" si="14"/>
        <v>2024</v>
      </c>
      <c r="H80" s="293">
        <f t="shared" si="14"/>
        <v>2025</v>
      </c>
    </row>
    <row r="81" spans="1:8" x14ac:dyDescent="0.25">
      <c r="A81" s="34" t="s">
        <v>36</v>
      </c>
      <c r="B81" s="20">
        <f>ROUND('T &amp; D'!B55/1000,0)</f>
        <v>144</v>
      </c>
      <c r="C81" s="20">
        <f>ROUND('T &amp; D'!C55/1000,0)</f>
        <v>166</v>
      </c>
      <c r="D81" s="20">
        <f>ROUND('T &amp; D'!D55/1000,0)</f>
        <v>203</v>
      </c>
      <c r="E81" s="20">
        <f>ROUND('T &amp; D'!E55/1000,0)</f>
        <v>226</v>
      </c>
      <c r="F81" s="20">
        <f>ROUND('T &amp; D'!F55/1000,0)</f>
        <v>239</v>
      </c>
      <c r="G81" s="20">
        <f>ROUND('T &amp; D'!G55/1000,0)</f>
        <v>252</v>
      </c>
      <c r="H81" s="20">
        <f>ROUND('T &amp; D'!H55/1000,0)</f>
        <v>266</v>
      </c>
    </row>
    <row r="82" spans="1:8" x14ac:dyDescent="0.25">
      <c r="A82" s="34" t="s">
        <v>37</v>
      </c>
      <c r="B82" s="34">
        <f>ROUND('T &amp; D'!B56/1000,0)</f>
        <v>2050</v>
      </c>
      <c r="C82" s="34">
        <f>ROUND('T &amp; D'!C56/1000,0)</f>
        <v>2125</v>
      </c>
      <c r="D82" s="34">
        <f>ROUND('T &amp; D'!D56/1000,0)</f>
        <v>2213</v>
      </c>
      <c r="E82" s="34">
        <f>ROUND('T &amp; D'!E56/1000,0)</f>
        <v>2273</v>
      </c>
      <c r="F82" s="34">
        <f>ROUND('T &amp; D'!F56/1000,0)</f>
        <v>2358</v>
      </c>
      <c r="G82" s="34">
        <f>ROUND('T &amp; D'!G56/1000,0)</f>
        <v>2515</v>
      </c>
      <c r="H82" s="34">
        <f>ROUND('T &amp; D'!H56/1000,0)</f>
        <v>2642</v>
      </c>
    </row>
    <row r="83" spans="1:8" x14ac:dyDescent="0.25">
      <c r="A83" s="34" t="s">
        <v>38</v>
      </c>
      <c r="B83" s="34">
        <f>ROUND('T &amp; D'!B57/1000,0)</f>
        <v>100</v>
      </c>
      <c r="C83" s="34">
        <f>ROUND('T &amp; D'!C57/1000,0)</f>
        <v>73</v>
      </c>
      <c r="D83" s="34">
        <f>ROUND('T &amp; D'!D57/1000,0)</f>
        <v>97</v>
      </c>
      <c r="E83" s="34">
        <f>ROUND('T &amp; D'!E57/1000,0)</f>
        <v>94</v>
      </c>
      <c r="F83" s="34">
        <f>ROUND('T &amp; D'!F57/1000,0)-1</f>
        <v>96</v>
      </c>
      <c r="G83" s="34">
        <f>ROUND('T &amp; D'!G57/1000,0)</f>
        <v>99</v>
      </c>
      <c r="H83" s="34">
        <f>ROUND('T &amp; D'!H57/1000,0)-1</f>
        <v>101</v>
      </c>
    </row>
    <row r="84" spans="1:8" x14ac:dyDescent="0.25">
      <c r="A84" s="96" t="s">
        <v>5</v>
      </c>
      <c r="B84" s="102">
        <f t="shared" ref="B84:H84" si="15">SUM(B81:B83)</f>
        <v>2294</v>
      </c>
      <c r="C84" s="102">
        <f t="shared" si="15"/>
        <v>2364</v>
      </c>
      <c r="D84" s="102">
        <f t="shared" si="15"/>
        <v>2513</v>
      </c>
      <c r="E84" s="102">
        <f t="shared" si="15"/>
        <v>2593</v>
      </c>
      <c r="F84" s="102">
        <f t="shared" si="15"/>
        <v>2693</v>
      </c>
      <c r="G84" s="102">
        <f t="shared" si="15"/>
        <v>2866</v>
      </c>
      <c r="H84" s="102">
        <f t="shared" si="15"/>
        <v>3009</v>
      </c>
    </row>
    <row r="87" spans="1:8" x14ac:dyDescent="0.25">
      <c r="A87" s="563" t="s">
        <v>344</v>
      </c>
      <c r="B87" s="564"/>
      <c r="C87" s="564"/>
      <c r="D87" s="564"/>
      <c r="E87" s="564"/>
      <c r="F87" s="564"/>
      <c r="G87" s="564"/>
      <c r="H87" s="565"/>
    </row>
    <row r="88" spans="1:8" x14ac:dyDescent="0.25">
      <c r="A88" s="566" t="s">
        <v>57</v>
      </c>
      <c r="B88" s="567"/>
      <c r="C88" s="567"/>
      <c r="D88" s="567"/>
      <c r="E88" s="567"/>
      <c r="F88" s="567"/>
      <c r="G88" s="567"/>
      <c r="H88" s="568"/>
    </row>
    <row r="89" spans="1:8" x14ac:dyDescent="0.25">
      <c r="A89" s="19" t="s">
        <v>27</v>
      </c>
      <c r="B89" s="19">
        <f>B80</f>
        <v>2019</v>
      </c>
      <c r="C89" s="19">
        <f t="shared" ref="C89:H89" si="16">C80</f>
        <v>2020</v>
      </c>
      <c r="D89" s="19">
        <f t="shared" si="16"/>
        <v>2021</v>
      </c>
      <c r="E89" s="19">
        <f t="shared" si="16"/>
        <v>2022</v>
      </c>
      <c r="F89" s="19">
        <f t="shared" si="16"/>
        <v>2023</v>
      </c>
      <c r="G89" s="19">
        <f t="shared" si="16"/>
        <v>2024</v>
      </c>
      <c r="H89" s="19">
        <f t="shared" si="16"/>
        <v>2025</v>
      </c>
    </row>
    <row r="90" spans="1:8" x14ac:dyDescent="0.25">
      <c r="A90" s="17" t="s">
        <v>58</v>
      </c>
      <c r="B90" s="20">
        <f>ROUND(General!B4/1000,0)</f>
        <v>1923</v>
      </c>
      <c r="C90" s="20">
        <f>ROUND(General!C4/1000,0)</f>
        <v>1852</v>
      </c>
      <c r="D90" s="20">
        <f>ROUND(General!D4/1000,0)+1</f>
        <v>2285</v>
      </c>
      <c r="E90" s="20">
        <f>ROUND(General!E4/1000,0)</f>
        <v>2123</v>
      </c>
      <c r="F90" s="20">
        <f>ROUND(General!F4/1000,0)</f>
        <v>2174</v>
      </c>
      <c r="G90" s="20">
        <f>ROUND(General!G4/1000,0)</f>
        <v>2226</v>
      </c>
      <c r="H90" s="20">
        <f>ROUND(General!H4/1000,0)</f>
        <v>2277</v>
      </c>
    </row>
    <row r="91" spans="1:8" x14ac:dyDescent="0.25">
      <c r="A91" s="17" t="s">
        <v>59</v>
      </c>
      <c r="B91" s="34">
        <f>ROUND(General!B5/1000,0)</f>
        <v>1392</v>
      </c>
      <c r="C91" s="34">
        <f>ROUND(General!C5/1000,0)</f>
        <v>1414</v>
      </c>
      <c r="D91" s="34">
        <f>ROUND(General!D5/1000,0)</f>
        <v>1314</v>
      </c>
      <c r="E91" s="34">
        <f>ROUND(General!E5/1000,0)</f>
        <v>1405</v>
      </c>
      <c r="F91" s="34">
        <f>ROUND(General!F5/1000,0)</f>
        <v>1440</v>
      </c>
      <c r="G91" s="34">
        <f>ROUND(General!G5/1000,0)</f>
        <v>1476</v>
      </c>
      <c r="H91" s="34">
        <f>ROUND(General!H5/1000,0)-1</f>
        <v>1512</v>
      </c>
    </row>
    <row r="92" spans="1:8" x14ac:dyDescent="0.25">
      <c r="A92" s="17" t="s">
        <v>60</v>
      </c>
      <c r="B92" s="34">
        <f>ROUND(General!B6/1000,0)</f>
        <v>414</v>
      </c>
      <c r="C92" s="34">
        <f>ROUND(General!C6/1000,0)</f>
        <v>475</v>
      </c>
      <c r="D92" s="34">
        <f>ROUND(General!D6/1000,0)</f>
        <v>712</v>
      </c>
      <c r="E92" s="34">
        <f>ROUND(General!E6/1000,0)</f>
        <v>840</v>
      </c>
      <c r="F92" s="34">
        <f>ROUND(General!F6/1000,0)</f>
        <v>820</v>
      </c>
      <c r="G92" s="34">
        <f>ROUND(General!G6/1000,0)</f>
        <v>843</v>
      </c>
      <c r="H92" s="34">
        <f>ROUND(General!H6/1000,0)</f>
        <v>861</v>
      </c>
    </row>
    <row r="93" spans="1:8" x14ac:dyDescent="0.25">
      <c r="A93" s="17" t="s">
        <v>61</v>
      </c>
      <c r="B93" s="34">
        <f>ROUND(General!B7/1000,0)</f>
        <v>695</v>
      </c>
      <c r="C93" s="34">
        <f>ROUND(General!C7/1000,0)</f>
        <v>699</v>
      </c>
      <c r="D93" s="34">
        <f>ROUND(General!D7/1000,0)</f>
        <v>898</v>
      </c>
      <c r="E93" s="34">
        <f>ROUND(General!E7/1000,0)</f>
        <v>917</v>
      </c>
      <c r="F93" s="34">
        <f>ROUND(General!F7/1000,0)</f>
        <v>939</v>
      </c>
      <c r="G93" s="34">
        <f>ROUND(General!G7/1000,0)-1</f>
        <v>962</v>
      </c>
      <c r="H93" s="34">
        <f>ROUND(General!H7/1000,0)</f>
        <v>987</v>
      </c>
    </row>
    <row r="94" spans="1:8" x14ac:dyDescent="0.25">
      <c r="A94" s="17" t="s">
        <v>62</v>
      </c>
      <c r="B94" s="34">
        <f>ROUND(General!B8/1000,0)</f>
        <v>1065</v>
      </c>
      <c r="C94" s="34">
        <f>ROUND(General!C8/1000,0)</f>
        <v>1020</v>
      </c>
      <c r="D94" s="34">
        <f>ROUND(General!D8/1000,0)</f>
        <v>1141</v>
      </c>
      <c r="E94" s="34">
        <f>ROUND(General!E8/1000,0)</f>
        <v>1305</v>
      </c>
      <c r="F94" s="34">
        <f>ROUND(General!F8/1000,0)</f>
        <v>1331</v>
      </c>
      <c r="G94" s="34">
        <f>ROUND(General!G8/1000,0)</f>
        <v>1357</v>
      </c>
      <c r="H94" s="34">
        <f>ROUND(General!H8/1000,0)</f>
        <v>1385</v>
      </c>
    </row>
    <row r="95" spans="1:8" x14ac:dyDescent="0.25">
      <c r="A95" s="17" t="s">
        <v>63</v>
      </c>
      <c r="B95" s="34">
        <f>ROUND(General!B9/1000,0)</f>
        <v>365</v>
      </c>
      <c r="C95" s="34">
        <f>ROUND(General!C9/1000,0)</f>
        <v>390</v>
      </c>
      <c r="D95" s="34">
        <f>ROUND(General!D9/1000,0)</f>
        <v>413</v>
      </c>
      <c r="E95" s="34">
        <f>ROUND(General!E9/1000,0)</f>
        <v>523</v>
      </c>
      <c r="F95" s="34">
        <f>ROUND(General!F9/1000,0)</f>
        <v>536</v>
      </c>
      <c r="G95" s="34">
        <f>ROUND(General!G9/1000,0)</f>
        <v>550</v>
      </c>
      <c r="H95" s="34">
        <f>ROUND(General!H9/1000,0)</f>
        <v>563</v>
      </c>
    </row>
    <row r="96" spans="1:8" x14ac:dyDescent="0.25">
      <c r="A96" s="17" t="s">
        <v>64</v>
      </c>
      <c r="B96" s="34">
        <f>ROUND(General!B10/1000,0)</f>
        <v>692</v>
      </c>
      <c r="C96" s="34">
        <f>ROUND(General!C10/1000,0)</f>
        <v>770</v>
      </c>
      <c r="D96" s="34">
        <f>ROUND(General!D10/1000,0)</f>
        <v>787</v>
      </c>
      <c r="E96" s="34">
        <f>ROUND(General!E10/1000,0)-1</f>
        <v>809</v>
      </c>
      <c r="F96" s="34">
        <f>ROUND(General!F10/1000,0)</f>
        <v>830</v>
      </c>
      <c r="G96" s="34">
        <f>ROUND(General!G10/1000,0)</f>
        <v>851</v>
      </c>
      <c r="H96" s="34">
        <f>ROUND(General!H10/1000,0)</f>
        <v>872</v>
      </c>
    </row>
    <row r="97" spans="1:16" x14ac:dyDescent="0.25">
      <c r="A97" s="17" t="s">
        <v>65</v>
      </c>
      <c r="B97" s="99">
        <f>ROUND(General!B11/1000,0)</f>
        <v>2938</v>
      </c>
      <c r="C97" s="99">
        <f>ROUND(General!C11/1000,0)</f>
        <v>4014</v>
      </c>
      <c r="D97" s="99">
        <f>ROUND(General!D11/1000,0)</f>
        <v>4779</v>
      </c>
      <c r="E97" s="99">
        <f>ROUND(General!E11/1000,0)</f>
        <v>4932</v>
      </c>
      <c r="F97" s="99">
        <f>ROUND(General!F11/1000,0)</f>
        <v>5115</v>
      </c>
      <c r="G97" s="99">
        <f>ROUND(General!G11/1000,0)</f>
        <v>5294</v>
      </c>
      <c r="H97" s="99">
        <f>ROUND(General!H11/1000,0)</f>
        <v>5515</v>
      </c>
    </row>
    <row r="98" spans="1:16" x14ac:dyDescent="0.25">
      <c r="A98" s="36" t="s">
        <v>5</v>
      </c>
      <c r="B98" s="102">
        <f t="shared" ref="B98:G98" si="17">SUM(B90:B97)</f>
        <v>9484</v>
      </c>
      <c r="C98" s="102">
        <f t="shared" si="17"/>
        <v>10634</v>
      </c>
      <c r="D98" s="102">
        <f t="shared" si="17"/>
        <v>12329</v>
      </c>
      <c r="E98" s="102">
        <f t="shared" si="17"/>
        <v>12854</v>
      </c>
      <c r="F98" s="38">
        <f t="shared" si="17"/>
        <v>13185</v>
      </c>
      <c r="G98" s="38">
        <f t="shared" si="17"/>
        <v>13559</v>
      </c>
      <c r="H98" s="38">
        <f t="shared" ref="H98" si="18">SUM(H90:H97)</f>
        <v>13972</v>
      </c>
    </row>
    <row r="101" spans="1:16" x14ac:dyDescent="0.25">
      <c r="A101" s="563" t="s">
        <v>337</v>
      </c>
      <c r="B101" s="564"/>
      <c r="C101" s="564"/>
      <c r="D101" s="564"/>
      <c r="E101" s="564"/>
      <c r="F101" s="564"/>
      <c r="G101" s="564"/>
      <c r="H101" s="565"/>
    </row>
    <row r="102" spans="1:16" x14ac:dyDescent="0.25">
      <c r="A102" s="566" t="s">
        <v>225</v>
      </c>
      <c r="B102" s="567"/>
      <c r="C102" s="567"/>
      <c r="D102" s="567"/>
      <c r="E102" s="567"/>
      <c r="F102" s="567"/>
      <c r="G102" s="567"/>
      <c r="H102" s="568"/>
    </row>
    <row r="103" spans="1:16" x14ac:dyDescent="0.25">
      <c r="A103" s="19" t="s">
        <v>27</v>
      </c>
      <c r="B103" s="19">
        <f>B89</f>
        <v>2019</v>
      </c>
      <c r="C103" s="19">
        <f t="shared" ref="C103:H103" si="19">C89</f>
        <v>2020</v>
      </c>
      <c r="D103" s="19">
        <f t="shared" si="19"/>
        <v>2021</v>
      </c>
      <c r="E103" s="19">
        <f t="shared" si="19"/>
        <v>2022</v>
      </c>
      <c r="F103" s="19">
        <f t="shared" si="19"/>
        <v>2023</v>
      </c>
      <c r="G103" s="19">
        <f t="shared" si="19"/>
        <v>2024</v>
      </c>
      <c r="H103" s="19">
        <f t="shared" si="19"/>
        <v>2025</v>
      </c>
    </row>
    <row r="104" spans="1:16" x14ac:dyDescent="0.25">
      <c r="A104" s="17" t="s">
        <v>346</v>
      </c>
      <c r="B104" s="20">
        <f>ROUND('Other Revenue &amp; Costs'!B15/1000,0)</f>
        <v>11366</v>
      </c>
      <c r="C104" s="20">
        <f>ROUND('Other Revenue &amp; Costs'!C15/1000,0)-1</f>
        <v>11114</v>
      </c>
      <c r="D104" s="20">
        <f>ROUND('Other Revenue &amp; Costs'!D15/1000,0)</f>
        <v>10802</v>
      </c>
      <c r="E104" s="20">
        <f>ROUND('Other Revenue &amp; Costs'!E15/1000,0)</f>
        <v>12466</v>
      </c>
      <c r="F104" s="20">
        <f>ROUND('Other Revenue &amp; Costs'!F15/1000,0)</f>
        <v>13888</v>
      </c>
      <c r="G104" s="20">
        <f>ROUND('Other Revenue &amp; Costs'!G15/1000,0)</f>
        <v>14077</v>
      </c>
      <c r="H104" s="20">
        <f>ROUND('Other Revenue &amp; Costs'!H15/1000,0)</f>
        <v>14278</v>
      </c>
      <c r="J104" s="285"/>
      <c r="K104" s="285"/>
      <c r="L104" s="285"/>
      <c r="M104" s="285"/>
      <c r="N104" s="285"/>
      <c r="O104" s="285"/>
      <c r="P104" s="285"/>
    </row>
    <row r="105" spans="1:16" x14ac:dyDescent="0.25">
      <c r="A105" s="17" t="s">
        <v>115</v>
      </c>
      <c r="B105" s="34">
        <f>ROUND('Other Revenue &amp; Costs'!B20/1000,0)-1</f>
        <v>1975</v>
      </c>
      <c r="C105" s="34">
        <f>ROUND('Other Revenue &amp; Costs'!C20/1000,0)</f>
        <v>1988</v>
      </c>
      <c r="D105" s="34">
        <f>ROUND('Other Revenue &amp; Costs'!D20/1000,0)</f>
        <v>2393</v>
      </c>
      <c r="E105" s="34">
        <f>ROUND('Other Revenue &amp; Costs'!E20/1000,0)-1</f>
        <v>1866</v>
      </c>
      <c r="F105" s="34">
        <f>ROUND('Other Revenue &amp; Costs'!F20/1000,0)</f>
        <v>2694</v>
      </c>
      <c r="G105" s="34">
        <f>ROUND('Other Revenue &amp; Costs'!G20/1000,0)-1</f>
        <v>2469</v>
      </c>
      <c r="H105" s="34">
        <f>ROUND('Other Revenue &amp; Costs'!H20/1000,0)</f>
        <v>2599</v>
      </c>
    </row>
    <row r="106" spans="1:16" x14ac:dyDescent="0.25">
      <c r="A106" s="17" t="s">
        <v>125</v>
      </c>
      <c r="B106" s="34">
        <f>ROUND('Other Revenue &amp; Costs'!B21/1000,0)</f>
        <v>-3509</v>
      </c>
      <c r="C106" s="34">
        <f>ROUND('Other Revenue &amp; Costs'!C21/1000,0)</f>
        <v>0</v>
      </c>
      <c r="D106" s="34">
        <f>ROUND('Other Revenue &amp; Costs'!D21/1000,0)</f>
        <v>-238</v>
      </c>
      <c r="E106" s="34">
        <f>ROUND('Other Revenue &amp; Costs'!E21/1000,0)</f>
        <v>-506</v>
      </c>
      <c r="F106" s="34">
        <f>ROUND('Other Revenue &amp; Costs'!F21/1000,0)</f>
        <v>0</v>
      </c>
      <c r="G106" s="34">
        <f>ROUND('Other Revenue &amp; Costs'!G21/1000,0)</f>
        <v>0</v>
      </c>
      <c r="H106" s="34">
        <f>ROUND('Other Revenue &amp; Costs'!H21/1000,0)</f>
        <v>0</v>
      </c>
    </row>
    <row r="107" spans="1:16" x14ac:dyDescent="0.25">
      <c r="A107" s="17" t="s">
        <v>348</v>
      </c>
      <c r="B107" s="34">
        <f>ROUND('Other Revenue &amp; Costs'!B22/1000,0)</f>
        <v>0</v>
      </c>
      <c r="C107" s="34">
        <f>ROUND('Other Revenue &amp; Costs'!C22/1000,0)</f>
        <v>3006</v>
      </c>
      <c r="D107" s="34">
        <f>ROUND('Other Revenue &amp; Costs'!D22/1000,0)-1</f>
        <v>-2330</v>
      </c>
      <c r="E107" s="34">
        <f>ROUND('Other Revenue &amp; Costs'!E22/1000,0)+1</f>
        <v>-2361</v>
      </c>
      <c r="F107" s="34">
        <f>ROUND('Other Revenue &amp; Costs'!F22/1000,0)</f>
        <v>-394</v>
      </c>
      <c r="G107" s="34">
        <f>ROUND('Other Revenue &amp; Costs'!G22/1000,0)</f>
        <v>0</v>
      </c>
      <c r="H107" s="34">
        <f>ROUND('Other Revenue &amp; Costs'!H22/1000,0)</f>
        <v>0</v>
      </c>
    </row>
    <row r="108" spans="1:16" x14ac:dyDescent="0.25">
      <c r="A108" s="17" t="s">
        <v>347</v>
      </c>
      <c r="B108" s="34">
        <f>ROUND('Other Revenue &amp; Costs'!B23/1000,0)</f>
        <v>-766</v>
      </c>
      <c r="C108" s="34">
        <f>ROUND('Other Revenue &amp; Costs'!C23/1000,0)</f>
        <v>363</v>
      </c>
      <c r="D108" s="34">
        <f>ROUND('Other Revenue &amp; Costs'!D23/1000,0)</f>
        <v>1427</v>
      </c>
      <c r="E108" s="34">
        <f>ROUND('Other Revenue &amp; Costs'!E23/1000,0)</f>
        <v>0</v>
      </c>
      <c r="F108" s="34">
        <f>ROUND('Other Revenue &amp; Costs'!F23/1000,0)</f>
        <v>0</v>
      </c>
      <c r="G108" s="34">
        <f>ROUND('Other Revenue &amp; Costs'!G23/1000,0)</f>
        <v>0</v>
      </c>
      <c r="H108" s="34">
        <f>ROUND('Other Revenue &amp; Costs'!H23/1000,0)</f>
        <v>0</v>
      </c>
    </row>
    <row r="109" spans="1:16" x14ac:dyDescent="0.25">
      <c r="A109" s="36" t="s">
        <v>5</v>
      </c>
      <c r="B109" s="102">
        <f t="shared" ref="B109:H109" si="20">SUM(B104:B108)</f>
        <v>9066</v>
      </c>
      <c r="C109" s="102">
        <f t="shared" si="20"/>
        <v>16471</v>
      </c>
      <c r="D109" s="102">
        <f t="shared" si="20"/>
        <v>12054</v>
      </c>
      <c r="E109" s="102">
        <f t="shared" si="20"/>
        <v>11465</v>
      </c>
      <c r="F109" s="38">
        <f t="shared" si="20"/>
        <v>16188</v>
      </c>
      <c r="G109" s="38">
        <f t="shared" si="20"/>
        <v>16546</v>
      </c>
      <c r="H109" s="38">
        <f t="shared" si="20"/>
        <v>16877</v>
      </c>
    </row>
    <row r="110" spans="1:16" x14ac:dyDescent="0.25">
      <c r="D110" s="285"/>
      <c r="E110" s="285"/>
      <c r="F110" s="285"/>
      <c r="G110" s="285"/>
      <c r="H110" s="285"/>
    </row>
    <row r="112" spans="1:16" x14ac:dyDescent="0.25">
      <c r="A112" s="563" t="s">
        <v>345</v>
      </c>
      <c r="B112" s="564"/>
      <c r="C112" s="564"/>
      <c r="D112" s="564"/>
      <c r="E112" s="564"/>
      <c r="F112" s="564"/>
      <c r="G112" s="564"/>
      <c r="H112" s="565"/>
    </row>
    <row r="113" spans="1:8" x14ac:dyDescent="0.25">
      <c r="A113" s="566" t="s">
        <v>355</v>
      </c>
      <c r="B113" s="567"/>
      <c r="C113" s="567"/>
      <c r="D113" s="567"/>
      <c r="E113" s="567"/>
      <c r="F113" s="567"/>
      <c r="G113" s="567"/>
      <c r="H113" s="568"/>
    </row>
    <row r="114" spans="1:8" x14ac:dyDescent="0.25">
      <c r="A114" s="19" t="s">
        <v>27</v>
      </c>
      <c r="B114" s="19">
        <f>B103</f>
        <v>2019</v>
      </c>
      <c r="C114" s="19">
        <f t="shared" ref="C114:H114" si="21">C103</f>
        <v>2020</v>
      </c>
      <c r="D114" s="19">
        <f t="shared" si="21"/>
        <v>2021</v>
      </c>
      <c r="E114" s="19">
        <f t="shared" si="21"/>
        <v>2022</v>
      </c>
      <c r="F114" s="19">
        <f t="shared" si="21"/>
        <v>2023</v>
      </c>
      <c r="G114" s="19">
        <f t="shared" si="21"/>
        <v>2024</v>
      </c>
      <c r="H114" s="19">
        <f t="shared" si="21"/>
        <v>2025</v>
      </c>
    </row>
    <row r="115" spans="1:8" x14ac:dyDescent="0.25">
      <c r="A115" s="17" t="s">
        <v>352</v>
      </c>
      <c r="B115" s="20">
        <f>ROUND('Other Revenue &amp; Costs'!B29/1000,0)</f>
        <v>23337</v>
      </c>
      <c r="C115" s="20">
        <f>ROUND('Other Revenue &amp; Costs'!C29/1000,0)</f>
        <v>28778</v>
      </c>
      <c r="D115" s="20">
        <f>ROUND('Other Revenue &amp; Costs'!D29/1000,0)</f>
        <v>26359</v>
      </c>
      <c r="E115" s="20">
        <f>ROUND('Other Revenue &amp; Costs'!E29/1000,0)</f>
        <v>24116</v>
      </c>
      <c r="F115" s="20">
        <f>ROUND('Other Revenue &amp; Costs'!F29/1000,0)</f>
        <v>26786</v>
      </c>
      <c r="G115" s="20">
        <f>ROUND('Other Revenue &amp; Costs'!G29/1000,0)</f>
        <v>28462</v>
      </c>
      <c r="H115" s="20">
        <f>ROUND('Other Revenue &amp; Costs'!H29/1000,0)</f>
        <v>30493</v>
      </c>
    </row>
    <row r="116" spans="1:8" x14ac:dyDescent="0.25">
      <c r="A116" s="17" t="s">
        <v>353</v>
      </c>
      <c r="B116" s="34">
        <f>ROUND('Other Revenue &amp; Costs'!B30/1000,0)</f>
        <v>0</v>
      </c>
      <c r="C116" s="34">
        <f>ROUND('Other Revenue &amp; Costs'!C30/1000,0)</f>
        <v>0</v>
      </c>
      <c r="D116" s="34">
        <f>ROUND('Other Revenue &amp; Costs'!D30/1000,0)</f>
        <v>0</v>
      </c>
      <c r="E116" s="34">
        <f>ROUND('Other Revenue &amp; Costs'!E30/1000,0)</f>
        <v>0</v>
      </c>
      <c r="F116" s="34">
        <f>ROUND('Other Revenue &amp; Costs'!F30/1000,0)</f>
        <v>2135</v>
      </c>
      <c r="G116" s="34">
        <f>ROUND('Other Revenue &amp; Costs'!G30/1000,0)</f>
        <v>2135</v>
      </c>
      <c r="H116" s="34">
        <f>ROUND('Other Revenue &amp; Costs'!H30/1000,0)</f>
        <v>2135</v>
      </c>
    </row>
    <row r="117" spans="1:8" x14ac:dyDescent="0.25">
      <c r="A117" s="17" t="s">
        <v>357</v>
      </c>
      <c r="B117" s="34">
        <f>ROUND('Other Revenue &amp; Costs'!B31/1000,0)</f>
        <v>0</v>
      </c>
      <c r="C117" s="34">
        <f>ROUND('Other Revenue &amp; Costs'!C31/1000,0)</f>
        <v>0</v>
      </c>
      <c r="D117" s="34">
        <f>ROUND('Other Revenue &amp; Costs'!D31/1000,0)</f>
        <v>0</v>
      </c>
      <c r="E117" s="34">
        <f>ROUND('Other Revenue &amp; Costs'!E31/1000,0)</f>
        <v>0</v>
      </c>
      <c r="F117" s="34">
        <f>ROUND('Other Revenue &amp; Costs'!F31/1000,0)</f>
        <v>80</v>
      </c>
      <c r="G117" s="34">
        <f>ROUND('Other Revenue &amp; Costs'!G31/1000,0)</f>
        <v>95</v>
      </c>
      <c r="H117" s="34">
        <f>ROUND('Other Revenue &amp; Costs'!H31/1000,0)</f>
        <v>95</v>
      </c>
    </row>
    <row r="118" spans="1:8" x14ac:dyDescent="0.25">
      <c r="A118" s="17" t="s">
        <v>354</v>
      </c>
      <c r="B118" s="34">
        <f>ROUND('Other Revenue &amp; Costs'!B32/1000,0)</f>
        <v>94</v>
      </c>
      <c r="C118" s="34">
        <f>ROUND('Other Revenue &amp; Costs'!C32/1000,0)</f>
        <v>94</v>
      </c>
      <c r="D118" s="34">
        <f>ROUND('Other Revenue &amp; Costs'!D32/1000,0)</f>
        <v>94</v>
      </c>
      <c r="E118" s="34">
        <f>ROUND('Other Revenue &amp; Costs'!E32/1000,0)</f>
        <v>93</v>
      </c>
      <c r="F118" s="34">
        <f>ROUND('Other Revenue &amp; Costs'!F32/1000,0)</f>
        <v>93</v>
      </c>
      <c r="G118" s="34">
        <f>ROUND('Other Revenue &amp; Costs'!G32/1000,0)</f>
        <v>93</v>
      </c>
      <c r="H118" s="34">
        <f>ROUND('Other Revenue &amp; Costs'!H32/1000,0)</f>
        <v>93</v>
      </c>
    </row>
    <row r="119" spans="1:8" x14ac:dyDescent="0.25">
      <c r="A119" s="17" t="s">
        <v>358</v>
      </c>
      <c r="B119" s="34">
        <f>ROUND('Other Revenue &amp; Costs'!B33/1000,0)</f>
        <v>157</v>
      </c>
      <c r="C119" s="34">
        <f>ROUND('Other Revenue &amp; Costs'!C33/1000,0)</f>
        <v>573</v>
      </c>
      <c r="D119" s="34">
        <f>ROUND('Other Revenue &amp; Costs'!D33/1000,0)</f>
        <v>149</v>
      </c>
      <c r="E119" s="34">
        <f>ROUND('Other Revenue &amp; Costs'!E33/1000,0)</f>
        <v>0</v>
      </c>
      <c r="F119" s="34">
        <f>ROUND('Other Revenue &amp; Costs'!F33/1000,0)</f>
        <v>0</v>
      </c>
      <c r="G119" s="34">
        <f>ROUND('Other Revenue &amp; Costs'!G33/1000,0)</f>
        <v>0</v>
      </c>
      <c r="H119" s="34">
        <f>ROUND('Other Revenue &amp; Costs'!H33/1000,0)</f>
        <v>0</v>
      </c>
    </row>
    <row r="120" spans="1:8" x14ac:dyDescent="0.25">
      <c r="A120" s="36" t="s">
        <v>5</v>
      </c>
      <c r="B120" s="102">
        <f t="shared" ref="B120:H120" si="22">SUM(B115:B119)</f>
        <v>23588</v>
      </c>
      <c r="C120" s="102">
        <f t="shared" si="22"/>
        <v>29445</v>
      </c>
      <c r="D120" s="102">
        <f t="shared" si="22"/>
        <v>26602</v>
      </c>
      <c r="E120" s="102">
        <f t="shared" si="22"/>
        <v>24209</v>
      </c>
      <c r="F120" s="38">
        <f t="shared" si="22"/>
        <v>29094</v>
      </c>
      <c r="G120" s="38">
        <f t="shared" si="22"/>
        <v>30785</v>
      </c>
      <c r="H120" s="38">
        <f t="shared" si="22"/>
        <v>32816</v>
      </c>
    </row>
    <row r="123" spans="1:8" x14ac:dyDescent="0.25">
      <c r="A123" s="572" t="s">
        <v>579</v>
      </c>
      <c r="B123" s="573"/>
      <c r="C123" s="573"/>
      <c r="D123" s="573"/>
      <c r="E123" s="573"/>
      <c r="F123" s="573"/>
      <c r="G123" s="573"/>
      <c r="H123" s="574"/>
    </row>
    <row r="124" spans="1:8" x14ac:dyDescent="0.25">
      <c r="A124" s="575" t="s">
        <v>233</v>
      </c>
      <c r="B124" s="576"/>
      <c r="C124" s="576"/>
      <c r="D124" s="576"/>
      <c r="E124" s="576"/>
      <c r="F124" s="576"/>
      <c r="G124" s="576"/>
      <c r="H124" s="577"/>
    </row>
    <row r="125" spans="1:8" x14ac:dyDescent="0.25">
      <c r="A125" s="49"/>
      <c r="B125" s="49">
        <f>B114</f>
        <v>2019</v>
      </c>
      <c r="C125" s="49">
        <f t="shared" ref="C125:H125" si="23">C114</f>
        <v>2020</v>
      </c>
      <c r="D125" s="49">
        <f t="shared" si="23"/>
        <v>2021</v>
      </c>
      <c r="E125" s="49">
        <f t="shared" si="23"/>
        <v>2022</v>
      </c>
      <c r="F125" s="49">
        <f t="shared" si="23"/>
        <v>2023</v>
      </c>
      <c r="G125" s="49">
        <f t="shared" si="23"/>
        <v>2024</v>
      </c>
      <c r="H125" s="49">
        <f t="shared" si="23"/>
        <v>2025</v>
      </c>
    </row>
    <row r="126" spans="1:8" x14ac:dyDescent="0.25">
      <c r="A126" s="307" t="s">
        <v>362</v>
      </c>
      <c r="B126" s="313">
        <f>'Other Revenue &amp; Costs'!B40/1000</f>
        <v>12442.15</v>
      </c>
      <c r="C126" s="313">
        <f>'Other Revenue &amp; Costs'!C40/1000</f>
        <v>12442.15</v>
      </c>
      <c r="D126" s="313">
        <f>'Other Revenue &amp; Costs'!D40/1000</f>
        <v>12535.218000000001</v>
      </c>
      <c r="E126" s="313">
        <f>'Other Revenue &amp; Costs'!E40/1000</f>
        <v>13801</v>
      </c>
      <c r="F126" s="313">
        <f>'Other Revenue &amp; Costs'!F40/1000</f>
        <v>13801</v>
      </c>
      <c r="G126" s="313">
        <f>'Other Revenue &amp; Costs'!G40/1000</f>
        <v>14039.3</v>
      </c>
      <c r="H126" s="313">
        <f>'Other Revenue &amp; Costs'!H40/1000</f>
        <v>15220.6</v>
      </c>
    </row>
    <row r="127" spans="1:8" x14ac:dyDescent="0.25">
      <c r="A127" s="307" t="s">
        <v>83</v>
      </c>
      <c r="B127" s="52">
        <f>'Other Revenue &amp; Costs'!B41/1000-0.2</f>
        <v>920.48399999999992</v>
      </c>
      <c r="C127" s="52">
        <f>'Other Revenue &amp; Costs'!C41/1000</f>
        <v>706.34</v>
      </c>
      <c r="D127" s="52">
        <f>'Other Revenue &amp; Costs'!D41/1000</f>
        <v>500.56200000000001</v>
      </c>
      <c r="E127" s="34">
        <f>'Other Revenue &amp; Costs'!E41/1000</f>
        <v>264.7</v>
      </c>
      <c r="F127" s="34">
        <f>'Other Revenue &amp; Costs'!F41/1000-1</f>
        <v>655.7</v>
      </c>
      <c r="G127" s="17">
        <f>'Other Revenue &amp; Costs'!G41/1000-1</f>
        <v>1163.8</v>
      </c>
      <c r="H127" s="17">
        <f>'Other Revenue &amp; Costs'!H41/1000-1.2</f>
        <v>302.3</v>
      </c>
    </row>
    <row r="128" spans="1:8" x14ac:dyDescent="0.25">
      <c r="A128" s="307" t="s">
        <v>85</v>
      </c>
      <c r="B128" s="17">
        <f>'Other Revenue &amp; Costs'!B42/1000</f>
        <v>13.005000000000001</v>
      </c>
      <c r="C128" s="17">
        <f>'Other Revenue &amp; Costs'!C42/1000</f>
        <v>13.641999999999999</v>
      </c>
      <c r="D128" s="17">
        <f>'Other Revenue &amp; Costs'!D42/1000</f>
        <v>14.804</v>
      </c>
      <c r="E128" s="17">
        <f>'Other Revenue &amp; Costs'!E42/1000</f>
        <v>20.9</v>
      </c>
      <c r="F128" s="17">
        <f>'Other Revenue &amp; Costs'!F42/1000</f>
        <v>21.9</v>
      </c>
      <c r="G128" s="17">
        <f>'Other Revenue &amp; Costs'!G42/1000</f>
        <v>23.8</v>
      </c>
      <c r="H128" s="17">
        <f>'Other Revenue &amp; Costs'!H42/1000</f>
        <v>30.6</v>
      </c>
    </row>
    <row r="129" spans="1:8" x14ac:dyDescent="0.25">
      <c r="A129" s="307" t="s">
        <v>84</v>
      </c>
      <c r="B129" s="17">
        <f>'Other Revenue &amp; Costs'!B43/1000</f>
        <v>-474.43299999999999</v>
      </c>
      <c r="C129" s="17">
        <f>'Other Revenue &amp; Costs'!C43/1000</f>
        <v>-444.17</v>
      </c>
      <c r="D129" s="17">
        <f>'Other Revenue &amp; Costs'!D43/1000</f>
        <v>-548.01499999999999</v>
      </c>
      <c r="E129" s="17">
        <f>'Other Revenue &amp; Costs'!E43/1000</f>
        <v>-570</v>
      </c>
      <c r="F129" s="17">
        <f>'Other Revenue &amp; Costs'!F43/1000</f>
        <v>-682</v>
      </c>
      <c r="G129" s="17">
        <f>'Other Revenue &amp; Costs'!G43/1000</f>
        <v>-950</v>
      </c>
      <c r="H129" s="17">
        <f>'Other Revenue &amp; Costs'!H43/1000</f>
        <v>-961.00000000000023</v>
      </c>
    </row>
    <row r="130" spans="1:8" x14ac:dyDescent="0.25">
      <c r="A130" s="310" t="s">
        <v>363</v>
      </c>
      <c r="B130" s="311">
        <f t="shared" ref="B130:H130" si="24">SUM(B126:B129)</f>
        <v>12901.205999999998</v>
      </c>
      <c r="C130" s="311">
        <f t="shared" si="24"/>
        <v>12717.962</v>
      </c>
      <c r="D130" s="311">
        <f t="shared" si="24"/>
        <v>12502.569000000001</v>
      </c>
      <c r="E130" s="311">
        <f t="shared" si="24"/>
        <v>13516.6</v>
      </c>
      <c r="F130" s="311">
        <f t="shared" si="24"/>
        <v>13796.6</v>
      </c>
      <c r="G130" s="311">
        <f t="shared" si="24"/>
        <v>14276.899999999998</v>
      </c>
      <c r="H130" s="311">
        <f t="shared" si="24"/>
        <v>14592.5</v>
      </c>
    </row>
    <row r="133" spans="1:8" x14ac:dyDescent="0.25">
      <c r="A133" s="578" t="s">
        <v>361</v>
      </c>
      <c r="B133" s="579"/>
      <c r="C133" s="579"/>
      <c r="D133" s="579"/>
      <c r="E133" s="579"/>
      <c r="F133" s="579"/>
      <c r="G133" s="579"/>
      <c r="H133" s="580"/>
    </row>
    <row r="134" spans="1:8" x14ac:dyDescent="0.25">
      <c r="A134" s="575" t="s">
        <v>359</v>
      </c>
      <c r="B134" s="576"/>
      <c r="C134" s="576"/>
      <c r="D134" s="576"/>
      <c r="E134" s="576"/>
      <c r="F134" s="576"/>
      <c r="G134" s="576"/>
      <c r="H134" s="577"/>
    </row>
    <row r="135" spans="1:8" x14ac:dyDescent="0.25">
      <c r="A135" s="114" t="s">
        <v>70</v>
      </c>
      <c r="B135" s="114">
        <f>B125</f>
        <v>2019</v>
      </c>
      <c r="C135" s="114">
        <f t="shared" ref="C135:H135" si="25">C125</f>
        <v>2020</v>
      </c>
      <c r="D135" s="114">
        <f t="shared" si="25"/>
        <v>2021</v>
      </c>
      <c r="E135" s="114">
        <f t="shared" si="25"/>
        <v>2022</v>
      </c>
      <c r="F135" s="114">
        <f t="shared" si="25"/>
        <v>2023</v>
      </c>
      <c r="G135" s="114">
        <f t="shared" si="25"/>
        <v>2024</v>
      </c>
      <c r="H135" s="114">
        <f t="shared" si="25"/>
        <v>2025</v>
      </c>
    </row>
    <row r="136" spans="1:8" x14ac:dyDescent="0.25">
      <c r="A136" t="s">
        <v>364</v>
      </c>
      <c r="B136" s="17">
        <f>'Other Revenue &amp; Costs'!B50/1000</f>
        <v>1784.0000000000002</v>
      </c>
      <c r="C136" s="17">
        <f>'Other Revenue &amp; Costs'!C50/1000</f>
        <v>1784.0000000000002</v>
      </c>
      <c r="D136" s="17">
        <f>'Other Revenue &amp; Costs'!D50/1000</f>
        <v>1784.0000000000002</v>
      </c>
      <c r="E136" s="17">
        <f>'Other Revenue &amp; Costs'!E50/1000</f>
        <v>1784.0000000000002</v>
      </c>
      <c r="F136" s="17">
        <f>'Other Revenue &amp; Costs'!F50/1000</f>
        <v>1784.0000000000002</v>
      </c>
      <c r="G136" s="17">
        <f>'Other Revenue &amp; Costs'!G50/1000</f>
        <v>1784.0000000000002</v>
      </c>
      <c r="H136" s="17">
        <f>'Other Revenue &amp; Costs'!H50/1000</f>
        <v>1784.0000000000002</v>
      </c>
    </row>
    <row r="137" spans="1:8" x14ac:dyDescent="0.25">
      <c r="A137" t="s">
        <v>365</v>
      </c>
      <c r="B137" s="17">
        <f>'Other Revenue &amp; Costs'!B51/1000</f>
        <v>1293.8</v>
      </c>
      <c r="C137" s="17">
        <f>'Other Revenue &amp; Costs'!C51/1000</f>
        <v>1293.8</v>
      </c>
      <c r="D137" s="17">
        <f>'Other Revenue &amp; Costs'!D51/1000</f>
        <v>1293.8</v>
      </c>
      <c r="E137" s="17">
        <f>'Other Revenue &amp; Costs'!E51/1000</f>
        <v>1293.8</v>
      </c>
      <c r="F137" s="17">
        <f>'Other Revenue &amp; Costs'!F51/1000</f>
        <v>1293.8</v>
      </c>
      <c r="G137" s="17">
        <f>'Other Revenue &amp; Costs'!G51/1000</f>
        <v>1293.8</v>
      </c>
      <c r="H137" s="17">
        <f>'Other Revenue &amp; Costs'!H51/1000</f>
        <v>1293.8</v>
      </c>
    </row>
    <row r="138" spans="1:8" x14ac:dyDescent="0.25">
      <c r="A138" t="s">
        <v>366</v>
      </c>
      <c r="B138" s="17">
        <f>'Other Revenue &amp; Costs'!B52/1000-0.5</f>
        <v>1135</v>
      </c>
      <c r="C138" s="17">
        <f>'Other Revenue &amp; Costs'!C52/1000-0.5</f>
        <v>1135</v>
      </c>
      <c r="D138" s="17">
        <f>'Other Revenue &amp; Costs'!D52/1000-0.5</f>
        <v>1135</v>
      </c>
      <c r="E138" s="17">
        <f>'Other Revenue &amp; Costs'!E52/1000-0.5</f>
        <v>1135</v>
      </c>
      <c r="F138" s="17">
        <f>'Other Revenue &amp; Costs'!F52/1000-0.5</f>
        <v>1135</v>
      </c>
      <c r="G138" s="17">
        <f>'Other Revenue &amp; Costs'!G52/1000-0.5</f>
        <v>1135</v>
      </c>
      <c r="H138" s="17">
        <f>'Other Revenue &amp; Costs'!H52/1000</f>
        <v>946.3</v>
      </c>
    </row>
    <row r="139" spans="1:8" x14ac:dyDescent="0.25">
      <c r="A139" t="s">
        <v>367</v>
      </c>
      <c r="B139" s="17">
        <f>'Other Revenue &amp; Costs'!B53/1000</f>
        <v>3632.4</v>
      </c>
      <c r="C139" s="17">
        <f>'Other Revenue &amp; Costs'!C53/1000</f>
        <v>3632.4</v>
      </c>
      <c r="D139" s="17">
        <f>'Other Revenue &amp; Costs'!D53/1000</f>
        <v>3632.4</v>
      </c>
      <c r="E139" s="17">
        <f>'Other Revenue &amp; Costs'!E53/1000</f>
        <v>3632.4</v>
      </c>
      <c r="F139" s="17">
        <f>'Other Revenue &amp; Costs'!F53/1000</f>
        <v>3632.4</v>
      </c>
      <c r="G139" s="17">
        <f>'Other Revenue &amp; Costs'!G53/1000</f>
        <v>3632.4</v>
      </c>
      <c r="H139" s="17">
        <f>'Other Revenue &amp; Costs'!H53/1000</f>
        <v>3632.4</v>
      </c>
    </row>
    <row r="140" spans="1:8" x14ac:dyDescent="0.25">
      <c r="A140" t="s">
        <v>368</v>
      </c>
      <c r="B140" s="17">
        <f>'Other Revenue &amp; Costs'!B54/1000</f>
        <v>1474.5</v>
      </c>
      <c r="C140" s="17">
        <f>'Other Revenue &amp; Costs'!C54/1000</f>
        <v>1474.5</v>
      </c>
      <c r="D140" s="17">
        <f>'Other Revenue &amp; Costs'!D54/1000</f>
        <v>1474.5</v>
      </c>
      <c r="E140" s="17">
        <f>'Other Revenue &amp; Costs'!E54/1000</f>
        <v>1474.5</v>
      </c>
      <c r="F140" s="17">
        <f>'Other Revenue &amp; Costs'!F54/1000</f>
        <v>1474.5</v>
      </c>
      <c r="G140" s="17">
        <f>'Other Revenue &amp; Costs'!G54/1000</f>
        <v>1474.5</v>
      </c>
      <c r="H140" s="17">
        <f>'Other Revenue &amp; Costs'!H54/1000</f>
        <v>1474.5</v>
      </c>
    </row>
    <row r="141" spans="1:8" x14ac:dyDescent="0.25">
      <c r="A141" t="s">
        <v>369</v>
      </c>
      <c r="B141" s="17">
        <f>'Other Revenue &amp; Costs'!B55/1000</f>
        <v>1462.8</v>
      </c>
      <c r="C141" s="17">
        <f>'Other Revenue &amp; Costs'!C55/1000</f>
        <v>1462.8</v>
      </c>
      <c r="D141" s="17">
        <f>'Other Revenue &amp; Costs'!D55/1000</f>
        <v>1462.8</v>
      </c>
      <c r="E141" s="17">
        <f>'Other Revenue &amp; Costs'!E55/1000</f>
        <v>1462.8</v>
      </c>
      <c r="F141" s="17">
        <f>'Other Revenue &amp; Costs'!F55/1000</f>
        <v>1462.8</v>
      </c>
      <c r="G141" s="17">
        <f>'Other Revenue &amp; Costs'!G55/1000</f>
        <v>1462.8</v>
      </c>
      <c r="H141" s="17">
        <f>'Other Revenue &amp; Costs'!H55/1000</f>
        <v>1462.8</v>
      </c>
    </row>
    <row r="142" spans="1:8" x14ac:dyDescent="0.25">
      <c r="A142" t="s">
        <v>370</v>
      </c>
      <c r="B142" s="17">
        <f>'Other Revenue &amp; Costs'!B56/1000</f>
        <v>1659.15</v>
      </c>
      <c r="C142" s="17">
        <f>'Other Revenue &amp; Costs'!C56/1000</f>
        <v>1659.15</v>
      </c>
      <c r="D142" s="17">
        <f>'Other Revenue &amp; Costs'!D56/1000</f>
        <v>1659.15</v>
      </c>
      <c r="E142" s="17">
        <f>'Other Revenue &amp; Costs'!E56/1000</f>
        <v>1659.2000000000007</v>
      </c>
      <c r="F142" s="17">
        <f>'Other Revenue &amp; Costs'!F56/1000</f>
        <v>1659.2000000000007</v>
      </c>
      <c r="G142" s="17">
        <f>'Other Revenue &amp; Costs'!G56/1000</f>
        <v>1659.2000000000007</v>
      </c>
      <c r="H142" s="17">
        <f>'Other Revenue &amp; Costs'!H56/1000</f>
        <v>1659.2000000000007</v>
      </c>
    </row>
    <row r="143" spans="1:8" x14ac:dyDescent="0.25">
      <c r="A143" t="s">
        <v>371</v>
      </c>
      <c r="B143" s="17">
        <f>'Other Revenue &amp; Costs'!B57/1000</f>
        <v>0</v>
      </c>
      <c r="C143" s="17">
        <f>'Other Revenue &amp; Costs'!C57/1000</f>
        <v>0</v>
      </c>
      <c r="D143" s="17">
        <f>'Other Revenue &amp; Costs'!D57/1000</f>
        <v>93.067999999999998</v>
      </c>
      <c r="E143" s="17">
        <f>'Other Revenue &amp; Costs'!E57/1000</f>
        <v>1358.8</v>
      </c>
      <c r="F143" s="17">
        <f>'Other Revenue &amp; Costs'!F57/1000</f>
        <v>1358.8</v>
      </c>
      <c r="G143" s="17">
        <f>'Other Revenue &amp; Costs'!G57/1000</f>
        <v>1358.8</v>
      </c>
      <c r="H143" s="17">
        <f>'Other Revenue &amp; Costs'!H57/1000</f>
        <v>1358.8</v>
      </c>
    </row>
    <row r="144" spans="1:8" x14ac:dyDescent="0.25">
      <c r="A144" t="s">
        <v>372</v>
      </c>
      <c r="B144" s="17">
        <f>'Other Revenue &amp; Costs'!B58/1000</f>
        <v>0</v>
      </c>
      <c r="C144" s="17">
        <f>'Other Revenue &amp; Costs'!C58/1000</f>
        <v>0</v>
      </c>
      <c r="D144" s="17">
        <f>'Other Revenue &amp; Costs'!D58/1000</f>
        <v>0</v>
      </c>
      <c r="E144" s="17">
        <f>'Other Revenue &amp; Costs'!E58/1000</f>
        <v>0</v>
      </c>
      <c r="F144" s="17">
        <f>'Other Revenue &amp; Costs'!F58/1000</f>
        <v>0</v>
      </c>
      <c r="G144" s="17">
        <f>'Other Revenue &amp; Costs'!G58/1000</f>
        <v>238.3</v>
      </c>
      <c r="H144" s="17">
        <f>'Other Revenue &amp; Costs'!H58/1000</f>
        <v>1430</v>
      </c>
    </row>
    <row r="145" spans="1:8" x14ac:dyDescent="0.25">
      <c r="A145" t="s">
        <v>373</v>
      </c>
      <c r="B145" s="17">
        <f>'Other Revenue &amp; Costs'!B59/1000</f>
        <v>0</v>
      </c>
      <c r="C145" s="17">
        <f>'Other Revenue &amp; Costs'!C59/1000</f>
        <v>0</v>
      </c>
      <c r="D145" s="17">
        <f>'Other Revenue &amp; Costs'!D59/1000</f>
        <v>0</v>
      </c>
      <c r="E145" s="17">
        <f>'Other Revenue &amp; Costs'!E59/1000</f>
        <v>0</v>
      </c>
      <c r="F145" s="17">
        <f>'Other Revenue &amp; Costs'!F59/1000</f>
        <v>0</v>
      </c>
      <c r="G145" s="17">
        <f>'Other Revenue &amp; Costs'!G59/1000</f>
        <v>0</v>
      </c>
      <c r="H145" s="17">
        <f>'Other Revenue &amp; Costs'!H59/1000</f>
        <v>178.8</v>
      </c>
    </row>
    <row r="146" spans="1:8" x14ac:dyDescent="0.25">
      <c r="A146" s="41" t="s">
        <v>5</v>
      </c>
      <c r="B146" s="38">
        <f>SUM(B136:B144)</f>
        <v>12441.65</v>
      </c>
      <c r="C146" s="38">
        <f>SUM(C136:C144)</f>
        <v>12441.65</v>
      </c>
      <c r="D146" s="38">
        <f>SUM(D136:D144)</f>
        <v>12534.717999999999</v>
      </c>
      <c r="E146" s="38">
        <f>SUM(E136:E145)</f>
        <v>13800.5</v>
      </c>
      <c r="F146" s="38">
        <f>SUM(F136:F145)</f>
        <v>13800.5</v>
      </c>
      <c r="G146" s="38">
        <f>SUM(G136:G145)</f>
        <v>14038.8</v>
      </c>
      <c r="H146" s="38">
        <f>SUM(H136:H145)</f>
        <v>15220.599999999999</v>
      </c>
    </row>
    <row r="147" spans="1:8" x14ac:dyDescent="0.25">
      <c r="A147" s="48" t="s">
        <v>71</v>
      </c>
      <c r="B147" s="48"/>
      <c r="C147" s="48"/>
      <c r="D147"/>
      <c r="E147" s="8"/>
      <c r="F147"/>
      <c r="G147"/>
      <c r="H147" s="2"/>
    </row>
    <row r="150" spans="1:8" x14ac:dyDescent="0.25">
      <c r="A150" s="572" t="s">
        <v>360</v>
      </c>
      <c r="B150" s="573"/>
      <c r="C150" s="573"/>
      <c r="D150" s="573"/>
      <c r="E150" s="573"/>
      <c r="F150" s="573"/>
      <c r="G150" s="573"/>
      <c r="H150" s="574"/>
    </row>
    <row r="151" spans="1:8" x14ac:dyDescent="0.25">
      <c r="A151" s="575" t="s">
        <v>106</v>
      </c>
      <c r="B151" s="576"/>
      <c r="C151" s="576"/>
      <c r="D151" s="576"/>
      <c r="E151" s="576"/>
      <c r="F151" s="576"/>
      <c r="G151" s="576"/>
      <c r="H151" s="577"/>
    </row>
    <row r="152" spans="1:8" x14ac:dyDescent="0.25">
      <c r="A152" s="49"/>
      <c r="B152" s="49">
        <f>B135</f>
        <v>2019</v>
      </c>
      <c r="C152" s="49">
        <f t="shared" ref="C152:H152" si="26">C135</f>
        <v>2020</v>
      </c>
      <c r="D152" s="49">
        <f t="shared" si="26"/>
        <v>2021</v>
      </c>
      <c r="E152" s="49">
        <f t="shared" si="26"/>
        <v>2022</v>
      </c>
      <c r="F152" s="49">
        <f t="shared" si="26"/>
        <v>2023</v>
      </c>
      <c r="G152" s="49">
        <f t="shared" si="26"/>
        <v>2024</v>
      </c>
      <c r="H152" s="49">
        <f t="shared" si="26"/>
        <v>2025</v>
      </c>
    </row>
    <row r="153" spans="1:8" x14ac:dyDescent="0.25">
      <c r="A153" s="307" t="s">
        <v>106</v>
      </c>
      <c r="B153" s="309">
        <f>'Other Revenue &amp; Costs'!B80/1000</f>
        <v>6483.2420000000002</v>
      </c>
      <c r="C153" s="309">
        <f>'Other Revenue &amp; Costs'!C80/1000</f>
        <v>6666.0609999999997</v>
      </c>
      <c r="D153" s="309">
        <f>'Other Revenue &amp; Costs'!D80/1000</f>
        <v>6970.1310000000003</v>
      </c>
      <c r="E153" s="309">
        <f>'Other Revenue &amp; Costs'!E80/1000</f>
        <v>7428.9</v>
      </c>
      <c r="F153" s="309">
        <f>'Other Revenue &amp; Costs'!F80/1000</f>
        <v>8459.4</v>
      </c>
      <c r="G153" s="309">
        <f>'Other Revenue &amp; Costs'!G80/1000</f>
        <v>8993.6</v>
      </c>
      <c r="H153" s="309">
        <f>'Other Revenue &amp; Costs'!H80/1000</f>
        <v>9538.4</v>
      </c>
    </row>
    <row r="154" spans="1:8" x14ac:dyDescent="0.25">
      <c r="A154" s="307" t="s">
        <v>377</v>
      </c>
      <c r="B154" s="308">
        <v>31.3</v>
      </c>
      <c r="C154" s="308">
        <v>30.5</v>
      </c>
      <c r="D154" s="308">
        <v>32</v>
      </c>
      <c r="E154" s="92">
        <v>31.2</v>
      </c>
      <c r="F154" s="92">
        <v>31.2</v>
      </c>
      <c r="G154" s="92">
        <v>31.2</v>
      </c>
      <c r="H154" s="92">
        <v>31.2</v>
      </c>
    </row>
    <row r="155" spans="1:8" x14ac:dyDescent="0.25">
      <c r="A155"/>
      <c r="B155"/>
      <c r="C155"/>
      <c r="D155" s="2"/>
      <c r="E155"/>
      <c r="F155"/>
      <c r="G155"/>
      <c r="H155"/>
    </row>
    <row r="156" spans="1:8" x14ac:dyDescent="0.25">
      <c r="A156"/>
      <c r="B156"/>
      <c r="C156"/>
      <c r="D156" s="2"/>
      <c r="E156"/>
      <c r="F156"/>
      <c r="G156"/>
      <c r="H156"/>
    </row>
    <row r="157" spans="1:8" x14ac:dyDescent="0.25">
      <c r="A157" s="572" t="s">
        <v>376</v>
      </c>
      <c r="B157" s="573"/>
      <c r="C157" s="573"/>
      <c r="D157" s="573"/>
      <c r="E157" s="573"/>
      <c r="F157" s="573"/>
      <c r="G157" s="573"/>
      <c r="H157" s="574"/>
    </row>
    <row r="158" spans="1:8" x14ac:dyDescent="0.25">
      <c r="A158" s="575" t="s">
        <v>237</v>
      </c>
      <c r="B158" s="576"/>
      <c r="C158" s="576"/>
      <c r="D158" s="576"/>
      <c r="E158" s="576"/>
      <c r="F158" s="576"/>
      <c r="G158" s="576"/>
      <c r="H158" s="577"/>
    </row>
    <row r="159" spans="1:8" x14ac:dyDescent="0.25">
      <c r="A159" s="49"/>
      <c r="B159" s="49">
        <f>B135</f>
        <v>2019</v>
      </c>
      <c r="C159" s="49">
        <f t="shared" ref="C159:H159" si="27">C152</f>
        <v>2020</v>
      </c>
      <c r="D159" s="49">
        <f t="shared" si="27"/>
        <v>2021</v>
      </c>
      <c r="E159" s="49">
        <f t="shared" si="27"/>
        <v>2022</v>
      </c>
      <c r="F159" s="49">
        <f t="shared" si="27"/>
        <v>2023</v>
      </c>
      <c r="G159" s="49">
        <f t="shared" si="27"/>
        <v>2024</v>
      </c>
      <c r="H159" s="49">
        <f t="shared" si="27"/>
        <v>2025</v>
      </c>
    </row>
    <row r="160" spans="1:8" x14ac:dyDescent="0.25">
      <c r="A160" s="307" t="s">
        <v>237</v>
      </c>
      <c r="B160" s="17">
        <f>'ROE, Capital Structure, Divds'!B10/1000</f>
        <v>14262.629689999971</v>
      </c>
      <c r="C160" s="17">
        <f>'ROE, Capital Structure, Divds'!C10/1000</f>
        <v>14672.696</v>
      </c>
      <c r="D160" s="17">
        <f>'ROE, Capital Structure, Divds'!D10/1000-1</f>
        <v>15328.826999999999</v>
      </c>
      <c r="E160" s="17">
        <f>'ROE, Capital Structure, Divds'!E10/1000</f>
        <v>16363.8</v>
      </c>
      <c r="F160" s="17">
        <f>'ROE, Capital Structure, Divds'!F10/1000</f>
        <v>18660.099999999999</v>
      </c>
      <c r="G160" s="17">
        <f>'ROE, Capital Structure, Divds'!G10/1000-2</f>
        <v>19849.5</v>
      </c>
      <c r="H160" s="17">
        <f>'ROE, Capital Structure, Divds'!H10/1000-1</f>
        <v>21065.5</v>
      </c>
    </row>
    <row r="161" spans="1:8" x14ac:dyDescent="0.25">
      <c r="A161" s="307" t="s">
        <v>378</v>
      </c>
      <c r="B161" s="314">
        <v>9.35</v>
      </c>
      <c r="C161" s="314">
        <v>9.3000000000000007</v>
      </c>
      <c r="D161" s="314">
        <v>9.35</v>
      </c>
      <c r="E161" s="315">
        <v>9.35</v>
      </c>
      <c r="F161" s="315">
        <v>9.9499999999999993</v>
      </c>
      <c r="G161" s="315">
        <v>9.9499999999999993</v>
      </c>
      <c r="H161" s="315">
        <v>9.9499999999999993</v>
      </c>
    </row>
    <row r="164" spans="1:8" x14ac:dyDescent="0.25">
      <c r="A164" s="578" t="s">
        <v>580</v>
      </c>
      <c r="B164" s="579"/>
      <c r="C164" s="579"/>
      <c r="D164" s="579"/>
      <c r="E164" s="579"/>
      <c r="F164" s="579"/>
      <c r="G164" s="579"/>
      <c r="H164" s="580"/>
    </row>
    <row r="165" spans="1:8" x14ac:dyDescent="0.25">
      <c r="A165" s="575" t="s">
        <v>67</v>
      </c>
      <c r="B165" s="576"/>
      <c r="C165" s="576"/>
      <c r="D165" s="576"/>
      <c r="E165" s="576"/>
      <c r="F165" s="576"/>
      <c r="G165" s="576"/>
      <c r="H165" s="577"/>
    </row>
    <row r="166" spans="1:8" x14ac:dyDescent="0.25">
      <c r="A166" s="49"/>
      <c r="B166" s="49">
        <f t="shared" ref="B166:H166" si="28">+B152</f>
        <v>2019</v>
      </c>
      <c r="C166" s="49">
        <f t="shared" si="28"/>
        <v>2020</v>
      </c>
      <c r="D166" s="49">
        <f t="shared" si="28"/>
        <v>2021</v>
      </c>
      <c r="E166" s="49">
        <f t="shared" si="28"/>
        <v>2022</v>
      </c>
      <c r="F166" s="49">
        <f t="shared" si="28"/>
        <v>2023</v>
      </c>
      <c r="G166" s="49">
        <f t="shared" si="28"/>
        <v>2024</v>
      </c>
      <c r="H166" s="49">
        <f t="shared" si="28"/>
        <v>2025</v>
      </c>
    </row>
    <row r="167" spans="1:8" x14ac:dyDescent="0.25">
      <c r="A167" s="23" t="s">
        <v>68</v>
      </c>
      <c r="B167" s="43">
        <f>'ROE, Capital Structure, Divds'!B16/1000</f>
        <v>8500</v>
      </c>
      <c r="C167" s="43">
        <f>'ROE, Capital Structure, Divds'!C16/1000</f>
        <v>7500</v>
      </c>
      <c r="D167" s="43">
        <f>'ROE, Capital Structure, Divds'!D16/1000</f>
        <v>8675</v>
      </c>
      <c r="E167" s="43">
        <f>'ROE, Capital Structure, Divds'!E16/1000</f>
        <v>2500</v>
      </c>
      <c r="F167" s="43">
        <f>'ROE, Capital Structure, Divds'!F16/1000</f>
        <v>7000</v>
      </c>
      <c r="G167" s="43">
        <f>'ROE, Capital Structure, Divds'!G16/1000</f>
        <v>6000</v>
      </c>
      <c r="H167" s="43">
        <f>'ROE, Capital Structure, Divds'!H16/1000</f>
        <v>9500</v>
      </c>
    </row>
    <row r="168" spans="1:8" x14ac:dyDescent="0.25">
      <c r="A168" s="23" t="s">
        <v>69</v>
      </c>
      <c r="B168" s="44">
        <f>'ROE, Capital Structure, Divds'!B17/1000</f>
        <v>0</v>
      </c>
      <c r="C168" s="44">
        <f>'ROE, Capital Structure, Divds'!C17/1000</f>
        <v>212.5</v>
      </c>
      <c r="D168" s="44">
        <f>'ROE, Capital Structure, Divds'!D17/1000</f>
        <v>212.5</v>
      </c>
      <c r="E168" s="44">
        <f>'ROE, Capital Structure, Divds'!E17/1000</f>
        <v>212.5</v>
      </c>
      <c r="F168" s="44">
        <f>'ROE, Capital Structure, Divds'!F17/1000</f>
        <v>212.5</v>
      </c>
      <c r="G168" s="44">
        <f>'ROE, Capital Structure, Divds'!G17/1000</f>
        <v>212.5</v>
      </c>
      <c r="H168" s="44">
        <f>'ROE, Capital Structure, Divds'!H17/1000</f>
        <v>212.5</v>
      </c>
    </row>
    <row r="169" spans="1:8" x14ac:dyDescent="0.25">
      <c r="A169" s="59" t="s">
        <v>5</v>
      </c>
      <c r="B169" s="38">
        <f>SUM(B167:B168)</f>
        <v>8500</v>
      </c>
      <c r="C169" s="38">
        <f t="shared" ref="C169:H169" si="29">SUM(C167:C168)</f>
        <v>7712.5</v>
      </c>
      <c r="D169" s="38">
        <f t="shared" si="29"/>
        <v>8887.5</v>
      </c>
      <c r="E169" s="38">
        <f t="shared" si="29"/>
        <v>2712.5</v>
      </c>
      <c r="F169" s="38">
        <f t="shared" si="29"/>
        <v>7212.5</v>
      </c>
      <c r="G169" s="38">
        <f t="shared" si="29"/>
        <v>6212.5</v>
      </c>
      <c r="H169" s="38">
        <f t="shared" si="29"/>
        <v>9712.5</v>
      </c>
    </row>
    <row r="172" spans="1:8" x14ac:dyDescent="0.25">
      <c r="A172" s="563" t="s">
        <v>581</v>
      </c>
      <c r="B172" s="564"/>
      <c r="C172" s="564"/>
      <c r="D172" s="564"/>
      <c r="E172" s="564"/>
      <c r="F172" s="564"/>
      <c r="G172" s="564"/>
      <c r="H172" s="565"/>
    </row>
    <row r="173" spans="1:8" x14ac:dyDescent="0.25">
      <c r="A173" s="560" t="s">
        <v>382</v>
      </c>
      <c r="B173" s="561"/>
      <c r="C173" s="561"/>
      <c r="D173" s="561"/>
      <c r="E173" s="561"/>
      <c r="F173" s="561"/>
      <c r="G173" s="561"/>
      <c r="H173" s="562"/>
    </row>
    <row r="174" spans="1:8" x14ac:dyDescent="0.25">
      <c r="A174" s="293"/>
      <c r="B174" s="293">
        <f>B166</f>
        <v>2019</v>
      </c>
      <c r="C174" s="293">
        <f t="shared" ref="C174:H174" si="30">C166</f>
        <v>2020</v>
      </c>
      <c r="D174" s="293">
        <f t="shared" si="30"/>
        <v>2021</v>
      </c>
      <c r="E174" s="293">
        <f t="shared" si="30"/>
        <v>2022</v>
      </c>
      <c r="F174" s="293">
        <f t="shared" si="30"/>
        <v>2023</v>
      </c>
      <c r="G174" s="293">
        <f t="shared" si="30"/>
        <v>2024</v>
      </c>
      <c r="H174" s="293">
        <f t="shared" si="30"/>
        <v>2025</v>
      </c>
    </row>
    <row r="175" spans="1:8" x14ac:dyDescent="0.25">
      <c r="A175" s="92" t="s">
        <v>66</v>
      </c>
      <c r="B175" s="92">
        <f>'ROE, Capital Structure, Divds'!B24</f>
        <v>60.669273406877501</v>
      </c>
      <c r="C175" s="92">
        <f>'ROE, Capital Structure, Divds'!C24</f>
        <v>60.8</v>
      </c>
      <c r="D175" s="92">
        <f>'ROE, Capital Structure, Divds'!D24</f>
        <v>61</v>
      </c>
      <c r="E175" s="92">
        <f>'ROE, Capital Structure, Divds'!E24</f>
        <v>60.4473567768392</v>
      </c>
      <c r="F175" s="92">
        <f>'ROE, Capital Structure, Divds'!F24</f>
        <v>59.990539259394829</v>
      </c>
      <c r="G175" s="92">
        <f>'ROE, Capital Structure, Divds'!G24</f>
        <v>59.975177542508305</v>
      </c>
      <c r="H175" s="92">
        <f>'ROE, Capital Structure, Divds'!H24</f>
        <v>60.005223641143758</v>
      </c>
    </row>
    <row r="176" spans="1:8" x14ac:dyDescent="0.25">
      <c r="A176" s="92" t="s">
        <v>162</v>
      </c>
      <c r="B176" s="92">
        <f>'ROE, Capital Structure, Divds'!B25</f>
        <v>39.330726593122506</v>
      </c>
      <c r="C176" s="92">
        <f>'ROE, Capital Structure, Divds'!C25</f>
        <v>39.200000000000003</v>
      </c>
      <c r="D176" s="92">
        <f>'ROE, Capital Structure, Divds'!D25</f>
        <v>39</v>
      </c>
      <c r="E176" s="92">
        <f>'ROE, Capital Structure, Divds'!E25</f>
        <v>39.5526432231608</v>
      </c>
      <c r="F176" s="92">
        <f>'ROE, Capital Structure, Divds'!F25</f>
        <v>40.009460740605171</v>
      </c>
      <c r="G176" s="92">
        <f>'ROE, Capital Structure, Divds'!G25</f>
        <v>40.024822457491695</v>
      </c>
      <c r="H176" s="92">
        <f>'ROE, Capital Structure, Divds'!H25</f>
        <v>39.994776358856235</v>
      </c>
    </row>
    <row r="177" spans="1:8" x14ac:dyDescent="0.25">
      <c r="A177" s="94" t="s">
        <v>5</v>
      </c>
      <c r="B177" s="94">
        <f t="shared" ref="B177:H177" si="31">SUM(B175:B176)</f>
        <v>100</v>
      </c>
      <c r="C177" s="94">
        <f t="shared" si="31"/>
        <v>100</v>
      </c>
      <c r="D177" s="94">
        <f t="shared" si="31"/>
        <v>100</v>
      </c>
      <c r="E177" s="94">
        <f t="shared" si="31"/>
        <v>100</v>
      </c>
      <c r="F177" s="94">
        <f t="shared" si="31"/>
        <v>100</v>
      </c>
      <c r="G177" s="94">
        <f t="shared" si="31"/>
        <v>100</v>
      </c>
      <c r="H177" s="94">
        <f t="shared" si="31"/>
        <v>100</v>
      </c>
    </row>
  </sheetData>
  <mergeCells count="32">
    <mergeCell ref="A173:H173"/>
    <mergeCell ref="A157:H157"/>
    <mergeCell ref="A158:H158"/>
    <mergeCell ref="A164:H164"/>
    <mergeCell ref="A165:H165"/>
    <mergeCell ref="A172:H172"/>
    <mergeCell ref="A124:H124"/>
    <mergeCell ref="A133:H133"/>
    <mergeCell ref="A134:H134"/>
    <mergeCell ref="A150:H150"/>
    <mergeCell ref="A151:H151"/>
    <mergeCell ref="A11:H11"/>
    <mergeCell ref="A10:H10"/>
    <mergeCell ref="A2:H2"/>
    <mergeCell ref="A3:H3"/>
    <mergeCell ref="A123:H123"/>
    <mergeCell ref="A29:H29"/>
    <mergeCell ref="A30:H30"/>
    <mergeCell ref="A38:H38"/>
    <mergeCell ref="A39:H39"/>
    <mergeCell ref="A49:H49"/>
    <mergeCell ref="A101:H101"/>
    <mergeCell ref="A102:H102"/>
    <mergeCell ref="A112:H112"/>
    <mergeCell ref="A113:H113"/>
    <mergeCell ref="A50:H50"/>
    <mergeCell ref="A63:H63"/>
    <mergeCell ref="A64:H64"/>
    <mergeCell ref="A87:H87"/>
    <mergeCell ref="A88:H88"/>
    <mergeCell ref="A78:H78"/>
    <mergeCell ref="A79:H79"/>
  </mergeCells>
  <printOptions horizontalCentered="1"/>
  <pageMargins left="0.7" right="0.7" top="0.75" bottom="0.75" header="0.3" footer="0.3"/>
  <pageSetup scale="47"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128"/>
  <sheetViews>
    <sheetView topLeftCell="A52" workbookViewId="0">
      <selection activeCell="K75" sqref="K75"/>
    </sheetView>
  </sheetViews>
  <sheetFormatPr defaultRowHeight="15" x14ac:dyDescent="0.25"/>
  <cols>
    <col min="1" max="1" width="62" style="10" bestFit="1" customWidth="1"/>
    <col min="2" max="3" width="15" style="10" bestFit="1" customWidth="1"/>
    <col min="4" max="4" width="15.42578125" style="10" bestFit="1" customWidth="1"/>
    <col min="5" max="5" width="14.42578125" style="10" bestFit="1" customWidth="1"/>
    <col min="6" max="16384" width="9.140625" style="10"/>
  </cols>
  <sheetData>
    <row r="2" spans="1:3" x14ac:dyDescent="0.25">
      <c r="A2" s="585" t="s">
        <v>381</v>
      </c>
      <c r="B2" s="586"/>
      <c r="C2" s="587"/>
    </row>
    <row r="3" spans="1:3" x14ac:dyDescent="0.25">
      <c r="A3" s="588" t="s">
        <v>459</v>
      </c>
      <c r="B3" s="589"/>
      <c r="C3" s="590"/>
    </row>
    <row r="4" spans="1:3" x14ac:dyDescent="0.25">
      <c r="A4" s="591" t="s">
        <v>460</v>
      </c>
      <c r="B4" s="592"/>
      <c r="C4" s="593"/>
    </row>
    <row r="5" spans="1:3" x14ac:dyDescent="0.25">
      <c r="A5" s="370" t="s">
        <v>615</v>
      </c>
      <c r="B5" s="371" t="s">
        <v>198</v>
      </c>
      <c r="C5" s="372">
        <f>+'Energy Supply'!E7*1000000</f>
        <v>1504198113</v>
      </c>
    </row>
    <row r="6" spans="1:3" x14ac:dyDescent="0.25">
      <c r="A6" s="373" t="s">
        <v>461</v>
      </c>
      <c r="B6" s="371" t="s">
        <v>199</v>
      </c>
      <c r="C6" s="373">
        <v>9.2439999999999994E-2</v>
      </c>
    </row>
    <row r="7" spans="1:3" x14ac:dyDescent="0.25">
      <c r="A7" s="373" t="s">
        <v>465</v>
      </c>
      <c r="B7" s="371" t="s">
        <v>462</v>
      </c>
      <c r="C7" s="372">
        <f>ROUND(+C5*C6,0)</f>
        <v>139048074</v>
      </c>
    </row>
    <row r="8" spans="1:3" x14ac:dyDescent="0.25">
      <c r="A8" s="370" t="s">
        <v>616</v>
      </c>
      <c r="B8" s="371" t="s">
        <v>200</v>
      </c>
      <c r="C8" s="372">
        <v>144893940.8786262</v>
      </c>
    </row>
    <row r="9" spans="1:3" x14ac:dyDescent="0.25">
      <c r="A9" s="374" t="s">
        <v>463</v>
      </c>
      <c r="B9" s="375" t="s">
        <v>464</v>
      </c>
      <c r="C9" s="376">
        <f>+C8-C7</f>
        <v>5845866.8786261976</v>
      </c>
    </row>
    <row r="10" spans="1:3" s="377" customFormat="1" ht="12" customHeight="1" x14ac:dyDescent="0.2">
      <c r="A10" s="506"/>
      <c r="B10" s="503"/>
      <c r="C10" s="507"/>
    </row>
    <row r="11" spans="1:3" s="377" customFormat="1" ht="27.75" customHeight="1" x14ac:dyDescent="0.2">
      <c r="A11" s="506"/>
      <c r="B11" s="503"/>
      <c r="C11" s="507"/>
    </row>
    <row r="13" spans="1:3" x14ac:dyDescent="0.25">
      <c r="A13" s="594" t="s">
        <v>458</v>
      </c>
      <c r="B13" s="595"/>
      <c r="C13" s="596"/>
    </row>
    <row r="14" spans="1:3" x14ac:dyDescent="0.25">
      <c r="A14" s="597" t="s">
        <v>467</v>
      </c>
      <c r="B14" s="598"/>
      <c r="C14" s="599"/>
    </row>
    <row r="15" spans="1:3" x14ac:dyDescent="0.25">
      <c r="A15" s="581" t="s">
        <v>468</v>
      </c>
      <c r="B15" s="582"/>
      <c r="C15" s="583"/>
    </row>
    <row r="16" spans="1:3" x14ac:dyDescent="0.25">
      <c r="A16" s="370" t="s">
        <v>469</v>
      </c>
      <c r="B16" s="378" t="s">
        <v>198</v>
      </c>
      <c r="C16" s="379">
        <v>6791071</v>
      </c>
    </row>
    <row r="17" spans="1:5" x14ac:dyDescent="0.25">
      <c r="A17" s="380" t="s">
        <v>503</v>
      </c>
      <c r="B17" s="378" t="s">
        <v>199</v>
      </c>
      <c r="C17" s="379">
        <f>ROUND(+'ECAM Account'!E28+'ECAM Account'!F25,-2)</f>
        <v>1396277700</v>
      </c>
    </row>
    <row r="18" spans="1:5" x14ac:dyDescent="0.25">
      <c r="A18" s="381" t="s">
        <v>471</v>
      </c>
      <c r="B18" s="378" t="s">
        <v>472</v>
      </c>
      <c r="C18" s="382">
        <f>ROUND(C16/C17,5)</f>
        <v>4.8599999999999997E-3</v>
      </c>
    </row>
    <row r="19" spans="1:5" ht="45" customHeight="1" x14ac:dyDescent="0.25">
      <c r="A19" s="584" t="s">
        <v>473</v>
      </c>
      <c r="B19" s="584"/>
      <c r="C19" s="584"/>
    </row>
    <row r="20" spans="1:5" x14ac:dyDescent="0.25">
      <c r="A20" s="383"/>
      <c r="B20" s="384"/>
      <c r="C20" s="384"/>
    </row>
    <row r="21" spans="1:5" x14ac:dyDescent="0.25">
      <c r="A21" s="606" t="s">
        <v>466</v>
      </c>
      <c r="B21" s="607"/>
      <c r="C21" s="607"/>
      <c r="D21" s="607"/>
      <c r="E21" s="608"/>
    </row>
    <row r="22" spans="1:5" x14ac:dyDescent="0.25">
      <c r="A22" s="609" t="s">
        <v>475</v>
      </c>
      <c r="B22" s="610"/>
      <c r="C22" s="610"/>
      <c r="D22" s="610"/>
      <c r="E22" s="611"/>
    </row>
    <row r="23" spans="1:5" x14ac:dyDescent="0.25">
      <c r="A23" s="612" t="s">
        <v>476</v>
      </c>
      <c r="B23" s="613"/>
      <c r="C23" s="613"/>
      <c r="D23" s="613"/>
      <c r="E23" s="614"/>
    </row>
    <row r="24" spans="1:5" x14ac:dyDescent="0.25">
      <c r="A24" s="622" t="s">
        <v>477</v>
      </c>
      <c r="B24" s="621"/>
      <c r="C24" s="385">
        <v>2023</v>
      </c>
      <c r="D24" s="385">
        <v>2024</v>
      </c>
      <c r="E24" s="385">
        <v>2025</v>
      </c>
    </row>
    <row r="25" spans="1:5" x14ac:dyDescent="0.25">
      <c r="A25" s="622"/>
      <c r="B25" s="621"/>
      <c r="C25" s="385" t="s">
        <v>315</v>
      </c>
      <c r="D25" s="385" t="s">
        <v>315</v>
      </c>
      <c r="E25" s="385" t="s">
        <v>315</v>
      </c>
    </row>
    <row r="26" spans="1:5" x14ac:dyDescent="0.25">
      <c r="A26" s="386" t="s">
        <v>478</v>
      </c>
      <c r="B26" s="387"/>
      <c r="C26" s="388">
        <f>+'Tables Section 5.1 - 5.2'!F13</f>
        <v>25481</v>
      </c>
      <c r="D26" s="388">
        <f>+'Tables Section 5.1 - 5.2'!G13</f>
        <v>24661</v>
      </c>
      <c r="E26" s="388">
        <f>+'Tables Section 5.1 - 5.2'!H13</f>
        <v>25647</v>
      </c>
    </row>
    <row r="27" spans="1:5" x14ac:dyDescent="0.25">
      <c r="A27" s="386" t="s">
        <v>479</v>
      </c>
      <c r="B27" s="387"/>
      <c r="C27" s="388">
        <f>+'Tables Section 5.1 - 5.2'!F14</f>
        <v>26635</v>
      </c>
      <c r="D27" s="388">
        <f>+'Tables Section 5.1 - 5.2'!G14</f>
        <v>37187</v>
      </c>
      <c r="E27" s="388">
        <f>+'Tables Section 5.1 - 5.2'!H14</f>
        <v>50637</v>
      </c>
    </row>
    <row r="28" spans="1:5" x14ac:dyDescent="0.25">
      <c r="A28" s="386" t="s">
        <v>480</v>
      </c>
      <c r="B28" s="387"/>
      <c r="C28" s="388">
        <f>+'Tables Section 5.1 - 5.2'!F15+'Tables Section 5.1 - 5.2'!F16+'Tables Section 5.1 - 5.2'!F23</f>
        <v>83855</v>
      </c>
      <c r="D28" s="388">
        <f>+'Tables Section 5.1 - 5.2'!G15+'Tables Section 5.1 - 5.2'!G16+'Tables Section 5.1 - 5.2'!G23</f>
        <v>79030</v>
      </c>
      <c r="E28" s="388">
        <f>+'Tables Section 5.1 - 5.2'!H15+'Tables Section 5.1 - 5.2'!H16+'Tables Section 5.1 - 5.2'!H23</f>
        <v>67268</v>
      </c>
    </row>
    <row r="29" spans="1:5" x14ac:dyDescent="0.25">
      <c r="A29" s="386" t="s">
        <v>481</v>
      </c>
      <c r="B29" s="387"/>
      <c r="C29" s="388">
        <f>+'Tables Section 5.1 - 5.2'!F18+'Tables Section 5.1 - 5.2'!F19+'Tables Section 5.1 - 5.2'!F20+'Tables Section 5.1 - 5.2'!F25-C30</f>
        <v>2125</v>
      </c>
      <c r="D29" s="388">
        <f>+'Tables Section 5.1 - 5.2'!G18+'Tables Section 5.1 - 5.2'!G19+'Tables Section 5.1 - 5.2'!G20+'Tables Section 5.1 - 5.2'!G25-D30</f>
        <v>2156</v>
      </c>
      <c r="E29" s="388">
        <f>+'Tables Section 5.1 - 5.2'!H18+'Tables Section 5.1 - 5.2'!H19+'Tables Section 5.1 - 5.2'!H20+'Tables Section 5.1 - 5.2'!H25-E30</f>
        <v>2543</v>
      </c>
    </row>
    <row r="30" spans="1:5" x14ac:dyDescent="0.25">
      <c r="A30" s="386" t="s">
        <v>482</v>
      </c>
      <c r="B30" s="387"/>
      <c r="C30" s="389">
        <f>ROUND((+'Energy Supply'!F38+'Energy Supply'!F50+'Energy Supply'!F63)/1000,0)</f>
        <v>976</v>
      </c>
      <c r="D30" s="389">
        <f>ROUND((+'Energy Supply'!G38+'Energy Supply'!G50+'Energy Supply'!G63)/1000,0)</f>
        <v>1254</v>
      </c>
      <c r="E30" s="389">
        <f>ROUND((+'Energy Supply'!H38+'Energy Supply'!H50+'Energy Supply'!H63)/1000,0)</f>
        <v>1387</v>
      </c>
    </row>
    <row r="31" spans="1:5" x14ac:dyDescent="0.25">
      <c r="A31" s="386" t="s">
        <v>483</v>
      </c>
      <c r="B31" s="387"/>
      <c r="C31" s="388">
        <f>+'Tables Section 5.1 - 5.2'!F21</f>
        <v>1106</v>
      </c>
      <c r="D31" s="388">
        <f>+'Tables Section 5.1 - 5.2'!G21</f>
        <v>1154</v>
      </c>
      <c r="E31" s="388">
        <f>+'Tables Section 5.1 - 5.2'!H21</f>
        <v>1206</v>
      </c>
    </row>
    <row r="32" spans="1:5" x14ac:dyDescent="0.25">
      <c r="A32" s="386" t="s">
        <v>484</v>
      </c>
      <c r="B32" s="387"/>
      <c r="C32" s="388">
        <f>+'Tables Section 5.1 - 5.2'!F22</f>
        <v>4605</v>
      </c>
      <c r="D32" s="388">
        <f>+'Tables Section 5.1 - 5.2'!G22</f>
        <v>4631</v>
      </c>
      <c r="E32" s="388">
        <f>+'Tables Section 5.1 - 5.2'!H22</f>
        <v>4653</v>
      </c>
    </row>
    <row r="33" spans="1:5" x14ac:dyDescent="0.25">
      <c r="A33" s="390" t="s">
        <v>485</v>
      </c>
      <c r="B33" s="387"/>
      <c r="C33" s="388">
        <f>+'Tables Section 5.1 - 5.2'!F24</f>
        <v>4103</v>
      </c>
      <c r="D33" s="388">
        <f>+'Tables Section 5.1 - 5.2'!G24</f>
        <v>5411</v>
      </c>
      <c r="E33" s="388">
        <f>+'Tables Section 5.1 - 5.2'!H24</f>
        <v>5457</v>
      </c>
    </row>
    <row r="34" spans="1:5" x14ac:dyDescent="0.25">
      <c r="A34" s="391" t="s">
        <v>486</v>
      </c>
      <c r="B34" s="385"/>
      <c r="C34" s="392">
        <f>SUM(C26:C33)</f>
        <v>148886</v>
      </c>
      <c r="D34" s="392">
        <f t="shared" ref="D34:E34" si="0">SUM(D26:D33)</f>
        <v>155484</v>
      </c>
      <c r="E34" s="392">
        <f t="shared" si="0"/>
        <v>158798</v>
      </c>
    </row>
    <row r="35" spans="1:5" x14ac:dyDescent="0.25">
      <c r="A35" s="393" t="s">
        <v>487</v>
      </c>
      <c r="B35" s="387"/>
      <c r="C35" s="389">
        <f>'ECAM Account'!E5/1000</f>
        <v>-8346.9</v>
      </c>
      <c r="D35" s="389">
        <f>'ECAM Account'!F5/1000</f>
        <v>-10482.6</v>
      </c>
      <c r="E35" s="389">
        <f>'ECAM Account'!G5/1000</f>
        <v>-10998.9</v>
      </c>
    </row>
    <row r="36" spans="1:5" x14ac:dyDescent="0.25">
      <c r="A36" s="391" t="s">
        <v>488</v>
      </c>
      <c r="B36" s="394" t="s">
        <v>198</v>
      </c>
      <c r="C36" s="392">
        <f>SUM(C34:C35)</f>
        <v>140539.1</v>
      </c>
      <c r="D36" s="392">
        <f t="shared" ref="D36:E36" si="1">SUM(D34:D35)</f>
        <v>145001.4</v>
      </c>
      <c r="E36" s="392">
        <f t="shared" si="1"/>
        <v>147799.1</v>
      </c>
    </row>
    <row r="37" spans="1:5" x14ac:dyDescent="0.25">
      <c r="A37" s="391" t="s">
        <v>489</v>
      </c>
      <c r="B37" s="394" t="s">
        <v>199</v>
      </c>
      <c r="C37" s="395">
        <f>+'Tables Section 5.1 - 5.2'!F7</f>
        <v>1498.7144699999999</v>
      </c>
      <c r="D37" s="395">
        <f>+'Tables Section 5.1 - 5.2'!G7</f>
        <v>1517.4230729999999</v>
      </c>
      <c r="E37" s="395">
        <f>+'Tables Section 5.1 - 5.2'!H7</f>
        <v>1537.639529</v>
      </c>
    </row>
    <row r="38" spans="1:5" x14ac:dyDescent="0.25">
      <c r="A38" s="391" t="s">
        <v>461</v>
      </c>
      <c r="B38" s="394" t="s">
        <v>472</v>
      </c>
      <c r="C38" s="396">
        <f>ROUND(+C36/(C37*1000),5)</f>
        <v>9.3770000000000006E-2</v>
      </c>
      <c r="D38" s="396">
        <f t="shared" ref="D38:E38" si="2">ROUND(+D36/(D37*1000),5)</f>
        <v>9.5560000000000006E-2</v>
      </c>
      <c r="E38" s="396">
        <f t="shared" si="2"/>
        <v>9.6119999999999997E-2</v>
      </c>
    </row>
    <row r="39" spans="1:5" x14ac:dyDescent="0.25">
      <c r="A39" s="383"/>
      <c r="B39" s="384"/>
      <c r="C39" s="384"/>
    </row>
    <row r="40" spans="1:5" x14ac:dyDescent="0.25">
      <c r="A40" s="383"/>
      <c r="B40" s="384"/>
      <c r="C40" s="384"/>
    </row>
    <row r="41" spans="1:5" x14ac:dyDescent="0.25">
      <c r="A41" s="615" t="s">
        <v>474</v>
      </c>
      <c r="B41" s="616"/>
      <c r="C41" s="616"/>
      <c r="D41" s="616"/>
      <c r="E41" s="617"/>
    </row>
    <row r="42" spans="1:5" x14ac:dyDescent="0.25">
      <c r="A42" s="618" t="s">
        <v>491</v>
      </c>
      <c r="B42" s="619"/>
      <c r="C42" s="619"/>
      <c r="D42" s="619"/>
      <c r="E42" s="620"/>
    </row>
    <row r="43" spans="1:5" x14ac:dyDescent="0.25">
      <c r="A43" s="623" t="s">
        <v>492</v>
      </c>
      <c r="B43" s="624"/>
      <c r="C43" s="624"/>
      <c r="D43" s="624"/>
      <c r="E43" s="625"/>
    </row>
    <row r="44" spans="1:5" x14ac:dyDescent="0.25">
      <c r="A44" s="629"/>
      <c r="B44" s="629"/>
      <c r="C44" s="397">
        <v>2023</v>
      </c>
      <c r="D44" s="397">
        <v>2024</v>
      </c>
      <c r="E44" s="397">
        <v>2025</v>
      </c>
    </row>
    <row r="45" spans="1:5" x14ac:dyDescent="0.25">
      <c r="A45" s="629"/>
      <c r="B45" s="629"/>
      <c r="C45" s="397" t="s">
        <v>315</v>
      </c>
      <c r="D45" s="397" t="s">
        <v>315</v>
      </c>
      <c r="E45" s="397" t="s">
        <v>315</v>
      </c>
    </row>
    <row r="46" spans="1:5" ht="25.5" x14ac:dyDescent="0.25">
      <c r="A46" s="334" t="s">
        <v>493</v>
      </c>
      <c r="B46" s="398" t="s">
        <v>494</v>
      </c>
      <c r="C46" s="337">
        <f>+C38</f>
        <v>9.3770000000000006E-2</v>
      </c>
      <c r="D46" s="337">
        <f t="shared" ref="D46:E46" si="3">+D38</f>
        <v>9.5560000000000006E-2</v>
      </c>
      <c r="E46" s="337">
        <f t="shared" si="3"/>
        <v>9.6119999999999997E-2</v>
      </c>
    </row>
    <row r="47" spans="1:5" x14ac:dyDescent="0.25">
      <c r="A47" s="334" t="s">
        <v>497</v>
      </c>
      <c r="B47" s="398" t="s">
        <v>200</v>
      </c>
      <c r="C47" s="399">
        <v>-3.1700000000000001E-3</v>
      </c>
      <c r="D47" s="399">
        <v>-1.8600000000000001E-3</v>
      </c>
      <c r="E47" s="399">
        <v>0</v>
      </c>
    </row>
    <row r="48" spans="1:5" x14ac:dyDescent="0.25">
      <c r="A48" s="353" t="s">
        <v>493</v>
      </c>
      <c r="B48" s="397" t="s">
        <v>496</v>
      </c>
      <c r="C48" s="400">
        <f>+C46+C47</f>
        <v>9.06E-2</v>
      </c>
      <c r="D48" s="400">
        <f t="shared" ref="D48:E48" si="4">+D46+D47</f>
        <v>9.3700000000000006E-2</v>
      </c>
      <c r="E48" s="400">
        <f t="shared" si="4"/>
        <v>9.6119999999999997E-2</v>
      </c>
    </row>
    <row r="49" spans="1:7" x14ac:dyDescent="0.25">
      <c r="A49" s="383"/>
      <c r="B49" s="384"/>
      <c r="C49" s="384"/>
    </row>
    <row r="50" spans="1:7" x14ac:dyDescent="0.25">
      <c r="A50" s="626" t="s">
        <v>490</v>
      </c>
      <c r="B50" s="627"/>
      <c r="C50" s="627"/>
      <c r="D50" s="627"/>
      <c r="E50" s="628"/>
    </row>
    <row r="51" spans="1:7" ht="15.75" customHeight="1" x14ac:dyDescent="0.25">
      <c r="A51" s="630" t="s">
        <v>499</v>
      </c>
      <c r="B51" s="631"/>
      <c r="C51" s="631"/>
      <c r="D51" s="631"/>
      <c r="E51" s="632"/>
    </row>
    <row r="52" spans="1:7" x14ac:dyDescent="0.25">
      <c r="A52" s="645"/>
      <c r="B52" s="645"/>
      <c r="C52" s="413">
        <v>2023</v>
      </c>
      <c r="D52" s="413">
        <v>2024</v>
      </c>
      <c r="E52" s="414">
        <v>2025</v>
      </c>
    </row>
    <row r="53" spans="1:7" x14ac:dyDescent="0.25">
      <c r="A53" s="415" t="s">
        <v>500</v>
      </c>
      <c r="B53" s="378" t="s">
        <v>198</v>
      </c>
      <c r="C53" s="416">
        <f>+D68</f>
        <v>6791.070831360028</v>
      </c>
      <c r="D53" s="416">
        <f t="shared" ref="D53:E53" si="5">+E68</f>
        <v>4481.8000000000175</v>
      </c>
      <c r="E53" s="416">
        <f t="shared" si="5"/>
        <v>3281.8</v>
      </c>
    </row>
    <row r="54" spans="1:7" x14ac:dyDescent="0.25">
      <c r="A54" s="415" t="s">
        <v>501</v>
      </c>
      <c r="B54" s="378" t="s">
        <v>199</v>
      </c>
      <c r="C54" s="417">
        <f>+C17/1000000</f>
        <v>1396.2777000000001</v>
      </c>
      <c r="D54" s="417">
        <f>(+'ECAM Account'!F28+'ECAM Account'!G25)/1000000</f>
        <v>1416.6757654918538</v>
      </c>
      <c r="E54" s="417">
        <f>(+'ECAM Account'!G28+'ECAM Account'!H25)/1000000</f>
        <v>1436.0873360560413</v>
      </c>
    </row>
    <row r="55" spans="1:7" x14ac:dyDescent="0.25">
      <c r="A55" s="418" t="s">
        <v>502</v>
      </c>
      <c r="B55" s="413" t="s">
        <v>472</v>
      </c>
      <c r="C55" s="419">
        <f>ROUND(+C53/(C54*1000),5)</f>
        <v>4.8599999999999997E-3</v>
      </c>
      <c r="D55" s="419">
        <f t="shared" ref="D55:E55" si="6">ROUND(+D53/(D54*1000),5)</f>
        <v>3.16E-3</v>
      </c>
      <c r="E55" s="419">
        <f t="shared" si="6"/>
        <v>2.2899999999999999E-3</v>
      </c>
    </row>
    <row r="56" spans="1:7" x14ac:dyDescent="0.25">
      <c r="A56" s="383"/>
      <c r="B56" s="384"/>
      <c r="C56" s="384"/>
    </row>
    <row r="58" spans="1:7" x14ac:dyDescent="0.25">
      <c r="A58" s="633" t="s">
        <v>498</v>
      </c>
      <c r="B58" s="634"/>
      <c r="C58" s="634"/>
      <c r="D58" s="634"/>
      <c r="E58" s="634"/>
      <c r="F58" s="634"/>
      <c r="G58" s="635"/>
    </row>
    <row r="59" spans="1:7" x14ac:dyDescent="0.25">
      <c r="A59" s="636" t="s">
        <v>269</v>
      </c>
      <c r="B59" s="637"/>
      <c r="C59" s="637"/>
      <c r="D59" s="637"/>
      <c r="E59" s="637"/>
      <c r="F59" s="637"/>
      <c r="G59" s="638"/>
    </row>
    <row r="60" spans="1:7" x14ac:dyDescent="0.25">
      <c r="A60" s="401"/>
      <c r="B60" s="402"/>
      <c r="C60" s="403">
        <f>+'ECAM Account'!C3</f>
        <v>2021</v>
      </c>
      <c r="D60" s="403">
        <f>+'ECAM Account'!D3</f>
        <v>2022</v>
      </c>
      <c r="E60" s="403">
        <f>+'ECAM Account'!E3</f>
        <v>2023</v>
      </c>
      <c r="F60" s="403">
        <f>+'ECAM Account'!F3</f>
        <v>2024</v>
      </c>
      <c r="G60" s="403">
        <f>+'ECAM Account'!G3</f>
        <v>2025</v>
      </c>
    </row>
    <row r="61" spans="1:7" x14ac:dyDescent="0.25">
      <c r="A61" s="404" t="str">
        <f>+'ECAM Account'!A4</f>
        <v>Total Energy Supply Costs by Source ($)</v>
      </c>
      <c r="B61" s="405" t="str">
        <f>+'ECAM Account'!B4</f>
        <v>A</v>
      </c>
      <c r="C61" s="406">
        <f>+'ECAM Account'!C4/1000</f>
        <v>138545.15293000001</v>
      </c>
      <c r="D61" s="406">
        <f>+'ECAM Account'!D4/1000+2</f>
        <v>146030.29999999999</v>
      </c>
      <c r="E61" s="406">
        <f>+'ECAM Account'!E4/1000</f>
        <v>148885.70000000001</v>
      </c>
      <c r="F61" s="406">
        <f>+'ECAM Account'!F4/1000</f>
        <v>155484.1</v>
      </c>
      <c r="G61" s="406">
        <f>+'ECAM Account'!G4/1000</f>
        <v>158798.1</v>
      </c>
    </row>
    <row r="62" spans="1:7" x14ac:dyDescent="0.25">
      <c r="A62" s="404" t="str">
        <f>+'ECAM Account'!A5</f>
        <v>Approved Adjustments to ECAM*</v>
      </c>
      <c r="B62" s="405" t="str">
        <f>+'ECAM Account'!B5</f>
        <v>B</v>
      </c>
      <c r="C62" s="406">
        <f>+'ECAM Account'!C5/1000+1</f>
        <v>-775.77499999999998</v>
      </c>
      <c r="D62" s="406">
        <f>+'ECAM Account'!D5/1000-2</f>
        <v>-1136.3</v>
      </c>
      <c r="E62" s="406">
        <f>+'ECAM Account'!E5/1000</f>
        <v>-8346.9</v>
      </c>
      <c r="F62" s="406">
        <f>+'ECAM Account'!F5/1000</f>
        <v>-10482.6</v>
      </c>
      <c r="G62" s="406">
        <f>+'ECAM Account'!G5/1000</f>
        <v>-10998.9</v>
      </c>
    </row>
    <row r="63" spans="1:7" x14ac:dyDescent="0.25">
      <c r="A63" s="404" t="str">
        <f>+'ECAM Account'!A6</f>
        <v>Energy Costs Attributable to ECAM</v>
      </c>
      <c r="B63" s="405" t="str">
        <f>+'ECAM Account'!B6</f>
        <v>C = A + B</v>
      </c>
      <c r="C63" s="406">
        <f>+C61+C62</f>
        <v>137769.37793000002</v>
      </c>
      <c r="D63" s="406">
        <f>+D61+D62</f>
        <v>144894</v>
      </c>
      <c r="E63" s="406">
        <f>+E61+E62</f>
        <v>140538.80000000002</v>
      </c>
      <c r="F63" s="406">
        <f>+F61+F62-1</f>
        <v>145000.5</v>
      </c>
      <c r="G63" s="406">
        <f>+G61+G62</f>
        <v>147799.20000000001</v>
      </c>
    </row>
    <row r="64" spans="1:7" x14ac:dyDescent="0.25">
      <c r="A64" s="407" t="str">
        <f>+'ECAM Account'!A7</f>
        <v>Base ECAM Energy Costs Included in Annual Revenue Requirement</v>
      </c>
      <c r="B64" s="405" t="str">
        <f>+'ECAM Account'!B7</f>
        <v>D</v>
      </c>
      <c r="C64" s="406">
        <f>+'ECAM Account'!C7/1000</f>
        <v>132337.80709863998</v>
      </c>
      <c r="D64" s="406">
        <f>+'ECAM Account'!D7/1000</f>
        <v>139048.1</v>
      </c>
      <c r="E64" s="406">
        <f>+'ECAM Account'!E7/1000</f>
        <v>136319.5</v>
      </c>
      <c r="F64" s="406">
        <f>+'ECAM Account'!F7/1000</f>
        <v>141255</v>
      </c>
      <c r="G64" s="406">
        <f>+'ECAM Account'!G7/1000</f>
        <v>147070.29999999999</v>
      </c>
    </row>
    <row r="65" spans="1:7" x14ac:dyDescent="0.25">
      <c r="A65" s="404" t="str">
        <f>+'ECAM Account'!A8</f>
        <v>Annual Deferral to (from) ECAM</v>
      </c>
      <c r="B65" s="405" t="str">
        <f>+'ECAM Account'!B8</f>
        <v>E = C - D</v>
      </c>
      <c r="C65" s="406">
        <f>+C63-C64-1</f>
        <v>5430.5708313600335</v>
      </c>
      <c r="D65" s="406">
        <f>+D63-D64</f>
        <v>5845.8999999999942</v>
      </c>
      <c r="E65" s="406">
        <f>+E63-E64</f>
        <v>4219.3000000000175</v>
      </c>
      <c r="F65" s="406">
        <f>+F63-F64</f>
        <v>3745.5</v>
      </c>
      <c r="G65" s="406">
        <f>+G63-G64</f>
        <v>728.90000000002328</v>
      </c>
    </row>
    <row r="66" spans="1:7" x14ac:dyDescent="0.25">
      <c r="A66" s="404" t="str">
        <f>+'ECAM Account'!A9</f>
        <v>Annual ECAM Collected thru Rate Adjustment</v>
      </c>
      <c r="B66" s="405" t="str">
        <f>+'ECAM Account'!B9</f>
        <v>F</v>
      </c>
      <c r="C66" s="406">
        <f>-'ECAM Account'!C9/1000</f>
        <v>0</v>
      </c>
      <c r="D66" s="406">
        <f>+'ECAM Account'!D9/1000+1</f>
        <v>4486.3999999999996</v>
      </c>
      <c r="E66" s="406">
        <f>+'ECAM Account'!E9/1000-1</f>
        <v>6527.6</v>
      </c>
      <c r="F66" s="406">
        <f>+'ECAM Account'!F9/1000-1</f>
        <v>4945.5</v>
      </c>
      <c r="G66" s="406">
        <f>+'ECAM Account'!G9/1000</f>
        <v>3528.7</v>
      </c>
    </row>
    <row r="67" spans="1:7" x14ac:dyDescent="0.25">
      <c r="A67" s="404" t="str">
        <f>+'ECAM Account'!A10</f>
        <v>ECAM Account Opening Balance January 1</v>
      </c>
      <c r="B67" s="405" t="str">
        <f>+'ECAM Account'!B10</f>
        <v>G</v>
      </c>
      <c r="C67" s="406">
        <f>+'ECAM Account'!C10/1000</f>
        <v>0</v>
      </c>
      <c r="D67" s="406">
        <f>+C68</f>
        <v>5430.5708313600335</v>
      </c>
      <c r="E67" s="406">
        <f>+'ECAM Account'!E10/1000</f>
        <v>6791.1</v>
      </c>
      <c r="F67" s="406">
        <f>+'ECAM Account'!F10/1000</f>
        <v>4481.8</v>
      </c>
      <c r="G67" s="406">
        <f>+'ECAM Account'!G10/1000</f>
        <v>3281.8</v>
      </c>
    </row>
    <row r="68" spans="1:7" x14ac:dyDescent="0.25">
      <c r="A68" s="408" t="str">
        <f>+'ECAM Account'!A11</f>
        <v>ECAM Closing Balance December 31</v>
      </c>
      <c r="B68" s="409" t="str">
        <f>+'ECAM Account'!B11</f>
        <v>J = E - F + G</v>
      </c>
      <c r="C68" s="410">
        <f>+C65-C66+C67</f>
        <v>5430.5708313600335</v>
      </c>
      <c r="D68" s="410">
        <f>+D65-D66+D67+1</f>
        <v>6791.070831360028</v>
      </c>
      <c r="E68" s="410">
        <f>+E65-E66+E67-1</f>
        <v>4481.8000000000175</v>
      </c>
      <c r="F68" s="410">
        <f>+F65-F66+F67</f>
        <v>3281.8</v>
      </c>
      <c r="G68" s="410">
        <f>+G65-G66+G67</f>
        <v>482.00000000002365</v>
      </c>
    </row>
    <row r="69" spans="1:7" x14ac:dyDescent="0.25">
      <c r="A69" s="411" t="str">
        <f>+'ECAM Account'!A12</f>
        <v>Total Energy Collected thru Revenue Requirement &amp; ECAM Collection</v>
      </c>
      <c r="B69" s="409" t="str">
        <f>+'ECAM Account'!B12</f>
        <v>K = F + D - B</v>
      </c>
      <c r="C69" s="410">
        <f>+C66+C64-C62</f>
        <v>133113.58209863998</v>
      </c>
      <c r="D69" s="410">
        <f>+D66+D64-D62-1</f>
        <v>144669.79999999999</v>
      </c>
      <c r="E69" s="410">
        <f>+E66+E64-E62+1</f>
        <v>151195</v>
      </c>
      <c r="F69" s="410">
        <f>+F66+F64-F62+1</f>
        <v>156684.1</v>
      </c>
      <c r="G69" s="410">
        <f>+G66+G64-G62</f>
        <v>161597.9</v>
      </c>
    </row>
    <row r="70" spans="1:7" x14ac:dyDescent="0.25">
      <c r="A70" s="408" t="str">
        <f>+'ECAM Account'!A13</f>
        <v>Net Energy Costs (Deferred) Collected</v>
      </c>
      <c r="B70" s="409" t="str">
        <f>+'ECAM Account'!B13</f>
        <v>L = K - A</v>
      </c>
      <c r="C70" s="410">
        <f>+C69-C61+1</f>
        <v>-5430.5708313600335</v>
      </c>
      <c r="D70" s="410">
        <f>+D69-D61+1</f>
        <v>-1359.5</v>
      </c>
      <c r="E70" s="410">
        <f>+E69-E61</f>
        <v>2309.2999999999884</v>
      </c>
      <c r="F70" s="410">
        <f>+F69-F61</f>
        <v>1200</v>
      </c>
      <c r="G70" s="410">
        <f>+G69-G61</f>
        <v>2799.7999999999884</v>
      </c>
    </row>
    <row r="73" spans="1:7" x14ac:dyDescent="0.25">
      <c r="A73" s="600" t="s">
        <v>628</v>
      </c>
      <c r="B73" s="601"/>
      <c r="C73" s="602"/>
    </row>
    <row r="74" spans="1:7" x14ac:dyDescent="0.25">
      <c r="A74" s="603" t="s">
        <v>536</v>
      </c>
      <c r="B74" s="604"/>
      <c r="C74" s="605"/>
    </row>
    <row r="75" spans="1:7" x14ac:dyDescent="0.25">
      <c r="A75" s="139" t="s">
        <v>532</v>
      </c>
      <c r="B75" s="140" t="s">
        <v>198</v>
      </c>
      <c r="C75" s="420">
        <f>+'Other Reg Def'!C4/1000</f>
        <v>1435.75233</v>
      </c>
    </row>
    <row r="76" spans="1:7" x14ac:dyDescent="0.25">
      <c r="A76" s="147" t="s">
        <v>531</v>
      </c>
      <c r="B76" s="148" t="s">
        <v>199</v>
      </c>
      <c r="C76" s="213">
        <f>ROUND(+'Other Reg Def'!C5/1000,0)+0.56</f>
        <v>-1080.44</v>
      </c>
    </row>
    <row r="77" spans="1:7" x14ac:dyDescent="0.25">
      <c r="A77" s="147" t="s">
        <v>530</v>
      </c>
      <c r="B77" s="148" t="s">
        <v>512</v>
      </c>
      <c r="C77" s="213">
        <f>+'Other Reg Def'!C6/1000</f>
        <v>21.37978</v>
      </c>
    </row>
    <row r="78" spans="1:7" x14ac:dyDescent="0.25">
      <c r="A78" s="147" t="s">
        <v>529</v>
      </c>
      <c r="B78" s="148" t="s">
        <v>528</v>
      </c>
      <c r="C78" s="239">
        <f>SUM(C75:C77)</f>
        <v>376.69210999999996</v>
      </c>
    </row>
    <row r="79" spans="1:7" x14ac:dyDescent="0.25">
      <c r="A79" s="147" t="s">
        <v>527</v>
      </c>
      <c r="B79" s="148" t="s">
        <v>526</v>
      </c>
      <c r="C79" s="213">
        <f>+'Other Reg Def'!C8/1000</f>
        <v>238.291</v>
      </c>
    </row>
    <row r="80" spans="1:7" x14ac:dyDescent="0.25">
      <c r="A80" s="214" t="s">
        <v>525</v>
      </c>
      <c r="B80" s="215" t="s">
        <v>524</v>
      </c>
      <c r="C80" s="421">
        <f>SUM(C78:C79)</f>
        <v>614.9831099999999</v>
      </c>
    </row>
    <row r="81" spans="1:3" x14ac:dyDescent="0.25">
      <c r="A81"/>
      <c r="B81"/>
      <c r="C81"/>
    </row>
    <row r="82" spans="1:3" x14ac:dyDescent="0.25">
      <c r="A82"/>
      <c r="B82"/>
      <c r="C82" s="8"/>
    </row>
    <row r="83" spans="1:3" x14ac:dyDescent="0.25">
      <c r="A83" s="600" t="s">
        <v>534</v>
      </c>
      <c r="B83" s="601"/>
      <c r="C83" s="602"/>
    </row>
    <row r="84" spans="1:3" x14ac:dyDescent="0.25">
      <c r="A84" s="603" t="s">
        <v>537</v>
      </c>
      <c r="B84" s="604"/>
      <c r="C84" s="605"/>
    </row>
    <row r="85" spans="1:3" x14ac:dyDescent="0.25">
      <c r="A85" s="139" t="s">
        <v>519</v>
      </c>
      <c r="B85" s="140" t="s">
        <v>198</v>
      </c>
      <c r="C85" s="420">
        <f>+C80</f>
        <v>614.9831099999999</v>
      </c>
    </row>
    <row r="86" spans="1:3" x14ac:dyDescent="0.25">
      <c r="A86" s="147" t="s">
        <v>518</v>
      </c>
      <c r="B86" s="148" t="s">
        <v>199</v>
      </c>
      <c r="C86" s="213">
        <f>+'Other Reg Def'!C19/1000</f>
        <v>-977.80176225793059</v>
      </c>
    </row>
    <row r="87" spans="1:3" x14ac:dyDescent="0.25">
      <c r="A87" s="147" t="s">
        <v>513</v>
      </c>
      <c r="B87" s="148" t="s">
        <v>512</v>
      </c>
      <c r="C87" s="213">
        <f>+'Other Reg Def'!C20/1000</f>
        <v>5.5998411684457059</v>
      </c>
    </row>
    <row r="88" spans="1:3" x14ac:dyDescent="0.25">
      <c r="A88" s="147" t="s">
        <v>511</v>
      </c>
      <c r="B88" s="148" t="s">
        <v>200</v>
      </c>
      <c r="C88" s="213">
        <f>+'Other Reg Def'!C21/1000</f>
        <v>500</v>
      </c>
    </row>
    <row r="89" spans="1:3" x14ac:dyDescent="0.25">
      <c r="A89" s="147" t="s">
        <v>510</v>
      </c>
      <c r="B89" s="148" t="s">
        <v>509</v>
      </c>
      <c r="C89" s="239">
        <f>SUM(C85:C88)</f>
        <v>142.78118891051503</v>
      </c>
    </row>
    <row r="90" spans="1:3" x14ac:dyDescent="0.25">
      <c r="A90" s="147" t="s">
        <v>508</v>
      </c>
      <c r="B90" s="148" t="s">
        <v>201</v>
      </c>
      <c r="C90" s="213">
        <f>+'Other Reg Def'!C23/1000</f>
        <v>-196.05883388108677</v>
      </c>
    </row>
    <row r="91" spans="1:3" x14ac:dyDescent="0.25">
      <c r="A91" s="147" t="s">
        <v>507</v>
      </c>
      <c r="B91" s="148" t="s">
        <v>264</v>
      </c>
      <c r="C91" s="213">
        <f>+'Other Reg Def'!C24/1000</f>
        <v>0.44830790049413971</v>
      </c>
    </row>
    <row r="92" spans="1:3" x14ac:dyDescent="0.25">
      <c r="A92" s="147" t="s">
        <v>506</v>
      </c>
      <c r="B92" s="148" t="s">
        <v>505</v>
      </c>
      <c r="C92" s="239">
        <f>SUM(C89:C91)</f>
        <v>-52.829337070077599</v>
      </c>
    </row>
    <row r="95" spans="1:3" x14ac:dyDescent="0.25">
      <c r="A95" s="522" t="s">
        <v>629</v>
      </c>
      <c r="B95" s="523"/>
      <c r="C95" s="524"/>
    </row>
    <row r="96" spans="1:3" x14ac:dyDescent="0.25">
      <c r="A96" s="525" t="s">
        <v>545</v>
      </c>
      <c r="B96" s="526"/>
      <c r="C96" s="527"/>
    </row>
    <row r="97" spans="1:5" x14ac:dyDescent="0.25">
      <c r="A97" s="528" t="s">
        <v>546</v>
      </c>
      <c r="B97" s="529"/>
      <c r="C97" s="530"/>
    </row>
    <row r="98" spans="1:5" x14ac:dyDescent="0.25">
      <c r="A98" s="423" t="s">
        <v>547</v>
      </c>
      <c r="B98" s="366" t="s">
        <v>198</v>
      </c>
      <c r="C98" s="367">
        <f>+'Other Reg Def'!B45</f>
        <v>2025696.6629299226</v>
      </c>
    </row>
    <row r="99" spans="1:5" x14ac:dyDescent="0.25">
      <c r="A99" s="423" t="s">
        <v>470</v>
      </c>
      <c r="B99" s="366" t="s">
        <v>199</v>
      </c>
      <c r="C99" s="367">
        <f>+C17</f>
        <v>1396277700</v>
      </c>
    </row>
    <row r="100" spans="1:5" x14ac:dyDescent="0.25">
      <c r="A100" s="368" t="s">
        <v>548</v>
      </c>
      <c r="B100" s="412" t="s">
        <v>472</v>
      </c>
      <c r="C100" s="369">
        <f>ROUND(C98/C99,5)</f>
        <v>1.4499999999999999E-3</v>
      </c>
    </row>
    <row r="103" spans="1:5" x14ac:dyDescent="0.25">
      <c r="A103" s="639" t="s">
        <v>630</v>
      </c>
      <c r="B103" s="640"/>
      <c r="C103" s="640"/>
      <c r="D103" s="640"/>
      <c r="E103" s="641"/>
    </row>
    <row r="104" spans="1:5" x14ac:dyDescent="0.25">
      <c r="A104" s="642" t="s">
        <v>559</v>
      </c>
      <c r="B104" s="643"/>
      <c r="C104" s="643"/>
      <c r="D104" s="643"/>
      <c r="E104" s="644"/>
    </row>
    <row r="105" spans="1:5" ht="26.25" x14ac:dyDescent="0.25">
      <c r="A105" s="462" t="s">
        <v>558</v>
      </c>
      <c r="B105" s="462" t="s">
        <v>516</v>
      </c>
      <c r="C105" s="462" t="s">
        <v>549</v>
      </c>
      <c r="D105" s="463" t="s">
        <v>550</v>
      </c>
      <c r="E105" s="463" t="s">
        <v>551</v>
      </c>
    </row>
    <row r="106" spans="1:5" x14ac:dyDescent="0.25">
      <c r="A106" s="462">
        <v>2021</v>
      </c>
      <c r="B106" s="464">
        <f>SUM('Other Reg Def'!B56:B67)</f>
        <v>1325999756</v>
      </c>
      <c r="C106" s="465">
        <f>(-B106*0.0036+'Other Reg Def'!D83)/1000</f>
        <v>-4894.3107516</v>
      </c>
      <c r="D106" s="466">
        <f>(431874.21*12)/1000</f>
        <v>5182.4905200000003</v>
      </c>
      <c r="E106" s="465">
        <f>SUM(C106:D106)</f>
        <v>288.17976840000028</v>
      </c>
    </row>
    <row r="107" spans="1:5" x14ac:dyDescent="0.25">
      <c r="A107" s="462">
        <v>2022</v>
      </c>
      <c r="B107" s="464">
        <f>SUM('Other Reg Def'!B68:B79)</f>
        <v>1396859660.3684723</v>
      </c>
      <c r="C107" s="465">
        <f>(-B107*0.0036)/1000+0.5</f>
        <v>-5028.1947773265001</v>
      </c>
      <c r="D107" s="466">
        <f>(431874.21*12)/1000</f>
        <v>5182.4905200000003</v>
      </c>
      <c r="E107" s="465">
        <f>SUM(C107:D107)</f>
        <v>154.29574267350017</v>
      </c>
    </row>
    <row r="108" spans="1:5" x14ac:dyDescent="0.25">
      <c r="A108" s="462">
        <v>2023</v>
      </c>
      <c r="B108" s="464">
        <f>SUM('Other Reg Def'!B80:B82)</f>
        <v>343222427.20950311</v>
      </c>
      <c r="C108" s="465">
        <f>SUM('Other Reg Def'!C80:C82)/1000</f>
        <v>-1235.6007379542111</v>
      </c>
      <c r="D108" s="466">
        <f>(431874.21*2.5)/1000</f>
        <v>1079.6855250000001</v>
      </c>
      <c r="E108" s="465">
        <f>SUM(C108:D108)</f>
        <v>-155.91521295421103</v>
      </c>
    </row>
    <row r="109" spans="1:5" x14ac:dyDescent="0.25">
      <c r="A109" s="467" t="s">
        <v>356</v>
      </c>
      <c r="B109" s="468">
        <f>SUM(B106:B108)</f>
        <v>3066081843.5779753</v>
      </c>
      <c r="C109" s="469">
        <f>SUM(C106:C108)</f>
        <v>-11158.106266880712</v>
      </c>
      <c r="D109" s="469">
        <f>SUM(D106:D108)-1</f>
        <v>11443.666565000001</v>
      </c>
      <c r="E109" s="469">
        <f>SUM(C109:D109)</f>
        <v>285.56029811928966</v>
      </c>
    </row>
    <row r="111" spans="1:5" x14ac:dyDescent="0.25">
      <c r="A111" s="384"/>
      <c r="B111" s="384"/>
      <c r="C111" s="384"/>
    </row>
    <row r="112" spans="1:5" x14ac:dyDescent="0.25">
      <c r="A112" s="522" t="s">
        <v>631</v>
      </c>
      <c r="B112" s="523"/>
      <c r="C112" s="524"/>
    </row>
    <row r="113" spans="1:5" x14ac:dyDescent="0.25">
      <c r="A113" s="525" t="s">
        <v>561</v>
      </c>
      <c r="B113" s="526"/>
      <c r="C113" s="527"/>
    </row>
    <row r="114" spans="1:5" x14ac:dyDescent="0.25">
      <c r="A114" s="528" t="s">
        <v>562</v>
      </c>
      <c r="B114" s="529"/>
      <c r="C114" s="530"/>
    </row>
    <row r="115" spans="1:5" x14ac:dyDescent="0.25">
      <c r="A115" s="423" t="s">
        <v>470</v>
      </c>
      <c r="B115" s="366" t="s">
        <v>198</v>
      </c>
      <c r="C115" s="367">
        <v>1395847900</v>
      </c>
    </row>
    <row r="116" spans="1:5" x14ac:dyDescent="0.25">
      <c r="A116" s="423" t="s">
        <v>563</v>
      </c>
      <c r="B116" s="366" t="s">
        <v>199</v>
      </c>
      <c r="C116" s="459">
        <v>1.2999999999999999E-3</v>
      </c>
    </row>
    <row r="117" spans="1:5" x14ac:dyDescent="0.25">
      <c r="A117" s="368" t="s">
        <v>564</v>
      </c>
      <c r="B117" s="412" t="s">
        <v>565</v>
      </c>
      <c r="C117" s="460">
        <f>+C115*C116/1000</f>
        <v>1814.6022700000001</v>
      </c>
    </row>
    <row r="118" spans="1:5" x14ac:dyDescent="0.25">
      <c r="A118" s="423" t="s">
        <v>567</v>
      </c>
      <c r="B118" s="366" t="s">
        <v>200</v>
      </c>
      <c r="C118" s="461">
        <v>-869</v>
      </c>
    </row>
    <row r="119" spans="1:5" x14ac:dyDescent="0.25">
      <c r="A119" s="368" t="s">
        <v>566</v>
      </c>
      <c r="B119" s="412" t="s">
        <v>274</v>
      </c>
      <c r="C119" s="369">
        <v>946</v>
      </c>
    </row>
    <row r="122" spans="1:5" x14ac:dyDescent="0.25">
      <c r="A122" s="522" t="s">
        <v>560</v>
      </c>
      <c r="B122" s="523"/>
      <c r="C122" s="523"/>
      <c r="D122" s="524"/>
    </row>
    <row r="123" spans="1:5" x14ac:dyDescent="0.25">
      <c r="A123" s="525" t="s">
        <v>568</v>
      </c>
      <c r="B123" s="526"/>
      <c r="C123" s="526"/>
      <c r="D123" s="527"/>
    </row>
    <row r="124" spans="1:5" x14ac:dyDescent="0.25">
      <c r="A124" s="528" t="s">
        <v>226</v>
      </c>
      <c r="B124" s="529"/>
      <c r="C124" s="529"/>
      <c r="D124" s="530"/>
    </row>
    <row r="125" spans="1:5" x14ac:dyDescent="0.25">
      <c r="A125" s="471"/>
      <c r="B125" s="472" t="s">
        <v>569</v>
      </c>
      <c r="C125" s="472" t="s">
        <v>570</v>
      </c>
      <c r="D125" s="472" t="s">
        <v>571</v>
      </c>
      <c r="E125" s="470"/>
    </row>
    <row r="126" spans="1:5" x14ac:dyDescent="0.25">
      <c r="A126" s="423" t="s">
        <v>572</v>
      </c>
      <c r="B126" s="459" t="s">
        <v>495</v>
      </c>
      <c r="C126" s="459">
        <f>868-(C119-868)</f>
        <v>790</v>
      </c>
      <c r="D126" s="367">
        <v>1732</v>
      </c>
      <c r="E126" s="470"/>
    </row>
    <row r="127" spans="1:5" x14ac:dyDescent="0.25">
      <c r="A127" s="423" t="s">
        <v>573</v>
      </c>
      <c r="B127" s="367">
        <f>+C54*1000000</f>
        <v>1396277700</v>
      </c>
      <c r="C127" s="367">
        <f>ROUND(+D54*1000000,-2)</f>
        <v>1416675800</v>
      </c>
      <c r="D127" s="367">
        <f>ROUND(+E54*1000000,-2)</f>
        <v>1436087300</v>
      </c>
      <c r="E127" s="470"/>
    </row>
    <row r="128" spans="1:5" x14ac:dyDescent="0.25">
      <c r="A128" s="423" t="s">
        <v>574</v>
      </c>
      <c r="B128" s="459" t="s">
        <v>495</v>
      </c>
      <c r="C128" s="459">
        <f>ROUND(+C126*1000/C127,5)</f>
        <v>5.5999999999999995E-4</v>
      </c>
      <c r="D128" s="459">
        <f>ROUND(+D126*1000/D127,5)</f>
        <v>1.2099999999999999E-3</v>
      </c>
      <c r="E128" s="470"/>
    </row>
  </sheetData>
  <mergeCells count="36">
    <mergeCell ref="A122:D122"/>
    <mergeCell ref="A123:D123"/>
    <mergeCell ref="A124:D124"/>
    <mergeCell ref="A51:E51"/>
    <mergeCell ref="A58:G58"/>
    <mergeCell ref="A59:G59"/>
    <mergeCell ref="A103:E103"/>
    <mergeCell ref="A104:E104"/>
    <mergeCell ref="A114:C114"/>
    <mergeCell ref="A84:C84"/>
    <mergeCell ref="A95:C95"/>
    <mergeCell ref="A96:C96"/>
    <mergeCell ref="A97:C97"/>
    <mergeCell ref="A112:C112"/>
    <mergeCell ref="A113:C113"/>
    <mergeCell ref="A52:B52"/>
    <mergeCell ref="A73:C73"/>
    <mergeCell ref="A74:C74"/>
    <mergeCell ref="A83:C83"/>
    <mergeCell ref="A21:E21"/>
    <mergeCell ref="A22:E22"/>
    <mergeCell ref="A23:E23"/>
    <mergeCell ref="A41:E41"/>
    <mergeCell ref="A42:E42"/>
    <mergeCell ref="B24:B25"/>
    <mergeCell ref="A24:A25"/>
    <mergeCell ref="A43:E43"/>
    <mergeCell ref="A50:E50"/>
    <mergeCell ref="A44:B45"/>
    <mergeCell ref="A15:C15"/>
    <mergeCell ref="A19:C19"/>
    <mergeCell ref="A2:C2"/>
    <mergeCell ref="A3:C3"/>
    <mergeCell ref="A4:C4"/>
    <mergeCell ref="A13:C13"/>
    <mergeCell ref="A14:C14"/>
  </mergeCells>
  <hyperlinks>
    <hyperlink ref="A5" location="_ftn1" display="_ftn1" xr:uid="{00000000-0004-0000-0400-000000000000}"/>
    <hyperlink ref="A8" location="_ftn2" display="_ftn2" xr:uid="{00000000-0004-0000-0400-000001000000}"/>
    <hyperlink ref="A16" location="_ftn1" display="_ftn1" xr:uid="{00000000-0004-0000-0400-000002000000}"/>
    <hyperlink ref="A19" location="_ftnref1" display="_ftnref1" xr:uid="{00000000-0004-0000-0400-000003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10"/>
  <sheetViews>
    <sheetView topLeftCell="A97" workbookViewId="0">
      <selection activeCell="C73" sqref="C73"/>
    </sheetView>
  </sheetViews>
  <sheetFormatPr defaultRowHeight="15" x14ac:dyDescent="0.25"/>
  <cols>
    <col min="1" max="1" width="42.140625" customWidth="1"/>
    <col min="2" max="5" width="13.28515625" customWidth="1"/>
  </cols>
  <sheetData>
    <row r="2" spans="1:5" x14ac:dyDescent="0.25">
      <c r="A2" s="656" t="s">
        <v>386</v>
      </c>
      <c r="B2" s="657"/>
      <c r="C2" s="657"/>
      <c r="D2" s="657"/>
      <c r="E2" s="658"/>
    </row>
    <row r="3" spans="1:5" x14ac:dyDescent="0.25">
      <c r="A3" s="656" t="s">
        <v>387</v>
      </c>
      <c r="B3" s="657"/>
      <c r="C3" s="657"/>
      <c r="D3" s="657"/>
      <c r="E3" s="658"/>
    </row>
    <row r="4" spans="1:5" x14ac:dyDescent="0.25">
      <c r="A4" s="659"/>
      <c r="B4" s="660"/>
      <c r="C4" s="351">
        <f>+'Tables Section 4'!G6</f>
        <v>2023</v>
      </c>
      <c r="D4" s="351">
        <f>+'Tables Section 4'!H6</f>
        <v>2024</v>
      </c>
      <c r="E4" s="351">
        <f>+'Tables Section 4'!I6</f>
        <v>2025</v>
      </c>
    </row>
    <row r="5" spans="1:5" x14ac:dyDescent="0.25">
      <c r="A5" s="661" t="s">
        <v>103</v>
      </c>
      <c r="B5" s="662"/>
      <c r="C5" s="352">
        <f>+C35</f>
        <v>471022.5</v>
      </c>
      <c r="D5" s="352">
        <f t="shared" ref="D5:E5" si="0">+D35</f>
        <v>492256</v>
      </c>
      <c r="E5" s="352">
        <f t="shared" si="0"/>
        <v>519376</v>
      </c>
    </row>
    <row r="6" spans="1:5" x14ac:dyDescent="0.25">
      <c r="A6" s="661" t="s">
        <v>213</v>
      </c>
      <c r="B6" s="662"/>
      <c r="C6" s="352">
        <f>+C74</f>
        <v>249255.8</v>
      </c>
      <c r="D6" s="352">
        <f t="shared" ref="D6:E6" si="1">+D74</f>
        <v>261901.5</v>
      </c>
      <c r="E6" s="352">
        <f t="shared" si="1"/>
        <v>273868.5</v>
      </c>
    </row>
    <row r="7" spans="1:5" x14ac:dyDescent="0.25">
      <c r="A7" s="661" t="s">
        <v>388</v>
      </c>
      <c r="B7" s="662"/>
      <c r="C7" s="473">
        <f>+C110</f>
        <v>6.8860829365900808E-2</v>
      </c>
      <c r="D7" s="473">
        <f t="shared" ref="D7:E7" si="2">+D110</f>
        <v>6.9279196190600009E-2</v>
      </c>
      <c r="E7" s="473">
        <f t="shared" si="2"/>
        <v>6.8597509318874997E-2</v>
      </c>
    </row>
    <row r="9" spans="1:5" x14ac:dyDescent="0.25">
      <c r="A9" s="615" t="s">
        <v>383</v>
      </c>
      <c r="B9" s="616"/>
      <c r="C9" s="616"/>
      <c r="D9" s="616"/>
      <c r="E9" s="617"/>
    </row>
    <row r="10" spans="1:5" ht="15.75" customHeight="1" x14ac:dyDescent="0.25">
      <c r="A10" s="591" t="s">
        <v>391</v>
      </c>
      <c r="B10" s="592"/>
      <c r="C10" s="592"/>
      <c r="D10" s="592"/>
      <c r="E10" s="593"/>
    </row>
    <row r="11" spans="1:5" x14ac:dyDescent="0.25">
      <c r="A11" s="650"/>
      <c r="B11" s="332">
        <v>2022</v>
      </c>
      <c r="C11" s="332">
        <v>2023</v>
      </c>
      <c r="D11" s="332">
        <v>2024</v>
      </c>
      <c r="E11" s="332">
        <v>2025</v>
      </c>
    </row>
    <row r="12" spans="1:5" x14ac:dyDescent="0.25">
      <c r="A12" s="651"/>
      <c r="B12" s="333" t="s">
        <v>315</v>
      </c>
      <c r="C12" s="333" t="s">
        <v>315</v>
      </c>
      <c r="D12" s="333" t="s">
        <v>315</v>
      </c>
      <c r="E12" s="333" t="s">
        <v>315</v>
      </c>
    </row>
    <row r="13" spans="1:5" x14ac:dyDescent="0.25">
      <c r="A13" s="344" t="s">
        <v>89</v>
      </c>
      <c r="B13" s="341">
        <f>ROUND(+'Rate Base'!E10/1000,0)</f>
        <v>485612</v>
      </c>
      <c r="C13" s="341">
        <f>ROUND(+'Rate Base'!F10/1000,0)</f>
        <v>518341</v>
      </c>
      <c r="D13" s="341">
        <f>ROUND(+'Rate Base'!G10/1000,0)</f>
        <v>556280</v>
      </c>
      <c r="E13" s="341">
        <f>ROUND(+'Rate Base'!H10/1000,0)</f>
        <v>608664</v>
      </c>
    </row>
    <row r="14" spans="1:5" x14ac:dyDescent="0.25">
      <c r="A14" s="334" t="s">
        <v>392</v>
      </c>
      <c r="B14" s="337"/>
      <c r="C14" s="337"/>
      <c r="D14" s="337"/>
      <c r="E14" s="337"/>
    </row>
    <row r="15" spans="1:5" x14ac:dyDescent="0.25">
      <c r="A15" s="338" t="s">
        <v>353</v>
      </c>
      <c r="B15" s="335">
        <f>ROUND(+'Rate Base'!E11/1000,0)</f>
        <v>10672</v>
      </c>
      <c r="C15" s="335">
        <f>ROUND(+'Rate Base'!F11/1000,0)</f>
        <v>8538</v>
      </c>
      <c r="D15" s="335">
        <f>ROUND(+'Rate Base'!G11/1000,0)</f>
        <v>6403</v>
      </c>
      <c r="E15" s="335">
        <f>ROUND(+'Rate Base'!H11/1000,0)</f>
        <v>4269</v>
      </c>
    </row>
    <row r="16" spans="1:5" x14ac:dyDescent="0.25">
      <c r="A16" s="338" t="s">
        <v>393</v>
      </c>
      <c r="B16" s="335">
        <f>ROUND(+'Rate Base'!E12/1000,0)</f>
        <v>6791</v>
      </c>
      <c r="C16" s="335">
        <f>ROUND(+'Rate Base'!F12/1000,0)</f>
        <v>4482</v>
      </c>
      <c r="D16" s="335">
        <f>ROUND(+'Rate Base'!G12/1000,0)</f>
        <v>3282</v>
      </c>
      <c r="E16" s="335">
        <f>ROUND(+'Rate Base'!H12/1000,0)</f>
        <v>482</v>
      </c>
    </row>
    <row r="17" spans="1:5" x14ac:dyDescent="0.25">
      <c r="A17" s="338" t="s">
        <v>394</v>
      </c>
      <c r="B17" s="335">
        <f>ROUND(+'Rate Base'!E13/1000,0)</f>
        <v>4150</v>
      </c>
      <c r="C17" s="335">
        <f>ROUND(+'Rate Base'!F13/1000,0)</f>
        <v>4300</v>
      </c>
      <c r="D17" s="335">
        <f>ROUND(+'Rate Base'!G13/1000,0)</f>
        <v>4450</v>
      </c>
      <c r="E17" s="335">
        <f>ROUND(+'Rate Base'!H13/1000,0)</f>
        <v>4600</v>
      </c>
    </row>
    <row r="18" spans="1:5" x14ac:dyDescent="0.25">
      <c r="A18" s="339" t="s">
        <v>395</v>
      </c>
      <c r="B18" s="335">
        <f>ROUND(+'Rate Base'!E14/1000,0)</f>
        <v>1759</v>
      </c>
      <c r="C18" s="335">
        <f>ROUND(+'Rate Base'!F14/1000,0)</f>
        <v>1622</v>
      </c>
      <c r="D18" s="335">
        <f>ROUND(+'Rate Base'!G14/1000,0)-0.6</f>
        <v>1484.4</v>
      </c>
      <c r="E18" s="335">
        <f>ROUND(+'Rate Base'!H14/1000,0)</f>
        <v>1347</v>
      </c>
    </row>
    <row r="19" spans="1:5" x14ac:dyDescent="0.25">
      <c r="A19" s="338" t="s">
        <v>347</v>
      </c>
      <c r="B19" s="335">
        <f>ROUND(+'Rate Base'!E15/1000,0)</f>
        <v>1789</v>
      </c>
      <c r="C19" s="335">
        <f>ROUND(+'Rate Base'!F15/1000,0)</f>
        <v>1789</v>
      </c>
      <c r="D19" s="335">
        <f>ROUND(+'Rate Base'!G15/1000,0)</f>
        <v>1789</v>
      </c>
      <c r="E19" s="335">
        <f>ROUND(+'Rate Base'!H15/1000,0)</f>
        <v>1789</v>
      </c>
    </row>
    <row r="20" spans="1:5" x14ac:dyDescent="0.25">
      <c r="A20" s="338" t="s">
        <v>396</v>
      </c>
      <c r="B20" s="335">
        <f>ROUND(+'Rate Base'!E16/1000,0)</f>
        <v>1212</v>
      </c>
      <c r="C20" s="335">
        <f>ROUND(+'Rate Base'!F16/1000,0)</f>
        <v>1325</v>
      </c>
      <c r="D20" s="335">
        <f>ROUND(+'Rate Base'!G16/1000,0)</f>
        <v>1137</v>
      </c>
      <c r="E20" s="335">
        <f>ROUND(+'Rate Base'!H16/1000,0)</f>
        <v>948</v>
      </c>
    </row>
    <row r="21" spans="1:5" x14ac:dyDescent="0.25">
      <c r="A21" s="338" t="s">
        <v>397</v>
      </c>
      <c r="B21" s="335">
        <f>ROUND(+'Rate Base'!E17/1000,0)</f>
        <v>1213</v>
      </c>
      <c r="C21" s="335">
        <f>ROUND(+'Rate Base'!F17/1000,0)</f>
        <v>1191</v>
      </c>
      <c r="D21" s="335">
        <f>ROUND(+'Rate Base'!G17/1000,0)</f>
        <v>1567</v>
      </c>
      <c r="E21" s="335">
        <f>ROUND(+'Rate Base'!H17/1000,0)</f>
        <v>1837</v>
      </c>
    </row>
    <row r="22" spans="1:5" x14ac:dyDescent="0.25">
      <c r="A22" s="340" t="s">
        <v>398</v>
      </c>
      <c r="B22" s="341">
        <v>27586</v>
      </c>
      <c r="C22" s="341">
        <v>23247</v>
      </c>
      <c r="D22" s="341">
        <v>20112</v>
      </c>
      <c r="E22" s="341">
        <v>15272</v>
      </c>
    </row>
    <row r="23" spans="1:5" x14ac:dyDescent="0.25">
      <c r="A23" s="334" t="s">
        <v>622</v>
      </c>
      <c r="B23" s="337"/>
      <c r="C23" s="337"/>
      <c r="D23" s="337"/>
      <c r="E23" s="337"/>
    </row>
    <row r="24" spans="1:5" x14ac:dyDescent="0.25">
      <c r="A24" s="338" t="s">
        <v>399</v>
      </c>
      <c r="B24" s="348">
        <f>ROUND(+'Rate Base'!E20/1000,0)+1</f>
        <v>-30120</v>
      </c>
      <c r="C24" s="348">
        <f>ROUND(+'Rate Base'!F20/1000,0)</f>
        <v>-35826</v>
      </c>
      <c r="D24" s="348">
        <f>ROUND(+'Rate Base'!G20/1000,0)+1</f>
        <v>-42055</v>
      </c>
      <c r="E24" s="348">
        <f>ROUND(+'Rate Base'!H20/1000,0)</f>
        <v>-48828</v>
      </c>
    </row>
    <row r="25" spans="1:5" x14ac:dyDescent="0.25">
      <c r="A25" s="338" t="s">
        <v>241</v>
      </c>
      <c r="B25" s="348">
        <f>ROUND(+'Rate Base'!E21/1000,0)</f>
        <v>-25484</v>
      </c>
      <c r="C25" s="348">
        <f>ROUND(+'Rate Base'!F21/1000,0)</f>
        <v>-26091</v>
      </c>
      <c r="D25" s="348">
        <f>ROUND(+'Rate Base'!G21/1000,0)</f>
        <v>-34578</v>
      </c>
      <c r="E25" s="348">
        <f>ROUND(+'Rate Base'!H21/1000,0)</f>
        <v>-41352</v>
      </c>
    </row>
    <row r="26" spans="1:5" x14ac:dyDescent="0.25">
      <c r="A26" s="339" t="s">
        <v>400</v>
      </c>
      <c r="B26" s="348">
        <f>ROUND(+'Rate Base'!E22/1000,0)+1</f>
        <v>-7064</v>
      </c>
      <c r="C26" s="348">
        <f>ROUND(+'Rate Base'!F22/1000,0)</f>
        <v>-7224</v>
      </c>
      <c r="D26" s="348">
        <f>ROUND(+'Rate Base'!G22/1000,0)+1</f>
        <v>-7382</v>
      </c>
      <c r="E26" s="348">
        <f>ROUND(+'Rate Base'!H22/1000,0)+1</f>
        <v>-7541</v>
      </c>
    </row>
    <row r="27" spans="1:5" x14ac:dyDescent="0.25">
      <c r="A27" s="338" t="s">
        <v>621</v>
      </c>
      <c r="B27" s="348">
        <f>ROUND(+'Rate Base'!E23/1000,0)</f>
        <v>-143</v>
      </c>
      <c r="C27" s="348">
        <f>ROUND(+'Rate Base'!F23/1000,0)</f>
        <v>0</v>
      </c>
      <c r="D27" s="348">
        <f>ROUND(+'Rate Base'!G23/1000,0)</f>
        <v>0</v>
      </c>
      <c r="E27" s="348">
        <f>ROUND(+'Rate Base'!H23/1000,0)</f>
        <v>0</v>
      </c>
    </row>
    <row r="28" spans="1:5" x14ac:dyDescent="0.25">
      <c r="A28" s="342" t="s">
        <v>401</v>
      </c>
      <c r="B28" s="349">
        <f>SUM(B24:B27)</f>
        <v>-62811</v>
      </c>
      <c r="C28" s="349">
        <f>SUM(C24:C27)</f>
        <v>-69141</v>
      </c>
      <c r="D28" s="349">
        <f>SUM(D24:D27)</f>
        <v>-84015</v>
      </c>
      <c r="E28" s="349">
        <f>SUM(E24:E27)</f>
        <v>-97721</v>
      </c>
    </row>
    <row r="29" spans="1:5" x14ac:dyDescent="0.25">
      <c r="A29" s="334" t="s">
        <v>402</v>
      </c>
      <c r="B29" s="337"/>
      <c r="C29" s="337"/>
      <c r="D29" s="337"/>
      <c r="E29" s="337"/>
    </row>
    <row r="30" spans="1:5" x14ac:dyDescent="0.25">
      <c r="A30" s="338" t="s">
        <v>403</v>
      </c>
      <c r="B30" s="335">
        <v>3000</v>
      </c>
      <c r="C30" s="335">
        <v>3000</v>
      </c>
      <c r="D30" s="335">
        <v>3000</v>
      </c>
      <c r="E30" s="335">
        <v>3000</v>
      </c>
    </row>
    <row r="31" spans="1:5" x14ac:dyDescent="0.25">
      <c r="A31" s="343" t="s">
        <v>404</v>
      </c>
      <c r="B31" s="335">
        <v>6426</v>
      </c>
      <c r="C31" s="335">
        <v>6605</v>
      </c>
      <c r="D31" s="335">
        <v>6903</v>
      </c>
      <c r="E31" s="335">
        <v>7077</v>
      </c>
    </row>
    <row r="32" spans="1:5" x14ac:dyDescent="0.25">
      <c r="A32" s="338" t="s">
        <v>405</v>
      </c>
      <c r="B32" s="337">
        <v>90</v>
      </c>
      <c r="C32" s="337">
        <v>90</v>
      </c>
      <c r="D32" s="337">
        <v>90</v>
      </c>
      <c r="E32" s="337">
        <v>90</v>
      </c>
    </row>
    <row r="33" spans="1:5" x14ac:dyDescent="0.25">
      <c r="A33" s="340" t="s">
        <v>406</v>
      </c>
      <c r="B33" s="341">
        <f>SUM(B30:B32)</f>
        <v>9516</v>
      </c>
      <c r="C33" s="341">
        <f t="shared" ref="C33:E33" si="3">SUM(C30:C32)</f>
        <v>9695</v>
      </c>
      <c r="D33" s="341">
        <f t="shared" si="3"/>
        <v>9993</v>
      </c>
      <c r="E33" s="341">
        <f t="shared" si="3"/>
        <v>10167</v>
      </c>
    </row>
    <row r="34" spans="1:5" x14ac:dyDescent="0.25">
      <c r="A34" s="344" t="s">
        <v>407</v>
      </c>
      <c r="B34" s="341">
        <f>+B13+B22+B28+B33</f>
        <v>459903</v>
      </c>
      <c r="C34" s="341">
        <f>+C13+C22+C28+C33</f>
        <v>482142</v>
      </c>
      <c r="D34" s="341">
        <f>+D13+D22+D28+D33</f>
        <v>502370</v>
      </c>
      <c r="E34" s="341">
        <f>+E13+E22+E28+E33</f>
        <v>536382</v>
      </c>
    </row>
    <row r="35" spans="1:5" x14ac:dyDescent="0.25">
      <c r="A35" s="344" t="s">
        <v>408</v>
      </c>
      <c r="B35" s="345"/>
      <c r="C35" s="341">
        <f>(B34+C34)/2</f>
        <v>471022.5</v>
      </c>
      <c r="D35" s="341">
        <f t="shared" ref="D35:E35" si="4">(C34+D34)/2</f>
        <v>492256</v>
      </c>
      <c r="E35" s="341">
        <f t="shared" si="4"/>
        <v>519376</v>
      </c>
    </row>
    <row r="36" spans="1:5" x14ac:dyDescent="0.25">
      <c r="A36" s="346" t="s">
        <v>409</v>
      </c>
      <c r="B36" s="347"/>
      <c r="C36" s="350">
        <f>+(C35-446586)/446586</f>
        <v>5.4718464080826534E-2</v>
      </c>
      <c r="D36" s="350">
        <f>+(D35-C35)/C35</f>
        <v>4.5079587493166463E-2</v>
      </c>
      <c r="E36" s="350">
        <f>+(E35-D35)/D35</f>
        <v>5.5093284794903462E-2</v>
      </c>
    </row>
    <row r="37" spans="1:5" x14ac:dyDescent="0.25">
      <c r="A37" s="248" t="s">
        <v>410</v>
      </c>
      <c r="B37" s="655" t="s">
        <v>411</v>
      </c>
      <c r="C37" s="655"/>
      <c r="D37" s="655"/>
      <c r="E37" s="655"/>
    </row>
    <row r="38" spans="1:5" ht="39" customHeight="1" x14ac:dyDescent="0.25">
      <c r="A38" s="248" t="s">
        <v>303</v>
      </c>
      <c r="B38" s="663" t="s">
        <v>412</v>
      </c>
      <c r="C38" s="663"/>
      <c r="D38" s="663"/>
      <c r="E38" s="663"/>
    </row>
    <row r="39" spans="1:5" ht="21.75" customHeight="1" x14ac:dyDescent="0.25">
      <c r="A39" t="s">
        <v>623</v>
      </c>
      <c r="B39" s="664" t="s">
        <v>624</v>
      </c>
      <c r="C39" s="664"/>
      <c r="D39" s="664"/>
      <c r="E39" s="664"/>
    </row>
    <row r="41" spans="1:5" x14ac:dyDescent="0.25">
      <c r="A41" s="615" t="s">
        <v>413</v>
      </c>
      <c r="B41" s="616"/>
      <c r="C41" s="616"/>
      <c r="D41" s="616"/>
      <c r="E41" s="617"/>
    </row>
    <row r="42" spans="1:5" x14ac:dyDescent="0.25">
      <c r="A42" s="623" t="s">
        <v>414</v>
      </c>
      <c r="B42" s="624"/>
      <c r="C42" s="624"/>
      <c r="D42" s="624"/>
      <c r="E42" s="625"/>
    </row>
    <row r="43" spans="1:5" x14ac:dyDescent="0.25">
      <c r="A43" s="650"/>
      <c r="B43" s="332">
        <v>2022</v>
      </c>
      <c r="C43" s="332">
        <v>2023</v>
      </c>
      <c r="D43" s="332">
        <v>2024</v>
      </c>
      <c r="E43" s="332">
        <v>2025</v>
      </c>
    </row>
    <row r="44" spans="1:5" x14ac:dyDescent="0.25">
      <c r="A44" s="651"/>
      <c r="B44" s="333" t="s">
        <v>315</v>
      </c>
      <c r="C44" s="333" t="s">
        <v>315</v>
      </c>
      <c r="D44" s="333" t="s">
        <v>315</v>
      </c>
      <c r="E44" s="333" t="s">
        <v>315</v>
      </c>
    </row>
    <row r="45" spans="1:5" x14ac:dyDescent="0.25">
      <c r="A45" s="334" t="s">
        <v>415</v>
      </c>
      <c r="B45" s="348">
        <v>455744</v>
      </c>
      <c r="C45" s="348">
        <f>+B49</f>
        <v>485612</v>
      </c>
      <c r="D45" s="348">
        <f t="shared" ref="D45:E45" si="5">+C49</f>
        <v>518341</v>
      </c>
      <c r="E45" s="348">
        <f t="shared" si="5"/>
        <v>556280</v>
      </c>
    </row>
    <row r="46" spans="1:5" x14ac:dyDescent="0.25">
      <c r="A46" s="334" t="s">
        <v>242</v>
      </c>
      <c r="B46" s="348">
        <f>+'Tables Section 4'!E44+'Tables Section 4'!E45+'Tables Section 4'!E46+'Tables Section 4'!E49+'Tables Section 4'!E50+ROUND(('Rate Base'!E8-'Rate Base'!D8-'Rate Base'!E13+'Rate Base'!D13)/1000,0)</f>
        <v>47592</v>
      </c>
      <c r="C46" s="348">
        <f>+'Tables Section 4'!F44+'Tables Section 4'!F45+'Tables Section 4'!F46+'Tables Section 4'!F49+'Tables Section 4'!F50+ROUND(('Rate Base'!F8-'Rate Base'!E8-'Rate Base'!F13+'Rate Base'!E13)/1000,0)+1</f>
        <v>50404</v>
      </c>
      <c r="D46" s="348">
        <f>+'Tables Section 4'!G44+'Tables Section 4'!G45+'Tables Section 4'!G46+'Tables Section 4'!G49+'Tables Section 4'!G50+ROUND(('Rate Base'!G8-'Rate Base'!F8-'Rate Base'!G13+'Rate Base'!F13)/1000,0)+3</f>
        <v>64356</v>
      </c>
      <c r="E46" s="348">
        <f>+'Tables Section 4'!H44+'Tables Section 4'!H45+'Tables Section 4'!H46+'Tables Section 4'!H49+'Tables Section 4'!H50+ROUND(('Rate Base'!H8-'Rate Base'!G8-'Rate Base'!H13+'Rate Base'!G13)/1000,0)+2</f>
        <v>81107</v>
      </c>
    </row>
    <row r="47" spans="1:5" x14ac:dyDescent="0.25">
      <c r="A47" s="334" t="s">
        <v>416</v>
      </c>
      <c r="B47" s="348">
        <f>-'Tables Section 5.1 - 5.2'!E115-B58</f>
        <v>-25663</v>
      </c>
      <c r="C47" s="348">
        <f>-'Tables Section 5.1 - 5.2'!F115-C58</f>
        <v>-28429</v>
      </c>
      <c r="D47" s="348">
        <f>-'Tables Section 5.1 - 5.2'!G115-D58</f>
        <v>-30225</v>
      </c>
      <c r="E47" s="348">
        <f>-'Tables Section 5.1 - 5.2'!H115-E58+1</f>
        <v>-32468</v>
      </c>
    </row>
    <row r="48" spans="1:5" x14ac:dyDescent="0.25">
      <c r="A48" s="334" t="s">
        <v>417</v>
      </c>
      <c r="B48" s="348">
        <v>7939</v>
      </c>
      <c r="C48" s="348">
        <v>10754</v>
      </c>
      <c r="D48" s="348">
        <v>3808</v>
      </c>
      <c r="E48" s="348">
        <v>3745</v>
      </c>
    </row>
    <row r="49" spans="1:5" x14ac:dyDescent="0.25">
      <c r="A49" s="344" t="s">
        <v>418</v>
      </c>
      <c r="B49" s="341">
        <f>SUM(B45:B48)</f>
        <v>485612</v>
      </c>
      <c r="C49" s="341">
        <f t="shared" ref="C49:E49" si="6">SUM(C45:C48)</f>
        <v>518341</v>
      </c>
      <c r="D49" s="341">
        <f t="shared" si="6"/>
        <v>556280</v>
      </c>
      <c r="E49" s="341">
        <f t="shared" si="6"/>
        <v>608664</v>
      </c>
    </row>
    <row r="50" spans="1:5" x14ac:dyDescent="0.25">
      <c r="B50" s="331"/>
      <c r="C50" s="331"/>
      <c r="D50" s="331"/>
      <c r="E50" s="331"/>
    </row>
    <row r="52" spans="1:5" x14ac:dyDescent="0.25">
      <c r="A52" s="615" t="s">
        <v>632</v>
      </c>
      <c r="B52" s="616"/>
      <c r="C52" s="616"/>
      <c r="D52" s="616"/>
      <c r="E52" s="617"/>
    </row>
    <row r="53" spans="1:5" x14ac:dyDescent="0.25">
      <c r="A53" s="623" t="s">
        <v>420</v>
      </c>
      <c r="B53" s="624"/>
      <c r="C53" s="624"/>
      <c r="D53" s="624"/>
      <c r="E53" s="625"/>
    </row>
    <row r="54" spans="1:5" x14ac:dyDescent="0.25">
      <c r="A54" s="650"/>
      <c r="B54" s="332">
        <v>2022</v>
      </c>
      <c r="C54" s="332">
        <v>2023</v>
      </c>
      <c r="D54" s="332">
        <v>2024</v>
      </c>
      <c r="E54" s="332">
        <v>2025</v>
      </c>
    </row>
    <row r="55" spans="1:5" x14ac:dyDescent="0.25">
      <c r="A55" s="651"/>
      <c r="B55" s="333" t="s">
        <v>315</v>
      </c>
      <c r="C55" s="333" t="s">
        <v>315</v>
      </c>
      <c r="D55" s="333" t="s">
        <v>315</v>
      </c>
      <c r="E55" s="333" t="s">
        <v>315</v>
      </c>
    </row>
    <row r="56" spans="1:5" x14ac:dyDescent="0.25">
      <c r="A56" s="334" t="s">
        <v>415</v>
      </c>
      <c r="B56" s="348">
        <v>-23493</v>
      </c>
      <c r="C56" s="348">
        <f>+B59</f>
        <v>-25484</v>
      </c>
      <c r="D56" s="348">
        <f t="shared" ref="D56:E56" si="7">+C59</f>
        <v>-26091</v>
      </c>
      <c r="E56" s="348">
        <f t="shared" si="7"/>
        <v>-34578</v>
      </c>
    </row>
    <row r="57" spans="1:5" x14ac:dyDescent="0.25">
      <c r="A57" s="334" t="s">
        <v>242</v>
      </c>
      <c r="B57" s="348">
        <f>+'Tables Section 4'!E47</f>
        <v>-3538</v>
      </c>
      <c r="C57" s="348">
        <f>+'Tables Section 4'!F47</f>
        <v>-2250</v>
      </c>
      <c r="D57" s="348">
        <f>+'Tables Section 4'!G47</f>
        <v>-10250</v>
      </c>
      <c r="E57" s="348">
        <f>+'Tables Section 4'!H47</f>
        <v>-8750</v>
      </c>
    </row>
    <row r="58" spans="1:5" x14ac:dyDescent="0.25">
      <c r="A58" s="334" t="s">
        <v>416</v>
      </c>
      <c r="B58" s="348">
        <v>1547</v>
      </c>
      <c r="C58" s="348">
        <v>1643</v>
      </c>
      <c r="D58" s="348">
        <v>1763</v>
      </c>
      <c r="E58" s="348">
        <v>1976</v>
      </c>
    </row>
    <row r="59" spans="1:5" x14ac:dyDescent="0.25">
      <c r="A59" s="344" t="s">
        <v>418</v>
      </c>
      <c r="B59" s="349">
        <f>SUM(B56:B58)</f>
        <v>-25484</v>
      </c>
      <c r="C59" s="349">
        <f t="shared" ref="C59:E59" si="8">SUM(C56:C58)</f>
        <v>-26091</v>
      </c>
      <c r="D59" s="349">
        <f t="shared" si="8"/>
        <v>-34578</v>
      </c>
      <c r="E59" s="349">
        <f t="shared" si="8"/>
        <v>-41352</v>
      </c>
    </row>
    <row r="62" spans="1:5" x14ac:dyDescent="0.25">
      <c r="A62" s="615" t="s">
        <v>424</v>
      </c>
      <c r="B62" s="616"/>
      <c r="C62" s="616"/>
      <c r="D62" s="616"/>
      <c r="E62" s="617"/>
    </row>
    <row r="63" spans="1:5" x14ac:dyDescent="0.25">
      <c r="A63" s="623" t="s">
        <v>425</v>
      </c>
      <c r="B63" s="624"/>
      <c r="C63" s="624"/>
      <c r="D63" s="624"/>
      <c r="E63" s="625"/>
    </row>
    <row r="64" spans="1:5" x14ac:dyDescent="0.25">
      <c r="A64" s="650"/>
      <c r="B64" s="646" t="s">
        <v>426</v>
      </c>
      <c r="C64" s="332">
        <v>2023</v>
      </c>
      <c r="D64" s="332">
        <v>2024</v>
      </c>
      <c r="E64" s="332">
        <v>2025</v>
      </c>
    </row>
    <row r="65" spans="1:5" x14ac:dyDescent="0.25">
      <c r="A65" s="651"/>
      <c r="B65" s="647"/>
      <c r="C65" s="333" t="s">
        <v>315</v>
      </c>
      <c r="D65" s="333" t="s">
        <v>315</v>
      </c>
      <c r="E65" s="333" t="s">
        <v>315</v>
      </c>
    </row>
    <row r="66" spans="1:5" ht="25.5" x14ac:dyDescent="0.25">
      <c r="A66" s="354" t="s">
        <v>384</v>
      </c>
      <c r="B66" s="354" t="s">
        <v>427</v>
      </c>
      <c r="C66" s="355">
        <f>+'Tables Section 5.1 - 5.2'!F26</f>
        <v>148886</v>
      </c>
      <c r="D66" s="355">
        <f>+'Tables Section 5.1 - 5.2'!G26</f>
        <v>155484</v>
      </c>
      <c r="E66" s="355">
        <f>+'Tables Section 5.1 - 5.2'!H26</f>
        <v>158798</v>
      </c>
    </row>
    <row r="67" spans="1:5" ht="25.5" x14ac:dyDescent="0.25">
      <c r="A67" s="334" t="s">
        <v>385</v>
      </c>
      <c r="B67" s="334" t="s">
        <v>428</v>
      </c>
      <c r="C67" s="348">
        <f>-'Section 5.3 Reg Deferrals'!E65</f>
        <v>-4219.3000000000175</v>
      </c>
      <c r="D67" s="348">
        <f>-'Section 5.3 Reg Deferrals'!F65</f>
        <v>-3745.5</v>
      </c>
      <c r="E67" s="348">
        <f>-'Section 5.3 Reg Deferrals'!G65</f>
        <v>-728.90000000002328</v>
      </c>
    </row>
    <row r="68" spans="1:5" ht="25.5" x14ac:dyDescent="0.25">
      <c r="A68" s="334" t="s">
        <v>316</v>
      </c>
      <c r="B68" s="334" t="s">
        <v>429</v>
      </c>
      <c r="C68" s="335">
        <f>+'Tables Section 5.1 - 5.2'!F36</f>
        <v>21394</v>
      </c>
      <c r="D68" s="335">
        <f>+'Tables Section 5.1 - 5.2'!G36</f>
        <v>22699</v>
      </c>
      <c r="E68" s="335">
        <f>+'Tables Section 5.1 - 5.2'!H36</f>
        <v>23815</v>
      </c>
    </row>
    <row r="69" spans="1:5" ht="25.5" x14ac:dyDescent="0.25">
      <c r="A69" s="334" t="s">
        <v>317</v>
      </c>
      <c r="B69" s="334" t="s">
        <v>430</v>
      </c>
      <c r="C69" s="335">
        <f>+'Tables Section 5.1 - 5.2'!F98</f>
        <v>13185</v>
      </c>
      <c r="D69" s="335">
        <f>+'Tables Section 5.1 - 5.2'!G98</f>
        <v>13559</v>
      </c>
      <c r="E69" s="335">
        <f>+'Tables Section 5.1 - 5.2'!H98</f>
        <v>13972</v>
      </c>
    </row>
    <row r="70" spans="1:5" ht="25.5" x14ac:dyDescent="0.25">
      <c r="A70" s="334" t="s">
        <v>234</v>
      </c>
      <c r="B70" s="334" t="s">
        <v>431</v>
      </c>
      <c r="C70" s="335">
        <f>+'Tables Section 5.1 - 5.2'!F120</f>
        <v>29094</v>
      </c>
      <c r="D70" s="335">
        <f>+'Tables Section 5.1 - 5.2'!G120</f>
        <v>30785</v>
      </c>
      <c r="E70" s="335">
        <f>+'Tables Section 5.1 - 5.2'!H120</f>
        <v>32816</v>
      </c>
    </row>
    <row r="71" spans="1:5" ht="25.5" x14ac:dyDescent="0.25">
      <c r="A71" s="334" t="s">
        <v>233</v>
      </c>
      <c r="B71" s="334" t="s">
        <v>432</v>
      </c>
      <c r="C71" s="335">
        <f>+'Tables Section 5.1 - 5.2'!F130</f>
        <v>13796.6</v>
      </c>
      <c r="D71" s="335">
        <f>+'Tables Section 5.1 - 5.2'!G130</f>
        <v>14276.899999999998</v>
      </c>
      <c r="E71" s="335">
        <f>+'Tables Section 5.1 - 5.2'!H130</f>
        <v>14592.5</v>
      </c>
    </row>
    <row r="72" spans="1:5" ht="25.5" x14ac:dyDescent="0.25">
      <c r="A72" s="334" t="s">
        <v>106</v>
      </c>
      <c r="B72" s="334" t="s">
        <v>433</v>
      </c>
      <c r="C72" s="335">
        <f>+'Tables Section 5.1 - 5.2'!F153</f>
        <v>8459.4</v>
      </c>
      <c r="D72" s="335">
        <f>+'Tables Section 5.1 - 5.2'!G153</f>
        <v>8993.6</v>
      </c>
      <c r="E72" s="335">
        <f>+'Tables Section 5.1 - 5.2'!H153</f>
        <v>9538.4</v>
      </c>
    </row>
    <row r="73" spans="1:5" ht="25.5" x14ac:dyDescent="0.25">
      <c r="A73" s="334" t="s">
        <v>237</v>
      </c>
      <c r="B73" s="334" t="s">
        <v>434</v>
      </c>
      <c r="C73" s="335">
        <f>+'Tables Section 5.1 - 5.2'!F160</f>
        <v>18660.099999999999</v>
      </c>
      <c r="D73" s="335">
        <f>+'Tables Section 5.1 - 5.2'!G160</f>
        <v>19849.5</v>
      </c>
      <c r="E73" s="335">
        <f>+'Tables Section 5.1 - 5.2'!H160</f>
        <v>21065.5</v>
      </c>
    </row>
    <row r="74" spans="1:5" x14ac:dyDescent="0.25">
      <c r="A74" s="652" t="s">
        <v>435</v>
      </c>
      <c r="B74" s="652"/>
      <c r="C74" s="341">
        <f>SUM(C66:C73)</f>
        <v>249255.8</v>
      </c>
      <c r="D74" s="341">
        <f t="shared" ref="D74:E74" si="9">SUM(D66:D73)</f>
        <v>261901.5</v>
      </c>
      <c r="E74" s="341">
        <f t="shared" si="9"/>
        <v>273868.5</v>
      </c>
    </row>
    <row r="75" spans="1:5" ht="25.5" x14ac:dyDescent="0.25">
      <c r="A75" s="334" t="s">
        <v>225</v>
      </c>
      <c r="B75" s="334" t="s">
        <v>436</v>
      </c>
      <c r="C75" s="348">
        <f>-'Tables Section 5.1 - 5.2'!F109</f>
        <v>-16188</v>
      </c>
      <c r="D75" s="348">
        <f>-'Tables Section 5.1 - 5.2'!G109</f>
        <v>-16546</v>
      </c>
      <c r="E75" s="348">
        <f>-'Tables Section 5.1 - 5.2'!H109</f>
        <v>-16877</v>
      </c>
    </row>
    <row r="76" spans="1:5" x14ac:dyDescent="0.25">
      <c r="A76" s="652" t="s">
        <v>437</v>
      </c>
      <c r="B76" s="652"/>
      <c r="C76" s="341">
        <f>SUM(C74:C75)</f>
        <v>233067.8</v>
      </c>
      <c r="D76" s="341">
        <f t="shared" ref="D76:E76" si="10">SUM(D74:D75)</f>
        <v>245355.5</v>
      </c>
      <c r="E76" s="341">
        <f t="shared" si="10"/>
        <v>256991.5</v>
      </c>
    </row>
    <row r="77" spans="1:5" x14ac:dyDescent="0.25">
      <c r="A77" s="653" t="s">
        <v>438</v>
      </c>
      <c r="B77" s="653"/>
      <c r="C77" s="350">
        <f>+(C76-222717)/222717</f>
        <v>4.647512313833245E-2</v>
      </c>
      <c r="D77" s="350">
        <f>+(D76-C76)/C76</f>
        <v>5.2721568573608248E-2</v>
      </c>
      <c r="E77" s="350">
        <f>+(E76-D76)/D76</f>
        <v>4.7425062817014495E-2</v>
      </c>
    </row>
    <row r="78" spans="1:5" ht="25.5" customHeight="1" x14ac:dyDescent="0.25">
      <c r="A78" s="248" t="s">
        <v>301</v>
      </c>
      <c r="B78" s="654" t="s">
        <v>439</v>
      </c>
      <c r="C78" s="654"/>
      <c r="D78" s="654"/>
      <c r="E78" s="654"/>
    </row>
    <row r="81" spans="1:5" x14ac:dyDescent="0.25">
      <c r="A81" s="585" t="s">
        <v>419</v>
      </c>
      <c r="B81" s="586"/>
      <c r="C81" s="586"/>
      <c r="D81" s="586"/>
      <c r="E81" s="587"/>
    </row>
    <row r="82" spans="1:5" ht="15" customHeight="1" x14ac:dyDescent="0.25">
      <c r="A82" s="588" t="s">
        <v>440</v>
      </c>
      <c r="B82" s="589"/>
      <c r="C82" s="592"/>
      <c r="D82" s="592"/>
      <c r="E82" s="593"/>
    </row>
    <row r="83" spans="1:5" x14ac:dyDescent="0.25">
      <c r="A83" s="648"/>
      <c r="B83" s="356"/>
      <c r="C83" s="332">
        <v>2023</v>
      </c>
      <c r="D83" s="332">
        <v>2024</v>
      </c>
      <c r="E83" s="332">
        <v>2025</v>
      </c>
    </row>
    <row r="84" spans="1:5" x14ac:dyDescent="0.25">
      <c r="A84" s="649"/>
      <c r="B84" s="357"/>
      <c r="C84" s="333" t="s">
        <v>315</v>
      </c>
      <c r="D84" s="333" t="s">
        <v>315</v>
      </c>
      <c r="E84" s="333" t="s">
        <v>315</v>
      </c>
    </row>
    <row r="85" spans="1:5" x14ac:dyDescent="0.25">
      <c r="A85" s="336" t="s">
        <v>9</v>
      </c>
      <c r="B85" s="358"/>
      <c r="C85" s="335">
        <f>ROUND(+'Energy Sales &amp; Revenue'!F37/1000,0)</f>
        <v>130251</v>
      </c>
      <c r="D85" s="335">
        <f>ROUND(+'Energy Sales &amp; Revenue'!G37/1000,0)+1</f>
        <v>138666</v>
      </c>
      <c r="E85" s="335">
        <f>ROUND(+'Energy Sales &amp; Revenue'!H37/1000,0)</f>
        <v>147044</v>
      </c>
    </row>
    <row r="86" spans="1:5" x14ac:dyDescent="0.25">
      <c r="A86" s="336" t="s">
        <v>251</v>
      </c>
      <c r="B86" s="358"/>
      <c r="C86" s="335">
        <f>ROUND(+'Energy Sales &amp; Revenue'!F38/1000,0)</f>
        <v>69702</v>
      </c>
      <c r="D86" s="335">
        <f>ROUND(+'Energy Sales &amp; Revenue'!G38/1000,0)</f>
        <v>72018</v>
      </c>
      <c r="E86" s="335">
        <f>ROUND(+'Energy Sales &amp; Revenue'!H38/1000,0)-1</f>
        <v>74172</v>
      </c>
    </row>
    <row r="87" spans="1:5" x14ac:dyDescent="0.25">
      <c r="A87" s="336" t="s">
        <v>10</v>
      </c>
      <c r="B87" s="358"/>
      <c r="C87" s="335">
        <f>ROUND(+'Energy Sales &amp; Revenue'!F39/1000,0)+1</f>
        <v>16046</v>
      </c>
      <c r="D87" s="335">
        <f>ROUND(+'Energy Sales &amp; Revenue'!G39/1000,0)</f>
        <v>17018</v>
      </c>
      <c r="E87" s="335">
        <f>ROUND(+'Energy Sales &amp; Revenue'!H39/1000,0)</f>
        <v>17557</v>
      </c>
    </row>
    <row r="88" spans="1:5" x14ac:dyDescent="0.25">
      <c r="A88" s="336" t="s">
        <v>11</v>
      </c>
      <c r="B88" s="358"/>
      <c r="C88" s="335">
        <f>ROUND(+'Energy Sales &amp; Revenue'!F40/1000,0)</f>
        <v>14498</v>
      </c>
      <c r="D88" s="335">
        <f>ROUND(+'Energy Sales &amp; Revenue'!G40/1000,0)</f>
        <v>14942</v>
      </c>
      <c r="E88" s="335">
        <f>ROUND(+'Energy Sales &amp; Revenue'!H40/1000,0)-1</f>
        <v>15371</v>
      </c>
    </row>
    <row r="89" spans="1:5" x14ac:dyDescent="0.25">
      <c r="A89" s="336" t="s">
        <v>121</v>
      </c>
      <c r="B89" s="358"/>
      <c r="C89" s="335">
        <f>ROUND(+'Energy Sales &amp; Revenue'!F41/1000,0)</f>
        <v>2096</v>
      </c>
      <c r="D89" s="335">
        <f>ROUND(+'Energy Sales &amp; Revenue'!G41/1000,0)-1</f>
        <v>2212</v>
      </c>
      <c r="E89" s="335">
        <f>ROUND(+'Energy Sales &amp; Revenue'!H41/1000,0)</f>
        <v>2324</v>
      </c>
    </row>
    <row r="90" spans="1:5" x14ac:dyDescent="0.25">
      <c r="A90" s="336" t="s">
        <v>122</v>
      </c>
      <c r="B90" s="358"/>
      <c r="C90" s="335">
        <f>ROUND(+'Energy Sales &amp; Revenue'!F42/1000,0)</f>
        <v>475</v>
      </c>
      <c r="D90" s="335">
        <f>ROUND(+'Energy Sales &amp; Revenue'!G42/1000,0)</f>
        <v>500</v>
      </c>
      <c r="E90" s="335">
        <f>ROUND(+'Energy Sales &amp; Revenue'!H42/1000,0)</f>
        <v>524</v>
      </c>
    </row>
    <row r="91" spans="1:5" ht="25.5" x14ac:dyDescent="0.25">
      <c r="A91" s="359" t="s">
        <v>441</v>
      </c>
      <c r="B91" s="360"/>
      <c r="C91" s="341">
        <f>SUM(C85:C90)</f>
        <v>233068</v>
      </c>
      <c r="D91" s="341">
        <f t="shared" ref="D91:E91" si="11">SUM(D85:D90)</f>
        <v>245356</v>
      </c>
      <c r="E91" s="341">
        <f t="shared" si="11"/>
        <v>256992</v>
      </c>
    </row>
    <row r="92" spans="1:5" x14ac:dyDescent="0.25">
      <c r="A92" s="361" t="s">
        <v>225</v>
      </c>
      <c r="B92" s="362"/>
      <c r="C92" s="335">
        <f>'Tables Section 5.1 - 5.2'!F109</f>
        <v>16188</v>
      </c>
      <c r="D92" s="335">
        <f>'Tables Section 5.1 - 5.2'!G109</f>
        <v>16546</v>
      </c>
      <c r="E92" s="335">
        <f>'Tables Section 5.1 - 5.2'!H109</f>
        <v>16877</v>
      </c>
    </row>
    <row r="93" spans="1:5" x14ac:dyDescent="0.25">
      <c r="A93" s="359" t="s">
        <v>435</v>
      </c>
      <c r="B93" s="360"/>
      <c r="C93" s="341">
        <f>SUM(C91:C92)</f>
        <v>249256</v>
      </c>
      <c r="D93" s="341">
        <f t="shared" ref="D93:E93" si="12">SUM(D91:D92)</f>
        <v>261902</v>
      </c>
      <c r="E93" s="341">
        <f t="shared" si="12"/>
        <v>273869</v>
      </c>
    </row>
    <row r="96" spans="1:5" x14ac:dyDescent="0.25">
      <c r="A96" s="615" t="s">
        <v>442</v>
      </c>
      <c r="B96" s="616"/>
      <c r="C96" s="616"/>
      <c r="D96" s="616"/>
      <c r="E96" s="617"/>
    </row>
    <row r="97" spans="1:5" ht="15.75" customHeight="1" x14ac:dyDescent="0.25">
      <c r="A97" s="591" t="s">
        <v>443</v>
      </c>
      <c r="B97" s="592"/>
      <c r="C97" s="592"/>
      <c r="D97" s="592"/>
      <c r="E97" s="593"/>
    </row>
    <row r="98" spans="1:5" x14ac:dyDescent="0.25">
      <c r="A98" s="650"/>
      <c r="B98" s="646" t="s">
        <v>426</v>
      </c>
      <c r="C98" s="332">
        <v>2023</v>
      </c>
      <c r="D98" s="332">
        <v>2024</v>
      </c>
      <c r="E98" s="332">
        <v>2025</v>
      </c>
    </row>
    <row r="99" spans="1:5" x14ac:dyDescent="0.25">
      <c r="A99" s="651"/>
      <c r="B99" s="647"/>
      <c r="C99" s="333" t="s">
        <v>315</v>
      </c>
      <c r="D99" s="333" t="s">
        <v>315</v>
      </c>
      <c r="E99" s="333" t="s">
        <v>315</v>
      </c>
    </row>
    <row r="100" spans="1:5" ht="25.5" x14ac:dyDescent="0.25">
      <c r="A100" s="338" t="s">
        <v>435</v>
      </c>
      <c r="B100" s="334" t="s">
        <v>444</v>
      </c>
      <c r="C100" s="335">
        <f>+C93</f>
        <v>249256</v>
      </c>
      <c r="D100" s="335">
        <f t="shared" ref="D100:E100" si="13">+D93</f>
        <v>261902</v>
      </c>
      <c r="E100" s="335">
        <f t="shared" si="13"/>
        <v>273869</v>
      </c>
    </row>
    <row r="101" spans="1:5" ht="25.5" x14ac:dyDescent="0.25">
      <c r="A101" s="338" t="s">
        <v>384</v>
      </c>
      <c r="B101" s="334" t="s">
        <v>427</v>
      </c>
      <c r="C101" s="348">
        <f>-'Tables Section 5.1 - 5.2'!F26</f>
        <v>-148886</v>
      </c>
      <c r="D101" s="348">
        <f>-'Tables Section 5.1 - 5.2'!G26</f>
        <v>-155484</v>
      </c>
      <c r="E101" s="348">
        <f>-'Tables Section 5.1 - 5.2'!H26</f>
        <v>-158798</v>
      </c>
    </row>
    <row r="102" spans="1:5" ht="25.5" x14ac:dyDescent="0.25">
      <c r="A102" s="338" t="s">
        <v>385</v>
      </c>
      <c r="B102" s="334" t="s">
        <v>428</v>
      </c>
      <c r="C102" s="348">
        <f>+'Section 5.3 Reg Deferrals'!E65</f>
        <v>4219.3000000000175</v>
      </c>
      <c r="D102" s="348">
        <f>+'Section 5.3 Reg Deferrals'!F65</f>
        <v>3745.5</v>
      </c>
      <c r="E102" s="348">
        <f>+'Section 5.3 Reg Deferrals'!G65</f>
        <v>728.90000000002328</v>
      </c>
    </row>
    <row r="103" spans="1:5" ht="25.5" x14ac:dyDescent="0.25">
      <c r="A103" s="338" t="s">
        <v>316</v>
      </c>
      <c r="B103" s="334" t="s">
        <v>429</v>
      </c>
      <c r="C103" s="348">
        <f>-'Tables Section 5.1 - 5.2'!F36</f>
        <v>-21394</v>
      </c>
      <c r="D103" s="348">
        <f>-'Tables Section 5.1 - 5.2'!G36</f>
        <v>-22699</v>
      </c>
      <c r="E103" s="348">
        <f>-'Tables Section 5.1 - 5.2'!H36</f>
        <v>-23815</v>
      </c>
    </row>
    <row r="104" spans="1:5" ht="25.5" x14ac:dyDescent="0.25">
      <c r="A104" s="338" t="s">
        <v>317</v>
      </c>
      <c r="B104" s="334" t="s">
        <v>430</v>
      </c>
      <c r="C104" s="348">
        <f>-'Tables Section 5.1 - 5.2'!F98</f>
        <v>-13185</v>
      </c>
      <c r="D104" s="348">
        <f>-'Tables Section 5.1 - 5.2'!G98</f>
        <v>-13559</v>
      </c>
      <c r="E104" s="348">
        <f>-'Tables Section 5.1 - 5.2'!H98</f>
        <v>-13972</v>
      </c>
    </row>
    <row r="105" spans="1:5" ht="25.5" x14ac:dyDescent="0.25">
      <c r="A105" s="338" t="s">
        <v>234</v>
      </c>
      <c r="B105" s="334" t="s">
        <v>431</v>
      </c>
      <c r="C105" s="348">
        <f>-'Tables Section 5.1 - 5.2'!F120</f>
        <v>-29094</v>
      </c>
      <c r="D105" s="348">
        <f>-'Tables Section 5.1 - 5.2'!G120</f>
        <v>-30785</v>
      </c>
      <c r="E105" s="348">
        <f>-'Tables Section 5.1 - 5.2'!H120</f>
        <v>-32816</v>
      </c>
    </row>
    <row r="106" spans="1:5" ht="25.5" x14ac:dyDescent="0.25">
      <c r="A106" s="338" t="s">
        <v>85</v>
      </c>
      <c r="B106" s="334" t="s">
        <v>445</v>
      </c>
      <c r="C106" s="348">
        <f>-'Tables Section 5.1 - 5.2'!F128</f>
        <v>-21.9</v>
      </c>
      <c r="D106" s="348">
        <f>-'Tables Section 5.1 - 5.2'!G128</f>
        <v>-23.8</v>
      </c>
      <c r="E106" s="348">
        <f>-'Tables Section 5.1 - 5.2'!H128</f>
        <v>-30.6</v>
      </c>
    </row>
    <row r="107" spans="1:5" ht="25.5" x14ac:dyDescent="0.25">
      <c r="A107" s="338" t="s">
        <v>106</v>
      </c>
      <c r="B107" s="334" t="s">
        <v>433</v>
      </c>
      <c r="C107" s="348">
        <f>-'Tables Section 5.1 - 5.2'!F153</f>
        <v>-8459.4</v>
      </c>
      <c r="D107" s="348">
        <f>-'Tables Section 5.1 - 5.2'!G153</f>
        <v>-8993.6</v>
      </c>
      <c r="E107" s="348">
        <f>-'Tables Section 5.1 - 5.2'!H153</f>
        <v>-9538.4</v>
      </c>
    </row>
    <row r="108" spans="1:5" x14ac:dyDescent="0.25">
      <c r="A108" s="363" t="s">
        <v>446</v>
      </c>
      <c r="B108" s="364"/>
      <c r="C108" s="341">
        <f>SUM(C100:C107)</f>
        <v>32435.000000000015</v>
      </c>
      <c r="D108" s="341">
        <f t="shared" ref="D108:E108" si="14">SUM(D100:D107)</f>
        <v>34103.1</v>
      </c>
      <c r="E108" s="341">
        <f t="shared" si="14"/>
        <v>35627.900000000023</v>
      </c>
    </row>
    <row r="109" spans="1:5" ht="25.5" x14ac:dyDescent="0.25">
      <c r="A109" s="334" t="s">
        <v>408</v>
      </c>
      <c r="B109" s="334" t="s">
        <v>447</v>
      </c>
      <c r="C109" s="335">
        <f>+C35</f>
        <v>471022.5</v>
      </c>
      <c r="D109" s="335">
        <f t="shared" ref="D109:E109" si="15">+D35</f>
        <v>492256</v>
      </c>
      <c r="E109" s="335">
        <f t="shared" si="15"/>
        <v>519376</v>
      </c>
    </row>
    <row r="110" spans="1:5" x14ac:dyDescent="0.25">
      <c r="A110" s="359" t="s">
        <v>388</v>
      </c>
      <c r="B110" s="360"/>
      <c r="C110" s="365">
        <f>C108/C109</f>
        <v>6.8860829365900808E-2</v>
      </c>
      <c r="D110" s="365">
        <f t="shared" ref="D110:E110" si="16">D108/D109</f>
        <v>6.9279196190600009E-2</v>
      </c>
      <c r="E110" s="365">
        <f t="shared" si="16"/>
        <v>6.8597509318874997E-2</v>
      </c>
    </row>
  </sheetData>
  <mergeCells count="33">
    <mergeCell ref="A43:A44"/>
    <mergeCell ref="A11:A12"/>
    <mergeCell ref="B37:E37"/>
    <mergeCell ref="A2:E2"/>
    <mergeCell ref="A3:E3"/>
    <mergeCell ref="A4:B4"/>
    <mergeCell ref="A5:B5"/>
    <mergeCell ref="A6:B6"/>
    <mergeCell ref="A7:B7"/>
    <mergeCell ref="B38:E38"/>
    <mergeCell ref="A9:E9"/>
    <mergeCell ref="A10:E10"/>
    <mergeCell ref="A41:E41"/>
    <mergeCell ref="A42:E42"/>
    <mergeCell ref="B39:E39"/>
    <mergeCell ref="A74:B74"/>
    <mergeCell ref="A76:B76"/>
    <mergeCell ref="A77:B77"/>
    <mergeCell ref="B78:E78"/>
    <mergeCell ref="A52:E52"/>
    <mergeCell ref="A53:E53"/>
    <mergeCell ref="A54:A55"/>
    <mergeCell ref="A62:E62"/>
    <mergeCell ref="A63:E63"/>
    <mergeCell ref="A64:A65"/>
    <mergeCell ref="B64:B65"/>
    <mergeCell ref="B98:B99"/>
    <mergeCell ref="A83:A84"/>
    <mergeCell ref="A81:E81"/>
    <mergeCell ref="A82:E82"/>
    <mergeCell ref="A98:A99"/>
    <mergeCell ref="A96:E96"/>
    <mergeCell ref="A97:E97"/>
  </mergeCells>
  <hyperlinks>
    <hyperlink ref="A31" location="_ftn1" display="_ftn1" xr:uid="{00000000-0004-0000-0500-000000000000}"/>
    <hyperlink ref="A36" location="_ftn2" display="_ftn2" xr:uid="{00000000-0004-0000-0500-000001000000}"/>
    <hyperlink ref="A37" location="_ftnref1" display="_ftnref1" xr:uid="{00000000-0004-0000-0500-000002000000}"/>
    <hyperlink ref="A38" location="_ftnref2" display="_ftnref2" xr:uid="{00000000-0004-0000-0500-000003000000}"/>
    <hyperlink ref="A77" location="_ftn1" display="_ftn1" xr:uid="{00000000-0004-0000-0500-000004000000}"/>
    <hyperlink ref="A78" location="_ftnref1" display="_ftnref1" xr:uid="{00000000-0004-0000-0500-000005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N42"/>
  <sheetViews>
    <sheetView topLeftCell="A16" workbookViewId="0">
      <selection activeCell="I18" sqref="I18"/>
    </sheetView>
  </sheetViews>
  <sheetFormatPr defaultRowHeight="12" x14ac:dyDescent="0.2"/>
  <cols>
    <col min="1" max="1" width="40.28515625" style="138" bestFit="1" customWidth="1"/>
    <col min="2" max="7" width="9.140625" style="138" hidden="1" customWidth="1"/>
    <col min="8" max="9" width="10.140625" style="138" bestFit="1" customWidth="1"/>
    <col min="10" max="11" width="9.5703125" style="138" bestFit="1" customWidth="1"/>
    <col min="12" max="12" width="9.5703125" style="138" customWidth="1"/>
    <col min="13" max="13" width="13.28515625" style="138" bestFit="1" customWidth="1"/>
    <col min="14" max="16384" width="9.140625" style="138"/>
  </cols>
  <sheetData>
    <row r="1" spans="1:14" x14ac:dyDescent="0.2">
      <c r="A1" s="668" t="s">
        <v>449</v>
      </c>
      <c r="B1" s="669"/>
      <c r="C1" s="669"/>
      <c r="D1" s="669"/>
      <c r="E1" s="669"/>
      <c r="F1" s="669"/>
      <c r="G1" s="669"/>
      <c r="H1" s="669"/>
      <c r="I1" s="669"/>
      <c r="J1" s="669"/>
      <c r="K1" s="669"/>
      <c r="L1" s="669"/>
      <c r="M1" s="670"/>
    </row>
    <row r="2" spans="1:14" x14ac:dyDescent="0.2">
      <c r="A2" s="674" t="s">
        <v>633</v>
      </c>
      <c r="B2" s="675"/>
      <c r="C2" s="675"/>
      <c r="D2" s="675"/>
      <c r="E2" s="675"/>
      <c r="F2" s="675"/>
      <c r="G2" s="675"/>
      <c r="H2" s="675"/>
      <c r="I2" s="675"/>
      <c r="J2" s="675"/>
      <c r="K2" s="675"/>
      <c r="L2" s="675"/>
      <c r="M2" s="676"/>
    </row>
    <row r="3" spans="1:14" x14ac:dyDescent="0.2">
      <c r="A3" s="665" t="s">
        <v>285</v>
      </c>
      <c r="B3" s="666"/>
      <c r="C3" s="666"/>
      <c r="D3" s="666"/>
      <c r="E3" s="666"/>
      <c r="F3" s="666"/>
      <c r="G3" s="666"/>
      <c r="H3" s="666"/>
      <c r="I3" s="666"/>
      <c r="J3" s="666"/>
      <c r="K3" s="666"/>
      <c r="L3" s="666"/>
      <c r="M3" s="667"/>
    </row>
    <row r="4" spans="1:14" ht="48" x14ac:dyDescent="0.2">
      <c r="A4" s="139"/>
      <c r="B4" s="140">
        <v>2016</v>
      </c>
      <c r="C4" s="140">
        <v>2017</v>
      </c>
      <c r="D4" s="140">
        <v>2018</v>
      </c>
      <c r="E4" s="140">
        <v>2019</v>
      </c>
      <c r="F4" s="140">
        <v>2020</v>
      </c>
      <c r="G4" s="140">
        <v>2021</v>
      </c>
      <c r="H4" s="140">
        <f>+G4+1</f>
        <v>2022</v>
      </c>
      <c r="I4" s="140">
        <f t="shared" ref="I4:K4" si="0">+H4+1</f>
        <v>2023</v>
      </c>
      <c r="J4" s="140">
        <f t="shared" si="0"/>
        <v>2024</v>
      </c>
      <c r="K4" s="140">
        <f t="shared" si="0"/>
        <v>2025</v>
      </c>
      <c r="L4" s="141" t="s">
        <v>247</v>
      </c>
      <c r="M4" s="141" t="s">
        <v>288</v>
      </c>
    </row>
    <row r="5" spans="1:14" x14ac:dyDescent="0.2">
      <c r="A5" s="142" t="s">
        <v>187</v>
      </c>
      <c r="B5" s="143">
        <v>0.13200000000000001</v>
      </c>
      <c r="C5" s="143">
        <v>0.13750000000000001</v>
      </c>
      <c r="D5" s="143">
        <v>0.1409</v>
      </c>
      <c r="E5" s="143">
        <v>0.1409</v>
      </c>
      <c r="F5" s="143">
        <v>0.1409</v>
      </c>
      <c r="G5" s="143">
        <v>0.14499999999999999</v>
      </c>
      <c r="H5" s="143">
        <v>0.14499999999999999</v>
      </c>
      <c r="I5" s="143">
        <v>0.15579999999999999</v>
      </c>
      <c r="J5" s="143">
        <v>0.1615</v>
      </c>
      <c r="K5" s="143">
        <v>0.16800000000000001</v>
      </c>
      <c r="L5" s="144">
        <f>+(K5-H5)/H5</f>
        <v>0.15862068965517256</v>
      </c>
      <c r="M5" s="144">
        <f>+L5/3</f>
        <v>5.2873563218390852E-2</v>
      </c>
      <c r="N5" s="145"/>
    </row>
    <row r="6" spans="1:14" x14ac:dyDescent="0.2">
      <c r="A6" s="146" t="s">
        <v>188</v>
      </c>
      <c r="B6" s="143">
        <v>0.1043</v>
      </c>
      <c r="C6" s="143">
        <v>0.1087</v>
      </c>
      <c r="D6" s="143">
        <v>0.1114</v>
      </c>
      <c r="E6" s="143">
        <v>0.1114</v>
      </c>
      <c r="F6" s="143">
        <v>0.1114</v>
      </c>
      <c r="G6" s="143">
        <v>0.11459999999999999</v>
      </c>
      <c r="H6" s="143">
        <v>0.11459999999999999</v>
      </c>
      <c r="I6" s="143">
        <v>0.1231</v>
      </c>
      <c r="J6" s="143">
        <v>0.12759999999999999</v>
      </c>
      <c r="K6" s="143">
        <v>0.13270000000000001</v>
      </c>
      <c r="L6" s="144">
        <f t="shared" ref="L6:L11" si="1">+(K6-H6)/H6</f>
        <v>0.15794066317626546</v>
      </c>
      <c r="M6" s="144">
        <f t="shared" ref="M6:M11" si="2">+L6/3</f>
        <v>5.2646887725421816E-2</v>
      </c>
    </row>
    <row r="7" spans="1:14" x14ac:dyDescent="0.2">
      <c r="A7" s="142" t="s">
        <v>189</v>
      </c>
      <c r="B7" s="143">
        <v>0.1628</v>
      </c>
      <c r="C7" s="143">
        <v>0.1696</v>
      </c>
      <c r="D7" s="143">
        <v>0.1739</v>
      </c>
      <c r="E7" s="143">
        <v>0.1739</v>
      </c>
      <c r="F7" s="143">
        <v>0.1739</v>
      </c>
      <c r="G7" s="143">
        <v>0.1789</v>
      </c>
      <c r="H7" s="143">
        <v>0.1789</v>
      </c>
      <c r="I7" s="143">
        <v>0.19220000000000001</v>
      </c>
      <c r="J7" s="143">
        <v>0.1993</v>
      </c>
      <c r="K7" s="143">
        <v>0.2072</v>
      </c>
      <c r="L7" s="144">
        <f t="shared" si="1"/>
        <v>0.15818893236444936</v>
      </c>
      <c r="M7" s="144">
        <f t="shared" si="2"/>
        <v>5.2729644121483121E-2</v>
      </c>
    </row>
    <row r="8" spans="1:14" x14ac:dyDescent="0.2">
      <c r="A8" s="146" t="s">
        <v>190</v>
      </c>
      <c r="B8" s="143">
        <v>0.10539999999999999</v>
      </c>
      <c r="C8" s="143">
        <v>0.10979999999999999</v>
      </c>
      <c r="D8" s="143">
        <v>0.11260000000000001</v>
      </c>
      <c r="E8" s="143">
        <v>0.11260000000000001</v>
      </c>
      <c r="F8" s="143">
        <v>0.11260000000000001</v>
      </c>
      <c r="G8" s="143">
        <v>0.1159</v>
      </c>
      <c r="H8" s="143">
        <v>0.1159</v>
      </c>
      <c r="I8" s="143">
        <v>0.1245</v>
      </c>
      <c r="J8" s="143">
        <v>0.12909999999999999</v>
      </c>
      <c r="K8" s="143">
        <v>0.13420000000000001</v>
      </c>
      <c r="L8" s="144">
        <f t="shared" si="1"/>
        <v>0.15789473684210534</v>
      </c>
      <c r="M8" s="144">
        <f t="shared" si="2"/>
        <v>5.2631578947368446E-2</v>
      </c>
    </row>
    <row r="9" spans="1:14" x14ac:dyDescent="0.2">
      <c r="A9" s="142" t="s">
        <v>191</v>
      </c>
      <c r="B9" s="143">
        <v>0.15939999999999999</v>
      </c>
      <c r="C9" s="143">
        <v>0.1661</v>
      </c>
      <c r="D9" s="143">
        <v>0.17030000000000001</v>
      </c>
      <c r="E9" s="143">
        <v>0.17030000000000001</v>
      </c>
      <c r="F9" s="143">
        <v>0.17030000000000001</v>
      </c>
      <c r="G9" s="143">
        <v>0.17519999999999999</v>
      </c>
      <c r="H9" s="143">
        <v>0.17519999999999999</v>
      </c>
      <c r="I9" s="143">
        <v>0.18820000000000001</v>
      </c>
      <c r="J9" s="143">
        <v>0.1951</v>
      </c>
      <c r="K9" s="143">
        <v>0.2029</v>
      </c>
      <c r="L9" s="144">
        <f t="shared" si="1"/>
        <v>0.15810502283105024</v>
      </c>
      <c r="M9" s="144">
        <f t="shared" si="2"/>
        <v>5.2701674277016747E-2</v>
      </c>
    </row>
    <row r="10" spans="1:14" x14ac:dyDescent="0.2">
      <c r="A10" s="146" t="s">
        <v>192</v>
      </c>
      <c r="B10" s="143">
        <v>0.79</v>
      </c>
      <c r="C10" s="143">
        <v>8.2299999999999998E-2</v>
      </c>
      <c r="D10" s="143">
        <v>8.4400000000000003E-2</v>
      </c>
      <c r="E10" s="143">
        <v>8.4400000000000003E-2</v>
      </c>
      <c r="F10" s="143">
        <v>8.4400000000000003E-2</v>
      </c>
      <c r="G10" s="143">
        <v>8.6800000000000002E-2</v>
      </c>
      <c r="H10" s="143">
        <v>8.6800000000000002E-2</v>
      </c>
      <c r="I10" s="143">
        <v>9.3299999999999994E-2</v>
      </c>
      <c r="J10" s="143">
        <v>9.6699999999999994E-2</v>
      </c>
      <c r="K10" s="143">
        <v>0.10050000000000001</v>
      </c>
      <c r="L10" s="144">
        <f t="shared" si="1"/>
        <v>0.15783410138248852</v>
      </c>
      <c r="M10" s="144">
        <f t="shared" si="2"/>
        <v>5.2611367127496173E-2</v>
      </c>
    </row>
    <row r="11" spans="1:14" x14ac:dyDescent="0.2">
      <c r="A11" s="146" t="s">
        <v>10</v>
      </c>
      <c r="B11" s="143">
        <v>6.3899999999999998E-2</v>
      </c>
      <c r="C11" s="143">
        <v>6.7299999999999999E-2</v>
      </c>
      <c r="D11" s="143">
        <v>6.8599999999999994E-2</v>
      </c>
      <c r="E11" s="143">
        <v>6.8599999999999994E-2</v>
      </c>
      <c r="F11" s="143">
        <v>6.8599999999999994E-2</v>
      </c>
      <c r="G11" s="143">
        <v>6.9800000000000001E-2</v>
      </c>
      <c r="H11" s="143">
        <v>6.9800000000000001E-2</v>
      </c>
      <c r="I11" s="143">
        <v>7.7399999999999997E-2</v>
      </c>
      <c r="J11" s="143">
        <v>0.08</v>
      </c>
      <c r="K11" s="143">
        <v>8.3199999999999996E-2</v>
      </c>
      <c r="L11" s="144">
        <f t="shared" si="1"/>
        <v>0.19197707736389677</v>
      </c>
      <c r="M11" s="144">
        <f t="shared" si="2"/>
        <v>6.3992359121298928E-2</v>
      </c>
    </row>
    <row r="13" spans="1:14" x14ac:dyDescent="0.2">
      <c r="A13" s="668" t="s">
        <v>450</v>
      </c>
      <c r="B13" s="669"/>
      <c r="C13" s="669"/>
      <c r="D13" s="669"/>
      <c r="E13" s="669"/>
      <c r="F13" s="669"/>
      <c r="G13" s="669"/>
      <c r="H13" s="669"/>
      <c r="I13" s="669"/>
      <c r="J13" s="669"/>
      <c r="K13" s="669"/>
      <c r="L13" s="670"/>
    </row>
    <row r="14" spans="1:14" x14ac:dyDescent="0.2">
      <c r="A14" s="677" t="s">
        <v>634</v>
      </c>
      <c r="B14" s="678"/>
      <c r="C14" s="678"/>
      <c r="D14" s="678"/>
      <c r="E14" s="678"/>
      <c r="F14" s="678"/>
      <c r="G14" s="678"/>
      <c r="H14" s="678"/>
      <c r="I14" s="678"/>
      <c r="J14" s="678"/>
      <c r="K14" s="678"/>
      <c r="L14" s="679"/>
    </row>
    <row r="15" spans="1:14" x14ac:dyDescent="0.2">
      <c r="A15" s="671" t="s">
        <v>285</v>
      </c>
      <c r="B15" s="672"/>
      <c r="C15" s="672"/>
      <c r="D15" s="672"/>
      <c r="E15" s="672"/>
      <c r="F15" s="672"/>
      <c r="G15" s="672"/>
      <c r="H15" s="672"/>
      <c r="I15" s="672"/>
      <c r="J15" s="672"/>
      <c r="K15" s="672"/>
      <c r="L15" s="673"/>
    </row>
    <row r="16" spans="1:14" ht="48" x14ac:dyDescent="0.2">
      <c r="A16" s="139"/>
      <c r="B16" s="140">
        <v>2016</v>
      </c>
      <c r="C16" s="140">
        <v>2017</v>
      </c>
      <c r="D16" s="140">
        <v>2018</v>
      </c>
      <c r="E16" s="140">
        <v>2019</v>
      </c>
      <c r="F16" s="140">
        <v>2020</v>
      </c>
      <c r="G16" s="140">
        <v>2021</v>
      </c>
      <c r="H16" s="140">
        <f>+H4</f>
        <v>2022</v>
      </c>
      <c r="I16" s="140">
        <f>+I4</f>
        <v>2023</v>
      </c>
      <c r="J16" s="140">
        <f>+J4</f>
        <v>2024</v>
      </c>
      <c r="K16" s="140">
        <f>+K4</f>
        <v>2025</v>
      </c>
      <c r="L16" s="141" t="s">
        <v>247</v>
      </c>
    </row>
    <row r="17" spans="1:14" x14ac:dyDescent="0.2">
      <c r="A17" s="149" t="s">
        <v>193</v>
      </c>
      <c r="B17" s="143">
        <v>2.0579999999999999E-3</v>
      </c>
      <c r="C17" s="143">
        <v>1.188E-3</v>
      </c>
      <c r="D17" s="143">
        <v>5.7499999999999999E-4</v>
      </c>
      <c r="E17" s="143">
        <v>5.7499999999999999E-4</v>
      </c>
      <c r="F17" s="143">
        <v>5.7499999999999999E-4</v>
      </c>
      <c r="G17" s="143">
        <v>0</v>
      </c>
      <c r="H17" s="208">
        <v>4.0200000000000001E-3</v>
      </c>
      <c r="I17" s="208">
        <v>4.8599999999999997E-3</v>
      </c>
      <c r="J17" s="208">
        <v>3.16E-3</v>
      </c>
      <c r="K17" s="208">
        <v>2.2899999999999999E-3</v>
      </c>
      <c r="L17" s="144">
        <f>+(K17-H17)/H17</f>
        <v>-0.4303482587064677</v>
      </c>
    </row>
    <row r="18" spans="1:14" x14ac:dyDescent="0.2">
      <c r="A18" s="149" t="s">
        <v>206</v>
      </c>
      <c r="B18" s="143">
        <v>-4.0969999999999999E-3</v>
      </c>
      <c r="C18" s="143">
        <v>-4.7320000000000001E-3</v>
      </c>
      <c r="D18" s="143">
        <v>-3.4450000000000001E-3</v>
      </c>
      <c r="E18" s="143">
        <v>-3.4451529999999998E-3</v>
      </c>
      <c r="F18" s="143">
        <v>-3.4451529999999998E-3</v>
      </c>
      <c r="G18" s="143">
        <v>-7.3200000000000001E-4</v>
      </c>
      <c r="H18" s="208">
        <v>-6.9999999999999999E-4</v>
      </c>
      <c r="I18" s="208">
        <v>-1.4499999999999999E-3</v>
      </c>
      <c r="J18" s="208">
        <v>0</v>
      </c>
      <c r="K18" s="208">
        <v>0</v>
      </c>
      <c r="L18" s="150" t="s">
        <v>448</v>
      </c>
    </row>
    <row r="19" spans="1:14" x14ac:dyDescent="0.2">
      <c r="A19" s="149" t="s">
        <v>194</v>
      </c>
      <c r="B19" s="143">
        <v>5.3600000000000002E-3</v>
      </c>
      <c r="C19" s="143">
        <v>5.3600000000000002E-3</v>
      </c>
      <c r="D19" s="143">
        <v>5.3600000000000002E-3</v>
      </c>
      <c r="E19" s="143">
        <v>5.3600000000000002E-3</v>
      </c>
      <c r="F19" s="151">
        <v>5.3599999977977505E-3</v>
      </c>
      <c r="G19" s="151">
        <v>3.5860000000000002E-3</v>
      </c>
      <c r="H19" s="209">
        <v>3.5999999999999999E-3</v>
      </c>
      <c r="I19" s="209">
        <v>0</v>
      </c>
      <c r="J19" s="209">
        <v>0</v>
      </c>
      <c r="K19" s="209">
        <v>0</v>
      </c>
      <c r="L19" s="150" t="s">
        <v>448</v>
      </c>
    </row>
    <row r="20" spans="1:14" x14ac:dyDescent="0.2">
      <c r="A20" s="149" t="s">
        <v>195</v>
      </c>
      <c r="B20" s="143">
        <v>0</v>
      </c>
      <c r="C20" s="143">
        <v>0</v>
      </c>
      <c r="D20" s="143">
        <v>0</v>
      </c>
      <c r="E20" s="143">
        <v>0</v>
      </c>
      <c r="F20" s="143">
        <v>0</v>
      </c>
      <c r="G20" s="143">
        <v>1.3489999999999999E-3</v>
      </c>
      <c r="H20" s="208">
        <v>1.2999999999999999E-3</v>
      </c>
      <c r="I20" s="208">
        <v>0</v>
      </c>
      <c r="J20" s="208">
        <v>5.5999999999999995E-4</v>
      </c>
      <c r="K20" s="208">
        <v>1.2099999999999999E-3</v>
      </c>
      <c r="L20" s="144">
        <f t="shared" ref="L20:L22" si="3">+(J20-G20)/G20</f>
        <v>-0.58487768717568567</v>
      </c>
    </row>
    <row r="21" spans="1:14" hidden="1" x14ac:dyDescent="0.2">
      <c r="A21" s="149" t="s">
        <v>196</v>
      </c>
      <c r="B21" s="143">
        <v>2.7E-4</v>
      </c>
      <c r="C21" s="143">
        <v>2.7E-4</v>
      </c>
      <c r="D21" s="143">
        <v>2.7E-4</v>
      </c>
      <c r="E21" s="143">
        <v>2.7E-4</v>
      </c>
      <c r="F21" s="143">
        <v>2.7E-4</v>
      </c>
      <c r="G21" s="143">
        <v>0</v>
      </c>
      <c r="H21" s="208">
        <v>0</v>
      </c>
      <c r="I21" s="208">
        <v>0</v>
      </c>
      <c r="J21" s="208">
        <v>0</v>
      </c>
      <c r="K21" s="208">
        <v>0</v>
      </c>
      <c r="L21" s="144" t="e">
        <f t="shared" si="3"/>
        <v>#DIV/0!</v>
      </c>
    </row>
    <row r="22" spans="1:14" x14ac:dyDescent="0.2">
      <c r="A22" s="152" t="s">
        <v>197</v>
      </c>
      <c r="B22" s="153">
        <v>3.5999999999999999E-3</v>
      </c>
      <c r="C22" s="153">
        <v>2.0999999999999999E-3</v>
      </c>
      <c r="D22" s="153">
        <v>2.8E-3</v>
      </c>
      <c r="E22" s="153">
        <v>2.8E-3</v>
      </c>
      <c r="F22" s="153">
        <v>2.8E-3</v>
      </c>
      <c r="G22" s="153">
        <f>ROUND(SUM(G17:G21),4)</f>
        <v>4.1999999999999997E-3</v>
      </c>
      <c r="H22" s="210">
        <f>ROUND(SUM(H17:H21),5)</f>
        <v>8.2199999999999999E-3</v>
      </c>
      <c r="I22" s="210">
        <f>ROUND(SUM(I17:I21),5)</f>
        <v>3.4099999999999998E-3</v>
      </c>
      <c r="J22" s="210">
        <f>ROUND(SUM(J17:J21),5)</f>
        <v>3.7200000000000002E-3</v>
      </c>
      <c r="K22" s="210">
        <f>ROUND(SUM(K17:K21),5)</f>
        <v>3.5000000000000001E-3</v>
      </c>
      <c r="L22" s="144">
        <f t="shared" si="3"/>
        <v>-0.11428571428571419</v>
      </c>
    </row>
    <row r="24" spans="1:14" x14ac:dyDescent="0.2">
      <c r="A24" s="668" t="s">
        <v>451</v>
      </c>
      <c r="B24" s="669"/>
      <c r="C24" s="669"/>
      <c r="D24" s="669"/>
      <c r="E24" s="669"/>
      <c r="F24" s="669"/>
      <c r="G24" s="669"/>
      <c r="H24" s="669"/>
      <c r="I24" s="669"/>
      <c r="J24" s="669"/>
      <c r="K24" s="669"/>
      <c r="L24" s="669"/>
      <c r="M24" s="670"/>
    </row>
    <row r="25" spans="1:14" x14ac:dyDescent="0.2">
      <c r="A25" s="674" t="s">
        <v>284</v>
      </c>
      <c r="B25" s="675"/>
      <c r="C25" s="675"/>
      <c r="D25" s="675"/>
      <c r="E25" s="675"/>
      <c r="F25" s="675"/>
      <c r="G25" s="675"/>
      <c r="H25" s="675"/>
      <c r="I25" s="675"/>
      <c r="J25" s="675"/>
      <c r="K25" s="675"/>
      <c r="L25" s="675"/>
      <c r="M25" s="676"/>
    </row>
    <row r="26" spans="1:14" x14ac:dyDescent="0.2">
      <c r="A26" s="665" t="s">
        <v>285</v>
      </c>
      <c r="B26" s="666"/>
      <c r="C26" s="666"/>
      <c r="D26" s="666"/>
      <c r="E26" s="666"/>
      <c r="F26" s="666"/>
      <c r="G26" s="666"/>
      <c r="H26" s="666"/>
      <c r="I26" s="666"/>
      <c r="J26" s="666"/>
      <c r="K26" s="666"/>
      <c r="L26" s="666"/>
      <c r="M26" s="667"/>
    </row>
    <row r="27" spans="1:14" ht="48" x14ac:dyDescent="0.2">
      <c r="A27" s="139"/>
      <c r="B27" s="140">
        <v>2016</v>
      </c>
      <c r="C27" s="140">
        <v>2017</v>
      </c>
      <c r="D27" s="140">
        <v>2018</v>
      </c>
      <c r="E27" s="140">
        <v>2019</v>
      </c>
      <c r="F27" s="140">
        <v>2020</v>
      </c>
      <c r="G27" s="140">
        <v>2021</v>
      </c>
      <c r="H27" s="140">
        <f>+H4</f>
        <v>2022</v>
      </c>
      <c r="I27" s="140">
        <f>+I4</f>
        <v>2023</v>
      </c>
      <c r="J27" s="140">
        <f>+J4</f>
        <v>2024</v>
      </c>
      <c r="K27" s="140">
        <f>+K4</f>
        <v>2025</v>
      </c>
      <c r="L27" s="141" t="str">
        <f>+L16</f>
        <v>Cumulative Change over 2022 Rates</v>
      </c>
      <c r="M27" s="141" t="str">
        <f>+M4</f>
        <v>Average Annual Variance</v>
      </c>
    </row>
    <row r="28" spans="1:14" x14ac:dyDescent="0.2">
      <c r="A28" s="142" t="s">
        <v>187</v>
      </c>
      <c r="B28" s="143">
        <f t="shared" ref="B28:K28" si="4">B5+B$22</f>
        <v>0.1356</v>
      </c>
      <c r="C28" s="143">
        <f t="shared" si="4"/>
        <v>0.1396</v>
      </c>
      <c r="D28" s="143">
        <f t="shared" si="4"/>
        <v>0.14369999999999999</v>
      </c>
      <c r="E28" s="143">
        <f t="shared" si="4"/>
        <v>0.14369999999999999</v>
      </c>
      <c r="F28" s="143">
        <f t="shared" si="4"/>
        <v>0.14369999999999999</v>
      </c>
      <c r="G28" s="143">
        <f t="shared" si="4"/>
        <v>0.1492</v>
      </c>
      <c r="H28" s="143">
        <f t="shared" si="4"/>
        <v>0.15322</v>
      </c>
      <c r="I28" s="143">
        <f t="shared" si="4"/>
        <v>0.15920999999999999</v>
      </c>
      <c r="J28" s="143">
        <f t="shared" si="4"/>
        <v>0.16522000000000001</v>
      </c>
      <c r="K28" s="143">
        <f t="shared" si="4"/>
        <v>0.17150000000000001</v>
      </c>
      <c r="L28" s="144">
        <f t="shared" ref="L28:L34" si="5">+(K28-H28)/H28</f>
        <v>0.11930557368489765</v>
      </c>
      <c r="M28" s="144">
        <f t="shared" ref="M28:M34" si="6">+L28/3</f>
        <v>3.9768524561632553E-2</v>
      </c>
      <c r="N28" s="145"/>
    </row>
    <row r="29" spans="1:14" x14ac:dyDescent="0.2">
      <c r="A29" s="146" t="s">
        <v>188</v>
      </c>
      <c r="B29" s="143">
        <f t="shared" ref="B29:K29" si="7">B6+B$22</f>
        <v>0.10790000000000001</v>
      </c>
      <c r="C29" s="143">
        <f t="shared" si="7"/>
        <v>0.11080000000000001</v>
      </c>
      <c r="D29" s="143">
        <f t="shared" si="7"/>
        <v>0.1142</v>
      </c>
      <c r="E29" s="143">
        <f t="shared" si="7"/>
        <v>0.1142</v>
      </c>
      <c r="F29" s="143">
        <f t="shared" si="7"/>
        <v>0.1142</v>
      </c>
      <c r="G29" s="143">
        <f t="shared" si="7"/>
        <v>0.11879999999999999</v>
      </c>
      <c r="H29" s="143">
        <f t="shared" si="7"/>
        <v>0.12282</v>
      </c>
      <c r="I29" s="143">
        <f t="shared" si="7"/>
        <v>0.12651000000000001</v>
      </c>
      <c r="J29" s="143">
        <f t="shared" si="7"/>
        <v>0.13131999999999999</v>
      </c>
      <c r="K29" s="143">
        <f t="shared" si="7"/>
        <v>0.13620000000000002</v>
      </c>
      <c r="L29" s="144">
        <f t="shared" si="5"/>
        <v>0.10893991206643883</v>
      </c>
      <c r="M29" s="144">
        <f t="shared" si="6"/>
        <v>3.6313304022146276E-2</v>
      </c>
    </row>
    <row r="30" spans="1:14" x14ac:dyDescent="0.2">
      <c r="A30" s="142" t="s">
        <v>189</v>
      </c>
      <c r="B30" s="143">
        <f t="shared" ref="B30:K30" si="8">B7+B$22</f>
        <v>0.16639999999999999</v>
      </c>
      <c r="C30" s="143">
        <f t="shared" si="8"/>
        <v>0.17169999999999999</v>
      </c>
      <c r="D30" s="143">
        <f t="shared" si="8"/>
        <v>0.1767</v>
      </c>
      <c r="E30" s="143">
        <f t="shared" si="8"/>
        <v>0.1767</v>
      </c>
      <c r="F30" s="143">
        <f t="shared" si="8"/>
        <v>0.1767</v>
      </c>
      <c r="G30" s="143">
        <f t="shared" si="8"/>
        <v>0.18310000000000001</v>
      </c>
      <c r="H30" s="143">
        <f t="shared" si="8"/>
        <v>0.18712000000000001</v>
      </c>
      <c r="I30" s="143">
        <f t="shared" si="8"/>
        <v>0.19561000000000001</v>
      </c>
      <c r="J30" s="143">
        <f t="shared" si="8"/>
        <v>0.20302000000000001</v>
      </c>
      <c r="K30" s="143">
        <f t="shared" si="8"/>
        <v>0.2107</v>
      </c>
      <c r="L30" s="144">
        <f t="shared" si="5"/>
        <v>0.12601539119281738</v>
      </c>
      <c r="M30" s="144">
        <f t="shared" si="6"/>
        <v>4.200513039760579E-2</v>
      </c>
    </row>
    <row r="31" spans="1:14" x14ac:dyDescent="0.2">
      <c r="A31" s="146" t="s">
        <v>190</v>
      </c>
      <c r="B31" s="143">
        <f t="shared" ref="B31:K31" si="9">B8+B$22</f>
        <v>0.109</v>
      </c>
      <c r="C31" s="143">
        <f t="shared" si="9"/>
        <v>0.1119</v>
      </c>
      <c r="D31" s="143">
        <f t="shared" si="9"/>
        <v>0.1154</v>
      </c>
      <c r="E31" s="143">
        <f t="shared" si="9"/>
        <v>0.1154</v>
      </c>
      <c r="F31" s="143">
        <f t="shared" si="9"/>
        <v>0.1154</v>
      </c>
      <c r="G31" s="143">
        <f t="shared" si="9"/>
        <v>0.1201</v>
      </c>
      <c r="H31" s="143">
        <f t="shared" si="9"/>
        <v>0.12412000000000001</v>
      </c>
      <c r="I31" s="143">
        <f t="shared" si="9"/>
        <v>0.12791</v>
      </c>
      <c r="J31" s="143">
        <f t="shared" si="9"/>
        <v>0.13281999999999999</v>
      </c>
      <c r="K31" s="143">
        <f t="shared" si="9"/>
        <v>0.13770000000000002</v>
      </c>
      <c r="L31" s="144">
        <f t="shared" si="5"/>
        <v>0.10941024814695462</v>
      </c>
      <c r="M31" s="144">
        <f t="shared" si="6"/>
        <v>3.6470082715651539E-2</v>
      </c>
    </row>
    <row r="32" spans="1:14" x14ac:dyDescent="0.2">
      <c r="A32" s="142" t="s">
        <v>191</v>
      </c>
      <c r="B32" s="143">
        <f t="shared" ref="B32:K32" si="10">B9+B$22</f>
        <v>0.16299999999999998</v>
      </c>
      <c r="C32" s="143">
        <f t="shared" si="10"/>
        <v>0.16819999999999999</v>
      </c>
      <c r="D32" s="143">
        <f t="shared" si="10"/>
        <v>0.1731</v>
      </c>
      <c r="E32" s="143">
        <f t="shared" si="10"/>
        <v>0.1731</v>
      </c>
      <c r="F32" s="143">
        <f t="shared" si="10"/>
        <v>0.1731</v>
      </c>
      <c r="G32" s="143">
        <f t="shared" si="10"/>
        <v>0.1794</v>
      </c>
      <c r="H32" s="143">
        <f t="shared" si="10"/>
        <v>0.18342</v>
      </c>
      <c r="I32" s="143">
        <f t="shared" si="10"/>
        <v>0.19161</v>
      </c>
      <c r="J32" s="143">
        <f t="shared" si="10"/>
        <v>0.19882</v>
      </c>
      <c r="K32" s="143">
        <f t="shared" si="10"/>
        <v>0.2064</v>
      </c>
      <c r="L32" s="144">
        <f t="shared" si="5"/>
        <v>0.12528622832842656</v>
      </c>
      <c r="M32" s="144">
        <f t="shared" si="6"/>
        <v>4.1762076109475521E-2</v>
      </c>
    </row>
    <row r="33" spans="1:13" x14ac:dyDescent="0.2">
      <c r="A33" s="146" t="s">
        <v>192</v>
      </c>
      <c r="B33" s="143">
        <f t="shared" ref="B33:K33" si="11">B10+B$22</f>
        <v>0.79360000000000008</v>
      </c>
      <c r="C33" s="143">
        <f t="shared" si="11"/>
        <v>8.4400000000000003E-2</v>
      </c>
      <c r="D33" s="143">
        <f t="shared" si="11"/>
        <v>8.72E-2</v>
      </c>
      <c r="E33" s="143">
        <f t="shared" si="11"/>
        <v>8.72E-2</v>
      </c>
      <c r="F33" s="143">
        <f t="shared" si="11"/>
        <v>8.72E-2</v>
      </c>
      <c r="G33" s="143">
        <f t="shared" si="11"/>
        <v>9.0999999999999998E-2</v>
      </c>
      <c r="H33" s="143">
        <f t="shared" si="11"/>
        <v>9.5020000000000007E-2</v>
      </c>
      <c r="I33" s="143">
        <f t="shared" si="11"/>
        <v>9.670999999999999E-2</v>
      </c>
      <c r="J33" s="143">
        <f t="shared" si="11"/>
        <v>0.10042</v>
      </c>
      <c r="K33" s="143">
        <f t="shared" si="11"/>
        <v>0.10400000000000001</v>
      </c>
      <c r="L33" s="144">
        <f>+(K33-H33)/H33</f>
        <v>9.4506419701115563E-2</v>
      </c>
      <c r="M33" s="144">
        <f t="shared" si="6"/>
        <v>3.1502139900371852E-2</v>
      </c>
    </row>
    <row r="34" spans="1:13" x14ac:dyDescent="0.2">
      <c r="A34" s="146" t="s">
        <v>10</v>
      </c>
      <c r="B34" s="143">
        <f t="shared" ref="B34:K34" si="12">B11+B$22</f>
        <v>6.7500000000000004E-2</v>
      </c>
      <c r="C34" s="143">
        <f t="shared" si="12"/>
        <v>6.9400000000000003E-2</v>
      </c>
      <c r="D34" s="143">
        <f t="shared" si="12"/>
        <v>7.1399999999999991E-2</v>
      </c>
      <c r="E34" s="143">
        <f t="shared" si="12"/>
        <v>7.1399999999999991E-2</v>
      </c>
      <c r="F34" s="143">
        <f t="shared" si="12"/>
        <v>7.1399999999999991E-2</v>
      </c>
      <c r="G34" s="143">
        <f t="shared" si="12"/>
        <v>7.3999999999999996E-2</v>
      </c>
      <c r="H34" s="143">
        <f t="shared" si="12"/>
        <v>7.8020000000000006E-2</v>
      </c>
      <c r="I34" s="143">
        <f t="shared" si="12"/>
        <v>8.0809999999999993E-2</v>
      </c>
      <c r="J34" s="143">
        <f t="shared" si="12"/>
        <v>8.3720000000000003E-2</v>
      </c>
      <c r="K34" s="143">
        <f t="shared" si="12"/>
        <v>8.6699999999999999E-2</v>
      </c>
      <c r="L34" s="144">
        <f t="shared" si="5"/>
        <v>0.11125352473724677</v>
      </c>
      <c r="M34" s="144">
        <f t="shared" si="6"/>
        <v>3.7084508245748923E-2</v>
      </c>
    </row>
    <row r="36" spans="1:13" x14ac:dyDescent="0.2">
      <c r="H36" s="154"/>
    </row>
    <row r="37" spans="1:13" x14ac:dyDescent="0.2">
      <c r="H37" s="154"/>
    </row>
    <row r="38" spans="1:13" x14ac:dyDescent="0.2">
      <c r="H38" s="154"/>
    </row>
    <row r="39" spans="1:13" x14ac:dyDescent="0.2">
      <c r="H39" s="154"/>
    </row>
    <row r="40" spans="1:13" x14ac:dyDescent="0.2">
      <c r="H40" s="154"/>
    </row>
    <row r="41" spans="1:13" x14ac:dyDescent="0.2">
      <c r="H41" s="154"/>
    </row>
    <row r="42" spans="1:13" x14ac:dyDescent="0.2">
      <c r="H42" s="154"/>
    </row>
  </sheetData>
  <mergeCells count="9">
    <mergeCell ref="A3:M3"/>
    <mergeCell ref="A26:M26"/>
    <mergeCell ref="A1:M1"/>
    <mergeCell ref="A24:M24"/>
    <mergeCell ref="A13:L13"/>
    <mergeCell ref="A15:L15"/>
    <mergeCell ref="A2:M2"/>
    <mergeCell ref="A14:L14"/>
    <mergeCell ref="A25:M25"/>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A2:L141"/>
  <sheetViews>
    <sheetView topLeftCell="A23" workbookViewId="0">
      <selection activeCell="H73" sqref="H73"/>
    </sheetView>
  </sheetViews>
  <sheetFormatPr defaultRowHeight="12.75" x14ac:dyDescent="0.2"/>
  <cols>
    <col min="1" max="1" width="51.5703125" style="155" bestFit="1" customWidth="1"/>
    <col min="2" max="5" width="11.28515625" style="155" hidden="1" customWidth="1"/>
    <col min="6" max="6" width="12.85546875" style="155" bestFit="1" customWidth="1"/>
    <col min="7" max="9" width="15.5703125" style="155" customWidth="1"/>
    <col min="10" max="10" width="10.5703125" style="155" bestFit="1" customWidth="1"/>
    <col min="11" max="16384" width="9.140625" style="155"/>
  </cols>
  <sheetData>
    <row r="2" spans="1:9" x14ac:dyDescent="0.2">
      <c r="A2" s="690" t="s">
        <v>452</v>
      </c>
      <c r="B2" s="691"/>
      <c r="C2" s="691"/>
      <c r="D2" s="691"/>
      <c r="E2" s="691"/>
      <c r="F2" s="691"/>
      <c r="G2" s="691"/>
      <c r="H2" s="691"/>
      <c r="I2" s="692"/>
    </row>
    <row r="3" spans="1:9" x14ac:dyDescent="0.2">
      <c r="A3" s="683" t="s">
        <v>455</v>
      </c>
      <c r="B3" s="684"/>
      <c r="C3" s="684"/>
      <c r="D3" s="684"/>
      <c r="E3" s="684"/>
      <c r="F3" s="684"/>
      <c r="G3" s="684"/>
      <c r="H3" s="684"/>
      <c r="I3" s="685"/>
    </row>
    <row r="4" spans="1:9" x14ac:dyDescent="0.2">
      <c r="A4" s="683" t="s">
        <v>226</v>
      </c>
      <c r="B4" s="684"/>
      <c r="C4" s="684"/>
      <c r="D4" s="684"/>
      <c r="E4" s="684"/>
      <c r="F4" s="684"/>
      <c r="G4" s="684"/>
      <c r="H4" s="684"/>
      <c r="I4" s="685"/>
    </row>
    <row r="5" spans="1:9" x14ac:dyDescent="0.2">
      <c r="A5" s="686"/>
      <c r="B5" s="156"/>
      <c r="C5" s="156"/>
      <c r="D5" s="156"/>
      <c r="E5" s="156"/>
      <c r="F5" s="157" t="s">
        <v>249</v>
      </c>
      <c r="G5" s="683" t="s">
        <v>248</v>
      </c>
      <c r="H5" s="684"/>
      <c r="I5" s="685"/>
    </row>
    <row r="6" spans="1:9" x14ac:dyDescent="0.2">
      <c r="A6" s="680"/>
      <c r="B6" s="158">
        <f>+'Energy Sales &amp; Revenue'!B4</f>
        <v>2019</v>
      </c>
      <c r="C6" s="158">
        <f>+'Energy Sales &amp; Revenue'!C4</f>
        <v>2020</v>
      </c>
      <c r="D6" s="158">
        <f>+'Energy Sales &amp; Revenue'!D4</f>
        <v>2021</v>
      </c>
      <c r="E6" s="159">
        <f>+'Energy Sales &amp; Revenue'!E4</f>
        <v>2022</v>
      </c>
      <c r="F6" s="157" t="s">
        <v>291</v>
      </c>
      <c r="G6" s="158" t="s">
        <v>292</v>
      </c>
      <c r="H6" s="158" t="s">
        <v>293</v>
      </c>
      <c r="I6" s="158" t="s">
        <v>294</v>
      </c>
    </row>
    <row r="7" spans="1:9" x14ac:dyDescent="0.2">
      <c r="A7" s="160" t="s">
        <v>126</v>
      </c>
      <c r="B7" s="161">
        <v>323.04000000000008</v>
      </c>
      <c r="C7" s="161">
        <v>323.04000000000008</v>
      </c>
      <c r="D7" s="161">
        <v>323.04000000000008</v>
      </c>
      <c r="E7" s="161">
        <v>323.04000000000008</v>
      </c>
      <c r="F7" s="161">
        <v>323.04000000000008</v>
      </c>
      <c r="G7" s="161">
        <v>323.04000000000002</v>
      </c>
      <c r="H7" s="161">
        <v>323.04000000000008</v>
      </c>
      <c r="I7" s="161">
        <v>323.04000000000008</v>
      </c>
    </row>
    <row r="8" spans="1:9" x14ac:dyDescent="0.2">
      <c r="A8" s="136" t="s">
        <v>127</v>
      </c>
      <c r="B8" s="162">
        <v>1099.02</v>
      </c>
      <c r="C8" s="162">
        <v>1099.02</v>
      </c>
      <c r="D8" s="162">
        <v>1103.0175000000002</v>
      </c>
      <c r="E8" s="162">
        <v>1131</v>
      </c>
      <c r="F8" s="162">
        <v>1131</v>
      </c>
      <c r="G8" s="162">
        <v>1211.67</v>
      </c>
      <c r="H8" s="162">
        <v>1257.8150000000001</v>
      </c>
      <c r="I8" s="162">
        <v>1308.2550000000003</v>
      </c>
    </row>
    <row r="9" spans="1:9" x14ac:dyDescent="0.2">
      <c r="A9" s="136" t="s">
        <v>128</v>
      </c>
      <c r="B9" s="162">
        <v>4.4849999999999994</v>
      </c>
      <c r="C9" s="162">
        <v>4.49</v>
      </c>
      <c r="D9" s="162">
        <v>3.9243749999999991</v>
      </c>
      <c r="E9" s="162">
        <v>0</v>
      </c>
      <c r="F9" s="162">
        <v>30.049499999999998</v>
      </c>
      <c r="G9" s="162">
        <v>37.64</v>
      </c>
      <c r="H9" s="162">
        <v>25.200499999999998</v>
      </c>
      <c r="I9" s="162">
        <v>18.144749999999998</v>
      </c>
    </row>
    <row r="10" spans="1:9" x14ac:dyDescent="0.2">
      <c r="A10" s="136" t="s">
        <v>129</v>
      </c>
      <c r="B10" s="162">
        <v>41.807999982822452</v>
      </c>
      <c r="C10" s="160">
        <v>41.81</v>
      </c>
      <c r="D10" s="162">
        <v>40.078349984969648</v>
      </c>
      <c r="E10" s="162">
        <v>27.970800000000001</v>
      </c>
      <c r="F10" s="162">
        <v>27.970800000000001</v>
      </c>
      <c r="G10" s="162">
        <v>1.17</v>
      </c>
      <c r="H10" s="162">
        <v>0</v>
      </c>
      <c r="I10" s="162">
        <v>0</v>
      </c>
    </row>
    <row r="11" spans="1:9" x14ac:dyDescent="0.2">
      <c r="A11" s="136" t="s">
        <v>178</v>
      </c>
      <c r="B11" s="162"/>
      <c r="C11" s="135"/>
      <c r="D11" s="136">
        <v>1.75</v>
      </c>
      <c r="E11" s="163">
        <v>10.5222</v>
      </c>
      <c r="F11" s="162">
        <v>10.5222</v>
      </c>
      <c r="G11" s="162">
        <v>0.44</v>
      </c>
      <c r="H11" s="162">
        <v>4.1859999999999991</v>
      </c>
      <c r="I11" s="162">
        <v>9.2267500000000009</v>
      </c>
    </row>
    <row r="12" spans="1:9" hidden="1" x14ac:dyDescent="0.2">
      <c r="A12" s="136" t="s">
        <v>130</v>
      </c>
      <c r="B12" s="162">
        <v>2.1059999999999999</v>
      </c>
      <c r="C12" s="164">
        <v>2.1059999999999999</v>
      </c>
      <c r="D12" s="162">
        <v>1.4080249999999999</v>
      </c>
      <c r="E12" s="162">
        <v>0</v>
      </c>
      <c r="F12" s="162">
        <v>0</v>
      </c>
      <c r="G12" s="162">
        <v>0</v>
      </c>
      <c r="H12" s="162">
        <v>0</v>
      </c>
      <c r="I12" s="162">
        <v>0</v>
      </c>
    </row>
    <row r="13" spans="1:9" x14ac:dyDescent="0.2">
      <c r="A13" s="136" t="s">
        <v>3</v>
      </c>
      <c r="B13" s="162">
        <v>-26.872170000000001</v>
      </c>
      <c r="C13" s="160">
        <v>-26.872170000000001</v>
      </c>
      <c r="D13" s="162">
        <v>-24.226848750000006</v>
      </c>
      <c r="E13" s="162">
        <v>-5.7095999999999991</v>
      </c>
      <c r="F13" s="162">
        <v>-5.7095999999999991</v>
      </c>
      <c r="G13" s="162">
        <v>-11.08</v>
      </c>
      <c r="H13" s="162">
        <v>-0.47124999999999995</v>
      </c>
      <c r="I13" s="164">
        <v>0</v>
      </c>
    </row>
    <row r="14" spans="1:9" x14ac:dyDescent="0.2">
      <c r="A14" s="137" t="s">
        <v>116</v>
      </c>
      <c r="B14" s="164">
        <f>SUM(B7:B13)+0.01</f>
        <v>1443.5968299828221</v>
      </c>
      <c r="C14" s="162">
        <f>SUM(C7:C13)+0.01</f>
        <v>1443.6038299999998</v>
      </c>
      <c r="D14" s="162">
        <f t="shared" ref="D14:I14" si="0">SUM(D7:D13)</f>
        <v>1448.99140123497</v>
      </c>
      <c r="E14" s="164">
        <f t="shared" si="0"/>
        <v>1486.8234000000002</v>
      </c>
      <c r="F14" s="164">
        <f t="shared" si="0"/>
        <v>1516.8729000000003</v>
      </c>
      <c r="G14" s="164">
        <f>SUM(G7:G13)+0.01</f>
        <v>1562.8900000000003</v>
      </c>
      <c r="H14" s="164">
        <f>SUM(H7:H13)+0.01</f>
        <v>1609.7802499999998</v>
      </c>
      <c r="I14" s="164">
        <f t="shared" si="0"/>
        <v>1658.6665000000005</v>
      </c>
    </row>
    <row r="15" spans="1:9" x14ac:dyDescent="0.2">
      <c r="A15" s="160" t="s">
        <v>131</v>
      </c>
      <c r="B15" s="162">
        <f>+B14*0.15+0.004</f>
        <v>216.54352449742331</v>
      </c>
      <c r="C15" s="162">
        <f>+C14*0.15</f>
        <v>216.54057449999996</v>
      </c>
      <c r="D15" s="162">
        <f>+D14*0.15</f>
        <v>217.34871018524549</v>
      </c>
      <c r="E15" s="162">
        <f>ROUND(+E14*0.15,2)</f>
        <v>223.02</v>
      </c>
      <c r="F15" s="162">
        <f>ROUND(+F14*0.15,2)</f>
        <v>227.53</v>
      </c>
      <c r="G15" s="162">
        <f>ROUND(+G14*0.15,2)</f>
        <v>234.43</v>
      </c>
      <c r="H15" s="162">
        <f t="shared" ref="H15:I15" si="1">ROUND(+H14*0.15,2)</f>
        <v>241.47</v>
      </c>
      <c r="I15" s="162">
        <f t="shared" si="1"/>
        <v>248.8</v>
      </c>
    </row>
    <row r="16" spans="1:9" x14ac:dyDescent="0.2">
      <c r="A16" s="160" t="s">
        <v>250</v>
      </c>
      <c r="B16" s="162">
        <v>-112.05558299828222</v>
      </c>
      <c r="C16" s="162">
        <f>+B16</f>
        <v>-112.05558299828222</v>
      </c>
      <c r="D16" s="162">
        <f>-SUM(D8:D13)*0.1</f>
        <v>-112.59514012349699</v>
      </c>
      <c r="E16" s="162">
        <f>-ROUND(SUM(E8:E13)*0.1,2)</f>
        <v>-116.38</v>
      </c>
      <c r="F16" s="162">
        <f>-ROUND(SUM(F8:F13)*0.1,2)</f>
        <v>-119.38</v>
      </c>
      <c r="G16" s="162">
        <f>-ROUND(SUM(G8:G13)*0.1,2)</f>
        <v>-123.98</v>
      </c>
      <c r="H16" s="162">
        <f t="shared" ref="H16:I16" si="2">-ROUND(SUM(H8:H13)*0.1,2)</f>
        <v>-128.66999999999999</v>
      </c>
      <c r="I16" s="162">
        <f t="shared" si="2"/>
        <v>-133.56</v>
      </c>
    </row>
    <row r="17" spans="1:10" x14ac:dyDescent="0.2">
      <c r="A17" s="165" t="s">
        <v>132</v>
      </c>
      <c r="B17" s="166">
        <f>SUM(B14:B16)</f>
        <v>1548.0847714819631</v>
      </c>
      <c r="C17" s="166">
        <f>SUM(C14:C16)-0.01</f>
        <v>1548.0788215017176</v>
      </c>
      <c r="D17" s="166">
        <f>SUM(D14:D16)</f>
        <v>1553.7449712967184</v>
      </c>
      <c r="E17" s="166">
        <f>SUM(E14:E16)</f>
        <v>1593.4634000000001</v>
      </c>
      <c r="F17" s="166">
        <f>SUM(F14:F16)</f>
        <v>1625.0229000000004</v>
      </c>
      <c r="G17" s="517">
        <f>SUM(G14:G16)-0.001</f>
        <v>1673.3390000000004</v>
      </c>
      <c r="H17" s="166">
        <f t="shared" ref="H17:I17" si="3">SUM(H14:H16)</f>
        <v>1722.5802499999998</v>
      </c>
      <c r="I17" s="166">
        <f t="shared" si="3"/>
        <v>1773.9065000000005</v>
      </c>
    </row>
    <row r="18" spans="1:10" x14ac:dyDescent="0.2">
      <c r="A18" s="165" t="s">
        <v>133</v>
      </c>
      <c r="B18" s="166"/>
      <c r="C18" s="166"/>
      <c r="D18" s="166"/>
      <c r="E18" s="166"/>
      <c r="F18" s="166"/>
      <c r="G18" s="166"/>
      <c r="H18" s="166"/>
      <c r="I18" s="166"/>
    </row>
    <row r="19" spans="1:10" x14ac:dyDescent="0.2">
      <c r="A19" s="165" t="s">
        <v>182</v>
      </c>
      <c r="B19" s="167">
        <v>0</v>
      </c>
      <c r="C19" s="167">
        <f>(C14-B14)/B14</f>
        <v>4.8490111867117179E-6</v>
      </c>
      <c r="D19" s="167">
        <f>(D14-C14)/C14</f>
        <v>3.732028914726702E-3</v>
      </c>
      <c r="E19" s="167">
        <f>(E14-D14)/D14</f>
        <v>2.6109194804597287E-2</v>
      </c>
      <c r="F19" s="167">
        <f>(F14-E14)/E14</f>
        <v>2.0210537445133077E-2</v>
      </c>
      <c r="G19" s="167">
        <f>(G14-F14)/F14</f>
        <v>3.0336819914180035E-2</v>
      </c>
      <c r="H19" s="167">
        <f t="shared" ref="H19:I19" si="4">(H14-G14)/G14</f>
        <v>3.0002271433049964E-2</v>
      </c>
      <c r="I19" s="167">
        <f t="shared" si="4"/>
        <v>3.0368275421443831E-2</v>
      </c>
    </row>
    <row r="20" spans="1:10" x14ac:dyDescent="0.2">
      <c r="A20" s="168" t="s">
        <v>183</v>
      </c>
      <c r="B20" s="167">
        <v>-2.4051479278496109E-2</v>
      </c>
      <c r="C20" s="167">
        <f t="shared" ref="C20:H20" si="5">(C17-B17)/B17</f>
        <v>-3.8434460148046124E-6</v>
      </c>
      <c r="D20" s="167">
        <f t="shared" si="5"/>
        <v>3.6601171182642739E-3</v>
      </c>
      <c r="E20" s="167">
        <f t="shared" si="5"/>
        <v>2.5563029607190708E-2</v>
      </c>
      <c r="F20" s="167">
        <f t="shared" si="5"/>
        <v>1.980560080639461E-2</v>
      </c>
      <c r="G20" s="167">
        <f t="shared" si="5"/>
        <v>2.9732565614921484E-2</v>
      </c>
      <c r="H20" s="167">
        <f t="shared" si="5"/>
        <v>2.9426942179677486E-2</v>
      </c>
      <c r="I20" s="167">
        <f t="shared" ref="I20" si="6">(I17-H17)/H17</f>
        <v>2.9796144475707744E-2</v>
      </c>
    </row>
    <row r="21" spans="1:10" x14ac:dyDescent="0.2">
      <c r="A21" s="169"/>
      <c r="B21" s="170"/>
      <c r="C21" s="170"/>
      <c r="D21" s="170"/>
      <c r="E21" s="170"/>
      <c r="F21" s="170"/>
      <c r="G21" s="170"/>
      <c r="H21" s="170"/>
      <c r="I21" s="170"/>
    </row>
    <row r="22" spans="1:10" hidden="1" x14ac:dyDescent="0.2">
      <c r="A22" s="169" t="s">
        <v>186</v>
      </c>
      <c r="B22" s="171"/>
      <c r="C22" s="171"/>
      <c r="D22" s="171"/>
      <c r="E22" s="171"/>
      <c r="F22" s="171"/>
      <c r="G22" s="171"/>
      <c r="H22" s="171"/>
      <c r="I22" s="171"/>
    </row>
    <row r="23" spans="1:10" x14ac:dyDescent="0.2">
      <c r="A23" s="133"/>
      <c r="B23" s="133"/>
      <c r="C23" s="133"/>
      <c r="D23" s="133"/>
      <c r="E23" s="133"/>
      <c r="F23" s="133"/>
      <c r="G23" s="133"/>
      <c r="H23" s="133"/>
      <c r="I23" s="133"/>
    </row>
    <row r="24" spans="1:10" hidden="1" x14ac:dyDescent="0.2">
      <c r="A24" s="133"/>
      <c r="B24" s="133"/>
      <c r="C24" s="133"/>
      <c r="D24" s="133"/>
      <c r="E24" s="133">
        <v>20</v>
      </c>
      <c r="F24" s="133">
        <v>1000</v>
      </c>
      <c r="G24" s="133">
        <f>+E24*12</f>
        <v>240</v>
      </c>
      <c r="H24" s="133"/>
      <c r="I24" s="133">
        <f>+F24*12</f>
        <v>12000</v>
      </c>
    </row>
    <row r="25" spans="1:10" hidden="1" x14ac:dyDescent="0.2">
      <c r="A25" s="133"/>
      <c r="B25" s="133"/>
      <c r="C25" s="133"/>
      <c r="D25" s="133"/>
      <c r="E25" s="133"/>
      <c r="F25" s="133"/>
      <c r="G25" s="133"/>
      <c r="H25" s="133"/>
      <c r="I25" s="133"/>
    </row>
    <row r="26" spans="1:10" hidden="1" x14ac:dyDescent="0.2">
      <c r="A26" s="133"/>
      <c r="B26" s="133">
        <v>2013</v>
      </c>
      <c r="C26" s="133"/>
      <c r="D26" s="133"/>
      <c r="E26" s="133">
        <v>2014</v>
      </c>
      <c r="F26" s="133">
        <v>2015</v>
      </c>
      <c r="G26" s="133">
        <v>2016</v>
      </c>
      <c r="H26" s="133"/>
      <c r="I26" s="133">
        <v>2017</v>
      </c>
      <c r="J26" s="155">
        <v>2018</v>
      </c>
    </row>
    <row r="27" spans="1:10" hidden="1" x14ac:dyDescent="0.2">
      <c r="A27" s="64" t="s">
        <v>126</v>
      </c>
      <c r="B27" s="65">
        <v>24.57</v>
      </c>
      <c r="C27" s="65"/>
      <c r="D27" s="65"/>
      <c r="E27" s="65">
        <v>24.57</v>
      </c>
      <c r="F27" s="65">
        <v>24.57</v>
      </c>
      <c r="G27" s="65">
        <v>24.57</v>
      </c>
      <c r="H27" s="65"/>
      <c r="I27" s="65">
        <v>24.57</v>
      </c>
      <c r="J27" s="65">
        <v>24.57</v>
      </c>
    </row>
    <row r="28" spans="1:10" hidden="1" x14ac:dyDescent="0.2">
      <c r="A28" s="66" t="s">
        <v>134</v>
      </c>
      <c r="B28" s="67">
        <v>0.1764</v>
      </c>
      <c r="C28" s="67"/>
      <c r="D28" s="67"/>
      <c r="E28" s="172">
        <v>0.1719</v>
      </c>
      <c r="F28" s="172">
        <v>0.16350000000000001</v>
      </c>
      <c r="G28" s="133">
        <v>0.1628</v>
      </c>
      <c r="H28" s="133"/>
      <c r="I28" s="173">
        <v>0.1696</v>
      </c>
      <c r="J28" s="174">
        <v>0.1739</v>
      </c>
    </row>
    <row r="29" spans="1:10" hidden="1" x14ac:dyDescent="0.2">
      <c r="A29" s="66" t="s">
        <v>135</v>
      </c>
      <c r="B29" s="67">
        <v>0.1143</v>
      </c>
      <c r="C29" s="67"/>
      <c r="D29" s="67"/>
      <c r="E29" s="172">
        <v>0.1114</v>
      </c>
      <c r="F29" s="172">
        <v>0.10589999999999999</v>
      </c>
      <c r="G29" s="133">
        <v>0.10539999999999999</v>
      </c>
      <c r="H29" s="133"/>
      <c r="I29" s="173">
        <v>0.10979999999999999</v>
      </c>
      <c r="J29" s="174">
        <v>0.11260000000000001</v>
      </c>
    </row>
    <row r="30" spans="1:10" hidden="1" x14ac:dyDescent="0.2">
      <c r="A30" s="66" t="s">
        <v>136</v>
      </c>
      <c r="B30" s="67">
        <v>-2.5600000000000001E-2</v>
      </c>
      <c r="C30" s="67"/>
      <c r="D30" s="67"/>
      <c r="E30" s="172">
        <v>-1.6610251658570607E-2</v>
      </c>
      <c r="F30" s="172">
        <v>-5.9534137041660096E-3</v>
      </c>
      <c r="G30" s="172">
        <v>2.0584394209993383E-3</v>
      </c>
      <c r="H30" s="172"/>
      <c r="I30" s="173">
        <v>1.187722304535743E-3</v>
      </c>
      <c r="J30" s="174">
        <v>5.7474704397934742E-4</v>
      </c>
    </row>
    <row r="31" spans="1:10" hidden="1" x14ac:dyDescent="0.2">
      <c r="A31" s="66" t="s">
        <v>137</v>
      </c>
      <c r="B31" s="67">
        <v>6.7600000000000004E-3</v>
      </c>
      <c r="C31" s="67"/>
      <c r="D31" s="67"/>
      <c r="E31" s="172">
        <v>5.2499999977977507E-3</v>
      </c>
      <c r="F31" s="172">
        <v>5.3599999977977505E-3</v>
      </c>
      <c r="G31" s="172">
        <v>5.3599999977977505E-3</v>
      </c>
      <c r="H31" s="172"/>
      <c r="I31" s="173">
        <v>5.3599999977977505E-3</v>
      </c>
      <c r="J31" s="174">
        <v>5.3599999977977505E-3</v>
      </c>
    </row>
    <row r="32" spans="1:10" hidden="1" x14ac:dyDescent="0.2">
      <c r="A32" s="66" t="s">
        <v>138</v>
      </c>
      <c r="B32" s="67">
        <v>2.9999999999999997E-4</v>
      </c>
      <c r="C32" s="67"/>
      <c r="D32" s="67"/>
      <c r="E32" s="172">
        <v>2.7E-4</v>
      </c>
      <c r="F32" s="172">
        <v>2.7E-4</v>
      </c>
      <c r="G32" s="172">
        <v>2.7E-4</v>
      </c>
      <c r="H32" s="172"/>
      <c r="I32" s="173">
        <v>2.7E-4</v>
      </c>
      <c r="J32" s="174">
        <v>2.7E-4</v>
      </c>
    </row>
    <row r="33" spans="1:12" hidden="1" x14ac:dyDescent="0.2">
      <c r="A33" s="66" t="s">
        <v>139</v>
      </c>
      <c r="B33" s="67">
        <v>-7.0727864299401056E-4</v>
      </c>
      <c r="C33" s="67"/>
      <c r="D33" s="67"/>
      <c r="E33" s="172">
        <v>-7.0727864299401056E-4</v>
      </c>
      <c r="F33" s="172">
        <v>-7.0727864299401056E-4</v>
      </c>
      <c r="G33" s="172">
        <v>-4.0973153794485566E-3</v>
      </c>
      <c r="H33" s="172"/>
      <c r="I33" s="173">
        <v>-4.7317579151564676E-3</v>
      </c>
      <c r="J33" s="174">
        <v>-3.4451528104679167E-3</v>
      </c>
    </row>
    <row r="34" spans="1:12" hidden="1" x14ac:dyDescent="0.2">
      <c r="A34" s="64" t="s">
        <v>140</v>
      </c>
      <c r="B34" s="68">
        <v>0</v>
      </c>
      <c r="C34" s="68"/>
      <c r="D34" s="68"/>
      <c r="E34" s="175">
        <v>0</v>
      </c>
      <c r="F34" s="175">
        <v>0</v>
      </c>
      <c r="G34" s="175">
        <v>0</v>
      </c>
      <c r="H34" s="175"/>
      <c r="I34" s="175">
        <v>0</v>
      </c>
      <c r="J34" s="176">
        <v>0</v>
      </c>
    </row>
    <row r="35" spans="1:12" hidden="1" x14ac:dyDescent="0.2">
      <c r="A35" s="64" t="s">
        <v>141</v>
      </c>
      <c r="B35" s="175">
        <v>13.43</v>
      </c>
      <c r="C35" s="175"/>
      <c r="D35" s="175"/>
      <c r="E35" s="175">
        <v>13.43</v>
      </c>
      <c r="F35" s="175">
        <v>13.43</v>
      </c>
      <c r="G35" s="175">
        <v>13.43</v>
      </c>
      <c r="H35" s="175"/>
      <c r="I35" s="175">
        <v>13.43</v>
      </c>
      <c r="J35" s="176">
        <v>13.43</v>
      </c>
    </row>
    <row r="36" spans="1:12" hidden="1" x14ac:dyDescent="0.2">
      <c r="A36" s="133"/>
      <c r="B36" s="133"/>
      <c r="C36" s="133"/>
      <c r="D36" s="133"/>
      <c r="E36" s="133"/>
      <c r="F36" s="133"/>
      <c r="G36" s="133"/>
      <c r="H36" s="133"/>
      <c r="I36" s="133"/>
    </row>
    <row r="37" spans="1:12" hidden="1" x14ac:dyDescent="0.2">
      <c r="A37" s="133"/>
      <c r="B37" s="133"/>
      <c r="C37" s="133"/>
      <c r="D37" s="133"/>
      <c r="E37" s="133"/>
      <c r="F37" s="133"/>
      <c r="G37" s="133"/>
      <c r="H37" s="133"/>
      <c r="I37" s="133"/>
    </row>
    <row r="38" spans="1:12" hidden="1" x14ac:dyDescent="0.2">
      <c r="A38" s="177" t="s">
        <v>142</v>
      </c>
      <c r="B38" s="177"/>
      <c r="C38" s="177"/>
      <c r="D38" s="177"/>
      <c r="E38" s="133"/>
      <c r="F38" s="133"/>
      <c r="G38" s="133"/>
      <c r="H38" s="133"/>
      <c r="I38" s="133"/>
    </row>
    <row r="39" spans="1:12" hidden="1" x14ac:dyDescent="0.2">
      <c r="A39" s="133" t="s">
        <v>126</v>
      </c>
      <c r="B39" s="178">
        <f t="shared" ref="B39:J39" si="7">+B27</f>
        <v>24.57</v>
      </c>
      <c r="C39" s="178"/>
      <c r="D39" s="178"/>
      <c r="E39" s="178">
        <f t="shared" si="7"/>
        <v>24.57</v>
      </c>
      <c r="F39" s="178">
        <f t="shared" si="7"/>
        <v>24.57</v>
      </c>
      <c r="G39" s="178">
        <f t="shared" si="7"/>
        <v>24.57</v>
      </c>
      <c r="H39" s="178"/>
      <c r="I39" s="178">
        <f t="shared" si="7"/>
        <v>24.57</v>
      </c>
      <c r="J39" s="179">
        <f t="shared" si="7"/>
        <v>24.57</v>
      </c>
    </row>
    <row r="40" spans="1:12" hidden="1" x14ac:dyDescent="0.2">
      <c r="A40" s="133" t="s">
        <v>143</v>
      </c>
      <c r="B40" s="175">
        <f>IF($E$24&lt;=20,0,($E$24-20)*B35)</f>
        <v>0</v>
      </c>
      <c r="C40" s="175"/>
      <c r="D40" s="175"/>
      <c r="E40" s="175">
        <f>IF($E$24&lt;=20,0,($E$24-20)*E35)</f>
        <v>0</v>
      </c>
      <c r="F40" s="175">
        <f>IF($E$24&lt;=20,0,($E$24-20)*F35)</f>
        <v>0</v>
      </c>
      <c r="G40" s="175">
        <f>IF($E$24&lt;=20,0,($E$24-20)*G35)</f>
        <v>0</v>
      </c>
      <c r="H40" s="175"/>
      <c r="I40" s="175">
        <f>IF($E$24&lt;=20,0,($E$24-20)*I35)</f>
        <v>0</v>
      </c>
      <c r="J40" s="176">
        <f>IF($E$24&lt;=20,0,($E$24-20)*J35)</f>
        <v>0</v>
      </c>
      <c r="K40" s="180"/>
      <c r="L40" s="180"/>
    </row>
    <row r="41" spans="1:12" hidden="1" x14ac:dyDescent="0.2">
      <c r="A41" s="133" t="s">
        <v>127</v>
      </c>
      <c r="B41" s="175">
        <f>IF($F$24&gt;5000,((5000*B28)+(($F$24-5000)*B29)),$F$24*B28)</f>
        <v>176.4</v>
      </c>
      <c r="C41" s="175"/>
      <c r="D41" s="175"/>
      <c r="E41" s="175">
        <f>IF($F$24&gt;5000,((5000*E28)+(($F$24-5000)*E29)),$F$24*E28)</f>
        <v>171.9</v>
      </c>
      <c r="F41" s="175">
        <f>IF($F$24&gt;5000,((5000*F28)+(($F$24-5000)*F29)),$F$24*F28)</f>
        <v>163.5</v>
      </c>
      <c r="G41" s="175">
        <f>IF($F$24&gt;5000,((5000*G28)+(($F$24-5000)*G29)),$F$24*G28)</f>
        <v>162.80000000000001</v>
      </c>
      <c r="H41" s="175"/>
      <c r="I41" s="175">
        <f>IF($F$24&gt;5000,((5000*I28)+(($F$24-5000)*I29)),$F$24*I28)</f>
        <v>169.6</v>
      </c>
      <c r="J41" s="176">
        <f>IF($F$24&gt;5000,((5000*J28)+(($F$24-5000)*J29)),$F$24*J28)</f>
        <v>173.9</v>
      </c>
      <c r="K41" s="181"/>
      <c r="L41" s="181"/>
    </row>
    <row r="42" spans="1:12" hidden="1" x14ac:dyDescent="0.2">
      <c r="A42" s="66" t="s">
        <v>128</v>
      </c>
      <c r="B42" s="182">
        <f>$F$24*B30</f>
        <v>-25.6</v>
      </c>
      <c r="C42" s="182"/>
      <c r="D42" s="182"/>
      <c r="E42" s="182">
        <f t="shared" ref="E42:J45" si="8">$F$24*E30</f>
        <v>-16.610251658570608</v>
      </c>
      <c r="F42" s="182">
        <f t="shared" si="8"/>
        <v>-5.9534137041660093</v>
      </c>
      <c r="G42" s="182">
        <f t="shared" si="8"/>
        <v>2.0584394209993384</v>
      </c>
      <c r="H42" s="182"/>
      <c r="I42" s="182">
        <f t="shared" si="8"/>
        <v>1.187722304535743</v>
      </c>
      <c r="J42" s="183">
        <f t="shared" si="8"/>
        <v>0.57474704397934739</v>
      </c>
      <c r="K42" s="181"/>
      <c r="L42" s="181"/>
    </row>
    <row r="43" spans="1:12" hidden="1" x14ac:dyDescent="0.2">
      <c r="A43" s="66" t="s">
        <v>129</v>
      </c>
      <c r="B43" s="182">
        <f>$F$24*B31</f>
        <v>6.7600000000000007</v>
      </c>
      <c r="C43" s="182"/>
      <c r="D43" s="182"/>
      <c r="E43" s="182">
        <f t="shared" si="8"/>
        <v>5.249999997797751</v>
      </c>
      <c r="F43" s="182">
        <f t="shared" si="8"/>
        <v>5.3599999977977504</v>
      </c>
      <c r="G43" s="182">
        <f t="shared" si="8"/>
        <v>5.3599999977977504</v>
      </c>
      <c r="H43" s="182"/>
      <c r="I43" s="182">
        <f t="shared" si="8"/>
        <v>5.3599999977977504</v>
      </c>
      <c r="J43" s="183">
        <f t="shared" si="8"/>
        <v>5.3599999977977504</v>
      </c>
      <c r="K43" s="180"/>
      <c r="L43" s="184"/>
    </row>
    <row r="44" spans="1:12" hidden="1" x14ac:dyDescent="0.2">
      <c r="A44" s="66" t="s">
        <v>130</v>
      </c>
      <c r="B44" s="182">
        <f>$F$24*B32</f>
        <v>0.3</v>
      </c>
      <c r="C44" s="182"/>
      <c r="D44" s="182"/>
      <c r="E44" s="182">
        <f t="shared" si="8"/>
        <v>0.27</v>
      </c>
      <c r="F44" s="182">
        <f t="shared" si="8"/>
        <v>0.27</v>
      </c>
      <c r="G44" s="182">
        <f t="shared" si="8"/>
        <v>0.27</v>
      </c>
      <c r="H44" s="182"/>
      <c r="I44" s="182">
        <f t="shared" si="8"/>
        <v>0.27</v>
      </c>
      <c r="J44" s="183">
        <f t="shared" si="8"/>
        <v>0.27</v>
      </c>
      <c r="K44" s="180"/>
      <c r="L44" s="184"/>
    </row>
    <row r="45" spans="1:12" hidden="1" x14ac:dyDescent="0.2">
      <c r="A45" s="66" t="s">
        <v>3</v>
      </c>
      <c r="B45" s="182">
        <f>$F$24*B33</f>
        <v>-0.70727864299401055</v>
      </c>
      <c r="C45" s="182"/>
      <c r="D45" s="182"/>
      <c r="E45" s="182">
        <f t="shared" si="8"/>
        <v>-0.70727864299401055</v>
      </c>
      <c r="F45" s="182">
        <f t="shared" si="8"/>
        <v>-0.70727864299401055</v>
      </c>
      <c r="G45" s="182">
        <f t="shared" si="8"/>
        <v>-4.0973153794485562</v>
      </c>
      <c r="H45" s="182"/>
      <c r="I45" s="182">
        <f t="shared" si="8"/>
        <v>-4.7317579151564679</v>
      </c>
      <c r="J45" s="183">
        <f t="shared" si="8"/>
        <v>-3.4451528104679165</v>
      </c>
      <c r="K45" s="180"/>
      <c r="L45" s="184"/>
    </row>
    <row r="46" spans="1:12" hidden="1" x14ac:dyDescent="0.2">
      <c r="A46" s="66" t="s">
        <v>80</v>
      </c>
      <c r="B46" s="178">
        <f t="shared" ref="B46:J46" si="9">SUM(B39:B45)</f>
        <v>181.72272135700601</v>
      </c>
      <c r="C46" s="178"/>
      <c r="D46" s="178"/>
      <c r="E46" s="178">
        <f t="shared" si="9"/>
        <v>184.67246969623315</v>
      </c>
      <c r="F46" s="178">
        <f t="shared" si="9"/>
        <v>187.03930765063777</v>
      </c>
      <c r="G46" s="178">
        <f t="shared" si="9"/>
        <v>190.96112403934856</v>
      </c>
      <c r="H46" s="178"/>
      <c r="I46" s="178">
        <f t="shared" si="9"/>
        <v>196.25596438717704</v>
      </c>
      <c r="J46" s="179">
        <f t="shared" si="9"/>
        <v>201.22959423130922</v>
      </c>
      <c r="K46" s="180"/>
      <c r="L46" s="184"/>
    </row>
    <row r="47" spans="1:12" hidden="1" x14ac:dyDescent="0.2">
      <c r="A47" s="66" t="s">
        <v>131</v>
      </c>
      <c r="B47" s="185">
        <f t="shared" ref="B47:J47" si="10">+B46*0.14</f>
        <v>25.441180989980843</v>
      </c>
      <c r="C47" s="185"/>
      <c r="D47" s="185"/>
      <c r="E47" s="185">
        <f t="shared" si="10"/>
        <v>25.854145757472644</v>
      </c>
      <c r="F47" s="185">
        <f t="shared" si="10"/>
        <v>26.18550307108929</v>
      </c>
      <c r="G47" s="185">
        <f t="shared" si="10"/>
        <v>26.734557365508802</v>
      </c>
      <c r="H47" s="185"/>
      <c r="I47" s="185">
        <f t="shared" si="10"/>
        <v>27.47583501420479</v>
      </c>
      <c r="J47" s="186">
        <f t="shared" si="10"/>
        <v>28.172143192383295</v>
      </c>
      <c r="K47" s="180"/>
      <c r="L47" s="187"/>
    </row>
    <row r="48" spans="1:12" hidden="1" x14ac:dyDescent="0.2">
      <c r="A48" s="66" t="s">
        <v>144</v>
      </c>
      <c r="B48" s="178">
        <f t="shared" ref="B48:J48" si="11">SUM(B46:B47)</f>
        <v>207.16390234698684</v>
      </c>
      <c r="C48" s="178"/>
      <c r="D48" s="178"/>
      <c r="E48" s="178">
        <f t="shared" si="11"/>
        <v>210.5266154537058</v>
      </c>
      <c r="F48" s="178">
        <f t="shared" si="11"/>
        <v>213.22481072172707</v>
      </c>
      <c r="G48" s="178">
        <f t="shared" si="11"/>
        <v>217.69568140485737</v>
      </c>
      <c r="H48" s="178"/>
      <c r="I48" s="178">
        <f t="shared" si="11"/>
        <v>223.73179940138183</v>
      </c>
      <c r="J48" s="179">
        <f t="shared" si="11"/>
        <v>229.40173742369251</v>
      </c>
      <c r="K48" s="180"/>
      <c r="L48" s="187"/>
    </row>
    <row r="49" spans="1:12" hidden="1" x14ac:dyDescent="0.2">
      <c r="A49" s="66" t="s">
        <v>145</v>
      </c>
      <c r="B49" s="188"/>
      <c r="C49" s="188"/>
      <c r="D49" s="188"/>
      <c r="E49" s="188">
        <f>(E48-B48)/B48</f>
        <v>1.6232138266475682E-2</v>
      </c>
      <c r="F49" s="188">
        <f>(F48-E48)/E48</f>
        <v>1.2816409280158647E-2</v>
      </c>
      <c r="G49" s="188">
        <f>(G48-F48)/F48</f>
        <v>2.0967872678593166E-2</v>
      </c>
      <c r="H49" s="188"/>
      <c r="I49" s="188">
        <f>(I48-G48)/G48</f>
        <v>2.772732080660276E-2</v>
      </c>
      <c r="J49" s="189">
        <f>(J48-I48)/I48</f>
        <v>2.5342566579633272E-2</v>
      </c>
      <c r="K49" s="180"/>
      <c r="L49" s="180"/>
    </row>
    <row r="50" spans="1:12" hidden="1" x14ac:dyDescent="0.2">
      <c r="A50" s="66"/>
      <c r="B50" s="66"/>
      <c r="C50" s="66"/>
      <c r="D50" s="66"/>
      <c r="E50" s="188"/>
      <c r="F50" s="188"/>
      <c r="G50" s="188"/>
      <c r="H50" s="188"/>
      <c r="I50" s="133"/>
      <c r="J50" s="180"/>
      <c r="K50" s="180"/>
      <c r="L50" s="180"/>
    </row>
    <row r="51" spans="1:12" hidden="1" x14ac:dyDescent="0.2">
      <c r="A51" s="66"/>
      <c r="B51" s="66"/>
      <c r="C51" s="66"/>
      <c r="D51" s="66"/>
      <c r="E51" s="188"/>
      <c r="F51" s="188"/>
      <c r="G51" s="188"/>
      <c r="H51" s="188"/>
      <c r="I51" s="133"/>
    </row>
    <row r="52" spans="1:12" hidden="1" x14ac:dyDescent="0.2">
      <c r="A52" s="133"/>
      <c r="B52" s="133"/>
      <c r="C52" s="133"/>
      <c r="D52" s="133"/>
      <c r="E52" s="133"/>
      <c r="F52" s="133"/>
      <c r="G52" s="133"/>
      <c r="H52" s="133"/>
      <c r="I52" s="133"/>
    </row>
    <row r="53" spans="1:12" hidden="1" x14ac:dyDescent="0.2">
      <c r="A53" s="699" t="s">
        <v>157</v>
      </c>
      <c r="B53" s="700"/>
      <c r="C53" s="700"/>
      <c r="D53" s="700"/>
      <c r="E53" s="700"/>
      <c r="F53" s="700"/>
      <c r="G53" s="700"/>
      <c r="H53" s="700"/>
      <c r="I53" s="701"/>
    </row>
    <row r="54" spans="1:12" hidden="1" x14ac:dyDescent="0.2">
      <c r="A54" s="702" t="s">
        <v>146</v>
      </c>
      <c r="B54" s="703"/>
      <c r="C54" s="703"/>
      <c r="D54" s="703"/>
      <c r="E54" s="703"/>
      <c r="F54" s="703"/>
      <c r="G54" s="703"/>
      <c r="H54" s="703"/>
      <c r="I54" s="704"/>
    </row>
    <row r="55" spans="1:12" hidden="1" x14ac:dyDescent="0.2">
      <c r="A55" s="687" t="s">
        <v>158</v>
      </c>
      <c r="B55" s="688"/>
      <c r="C55" s="688"/>
      <c r="D55" s="688"/>
      <c r="E55" s="688"/>
      <c r="F55" s="688"/>
      <c r="G55" s="688"/>
      <c r="H55" s="688"/>
      <c r="I55" s="689"/>
    </row>
    <row r="56" spans="1:12" hidden="1" x14ac:dyDescent="0.2">
      <c r="A56" s="72" t="s">
        <v>148</v>
      </c>
      <c r="B56" s="134" t="s">
        <v>74</v>
      </c>
      <c r="C56" s="134"/>
      <c r="D56" s="134"/>
      <c r="E56" s="134" t="s">
        <v>6</v>
      </c>
      <c r="F56" s="134" t="s">
        <v>7</v>
      </c>
      <c r="G56" s="134" t="s">
        <v>150</v>
      </c>
      <c r="H56" s="134"/>
      <c r="I56" s="134" t="s">
        <v>151</v>
      </c>
    </row>
    <row r="57" spans="1:12" hidden="1" x14ac:dyDescent="0.2">
      <c r="A57" s="190" t="s">
        <v>126</v>
      </c>
      <c r="B57" s="191">
        <f t="shared" ref="B57:B63" si="12">+E39*12</f>
        <v>294.84000000000003</v>
      </c>
      <c r="C57" s="191"/>
      <c r="D57" s="191"/>
      <c r="E57" s="191">
        <f t="shared" ref="E57:I63" si="13">+F39*12</f>
        <v>294.84000000000003</v>
      </c>
      <c r="F57" s="191">
        <f t="shared" si="13"/>
        <v>294.84000000000003</v>
      </c>
      <c r="G57" s="191">
        <f t="shared" ref="G57:G63" si="14">+I39*12</f>
        <v>294.84000000000003</v>
      </c>
      <c r="H57" s="191"/>
      <c r="I57" s="191">
        <f t="shared" si="13"/>
        <v>294.84000000000003</v>
      </c>
    </row>
    <row r="58" spans="1:12" hidden="1" x14ac:dyDescent="0.2">
      <c r="A58" s="192" t="s">
        <v>143</v>
      </c>
      <c r="B58" s="193">
        <f t="shared" si="12"/>
        <v>0</v>
      </c>
      <c r="C58" s="193"/>
      <c r="D58" s="193"/>
      <c r="E58" s="193">
        <f t="shared" si="13"/>
        <v>0</v>
      </c>
      <c r="F58" s="193">
        <f t="shared" si="13"/>
        <v>0</v>
      </c>
      <c r="G58" s="193">
        <f t="shared" si="14"/>
        <v>0</v>
      </c>
      <c r="H58" s="193"/>
      <c r="I58" s="193">
        <f t="shared" si="13"/>
        <v>0</v>
      </c>
    </row>
    <row r="59" spans="1:12" hidden="1" x14ac:dyDescent="0.2">
      <c r="A59" s="192" t="s">
        <v>127</v>
      </c>
      <c r="B59" s="193">
        <f t="shared" si="12"/>
        <v>2062.8000000000002</v>
      </c>
      <c r="C59" s="193"/>
      <c r="D59" s="193"/>
      <c r="E59" s="193">
        <f t="shared" si="13"/>
        <v>1962</v>
      </c>
      <c r="F59" s="193">
        <f t="shared" si="13"/>
        <v>1953.6000000000001</v>
      </c>
      <c r="G59" s="193">
        <f t="shared" si="14"/>
        <v>2035.1999999999998</v>
      </c>
      <c r="H59" s="193"/>
      <c r="I59" s="193">
        <f t="shared" si="13"/>
        <v>2086.8000000000002</v>
      </c>
    </row>
    <row r="60" spans="1:12" hidden="1" x14ac:dyDescent="0.2">
      <c r="A60" s="69" t="s">
        <v>128</v>
      </c>
      <c r="B60" s="193">
        <f t="shared" si="12"/>
        <v>-199.32301990284731</v>
      </c>
      <c r="C60" s="193"/>
      <c r="D60" s="193"/>
      <c r="E60" s="193">
        <f t="shared" si="13"/>
        <v>-71.440964449992109</v>
      </c>
      <c r="F60" s="193">
        <f t="shared" si="13"/>
        <v>24.701273051992061</v>
      </c>
      <c r="G60" s="193">
        <f t="shared" si="14"/>
        <v>14.252667654428915</v>
      </c>
      <c r="H60" s="193"/>
      <c r="I60" s="193">
        <f t="shared" si="13"/>
        <v>6.8969645277521687</v>
      </c>
    </row>
    <row r="61" spans="1:12" hidden="1" x14ac:dyDescent="0.2">
      <c r="A61" s="69" t="s">
        <v>129</v>
      </c>
      <c r="B61" s="193">
        <f t="shared" si="12"/>
        <v>62.999999973573011</v>
      </c>
      <c r="C61" s="193"/>
      <c r="D61" s="193"/>
      <c r="E61" s="193">
        <f t="shared" si="13"/>
        <v>64.319999973573005</v>
      </c>
      <c r="F61" s="193">
        <f t="shared" si="13"/>
        <v>64.319999973573005</v>
      </c>
      <c r="G61" s="193">
        <f t="shared" si="14"/>
        <v>64.319999973573005</v>
      </c>
      <c r="H61" s="193"/>
      <c r="I61" s="193">
        <f t="shared" si="13"/>
        <v>64.319999973573005</v>
      </c>
    </row>
    <row r="62" spans="1:12" hidden="1" x14ac:dyDescent="0.2">
      <c r="A62" s="69" t="s">
        <v>130</v>
      </c>
      <c r="B62" s="193">
        <f t="shared" si="12"/>
        <v>3.24</v>
      </c>
      <c r="C62" s="193"/>
      <c r="D62" s="193"/>
      <c r="E62" s="193">
        <f t="shared" si="13"/>
        <v>3.24</v>
      </c>
      <c r="F62" s="193">
        <f t="shared" si="13"/>
        <v>3.24</v>
      </c>
      <c r="G62" s="193">
        <f t="shared" si="14"/>
        <v>3.24</v>
      </c>
      <c r="H62" s="193"/>
      <c r="I62" s="193">
        <f t="shared" si="13"/>
        <v>3.24</v>
      </c>
    </row>
    <row r="63" spans="1:12" ht="15" hidden="1" x14ac:dyDescent="0.35">
      <c r="A63" s="69" t="s">
        <v>3</v>
      </c>
      <c r="B63" s="194">
        <f t="shared" si="12"/>
        <v>-8.4873437159281266</v>
      </c>
      <c r="C63" s="194"/>
      <c r="D63" s="194"/>
      <c r="E63" s="194">
        <f t="shared" si="13"/>
        <v>-8.4873437159281266</v>
      </c>
      <c r="F63" s="194">
        <f t="shared" si="13"/>
        <v>-49.167784553382674</v>
      </c>
      <c r="G63" s="194">
        <f t="shared" si="14"/>
        <v>-56.781094981877615</v>
      </c>
      <c r="H63" s="194"/>
      <c r="I63" s="194">
        <f t="shared" si="13"/>
        <v>-41.341833725614997</v>
      </c>
    </row>
    <row r="64" spans="1:12" hidden="1" x14ac:dyDescent="0.2">
      <c r="A64" s="69" t="s">
        <v>80</v>
      </c>
      <c r="B64" s="195">
        <f>SUM(B57:B63)</f>
        <v>2216.0696363547977</v>
      </c>
      <c r="C64" s="195"/>
      <c r="D64" s="195"/>
      <c r="E64" s="195">
        <f>SUM(E57:E63)</f>
        <v>2244.4716918076529</v>
      </c>
      <c r="F64" s="195">
        <f>SUM(F57:F63)</f>
        <v>2291.5334884721819</v>
      </c>
      <c r="G64" s="195">
        <f>SUM(G57:G63)</f>
        <v>2355.071572646124</v>
      </c>
      <c r="H64" s="195"/>
      <c r="I64" s="195">
        <f>SUM(I57:I63)</f>
        <v>2414.7551307757103</v>
      </c>
    </row>
    <row r="65" spans="1:9" ht="15" hidden="1" x14ac:dyDescent="0.35">
      <c r="A65" s="69" t="s">
        <v>131</v>
      </c>
      <c r="B65" s="196">
        <f>+B64*0.14</f>
        <v>310.2497490896717</v>
      </c>
      <c r="C65" s="196"/>
      <c r="D65" s="196"/>
      <c r="E65" s="196">
        <f>+E64*0.14</f>
        <v>314.22603685307143</v>
      </c>
      <c r="F65" s="196">
        <f>+F64*0.14</f>
        <v>320.8146883861055</v>
      </c>
      <c r="G65" s="196">
        <f>+G64*0.14</f>
        <v>329.71002017045737</v>
      </c>
      <c r="H65" s="196"/>
      <c r="I65" s="196">
        <f>+I64*0.14</f>
        <v>338.06571830859946</v>
      </c>
    </row>
    <row r="66" spans="1:9" ht="15" hidden="1" x14ac:dyDescent="0.35">
      <c r="A66" s="70" t="s">
        <v>132</v>
      </c>
      <c r="B66" s="197">
        <f>SUM(B64:B65)</f>
        <v>2526.3193854444694</v>
      </c>
      <c r="C66" s="197"/>
      <c r="D66" s="197"/>
      <c r="E66" s="197">
        <f>SUM(E64:E65)</f>
        <v>2558.6977286607244</v>
      </c>
      <c r="F66" s="197">
        <f>SUM(F64:F65)-0.01</f>
        <v>2612.3381768582872</v>
      </c>
      <c r="G66" s="197">
        <f>SUM(G64:G65)</f>
        <v>2684.7815928165815</v>
      </c>
      <c r="H66" s="197"/>
      <c r="I66" s="197">
        <f>SUM(I64:I65)+0.01</f>
        <v>2752.8308490843101</v>
      </c>
    </row>
    <row r="67" spans="1:9" hidden="1" x14ac:dyDescent="0.2">
      <c r="A67" s="71" t="s">
        <v>149</v>
      </c>
      <c r="B67" s="167">
        <f>+E49</f>
        <v>1.6232138266475682E-2</v>
      </c>
      <c r="C67" s="167"/>
      <c r="D67" s="167"/>
      <c r="E67" s="167">
        <f>(E66-B66)/B66</f>
        <v>1.2816409280158557E-2</v>
      </c>
      <c r="F67" s="167">
        <f>(F66-E66)/E66</f>
        <v>2.0963964440473142E-2</v>
      </c>
      <c r="G67" s="167">
        <f>(G66-F66)/F66</f>
        <v>2.7731254934771854E-2</v>
      </c>
      <c r="H67" s="167"/>
      <c r="I67" s="167">
        <f>(I66-G66)/G66</f>
        <v>2.5346291277399128E-2</v>
      </c>
    </row>
    <row r="68" spans="1:9" x14ac:dyDescent="0.2">
      <c r="A68" s="690" t="s">
        <v>453</v>
      </c>
      <c r="B68" s="691"/>
      <c r="C68" s="691"/>
      <c r="D68" s="691"/>
      <c r="E68" s="691"/>
      <c r="F68" s="691"/>
      <c r="G68" s="691"/>
      <c r="H68" s="691"/>
      <c r="I68" s="692"/>
    </row>
    <row r="69" spans="1:9" x14ac:dyDescent="0.2">
      <c r="A69" s="683" t="s">
        <v>456</v>
      </c>
      <c r="B69" s="684"/>
      <c r="C69" s="684"/>
      <c r="D69" s="684"/>
      <c r="E69" s="684"/>
      <c r="F69" s="684"/>
      <c r="G69" s="684"/>
      <c r="H69" s="684"/>
      <c r="I69" s="685"/>
    </row>
    <row r="70" spans="1:9" x14ac:dyDescent="0.2">
      <c r="A70" s="683" t="s">
        <v>226</v>
      </c>
      <c r="B70" s="684"/>
      <c r="C70" s="684"/>
      <c r="D70" s="684"/>
      <c r="E70" s="684"/>
      <c r="F70" s="684"/>
      <c r="G70" s="684"/>
      <c r="H70" s="684"/>
      <c r="I70" s="685"/>
    </row>
    <row r="71" spans="1:9" x14ac:dyDescent="0.2">
      <c r="A71" s="159"/>
      <c r="B71" s="156"/>
      <c r="C71" s="156"/>
      <c r="D71" s="156"/>
      <c r="E71" s="156"/>
      <c r="F71" s="157" t="s">
        <v>249</v>
      </c>
      <c r="G71" s="683" t="s">
        <v>248</v>
      </c>
      <c r="H71" s="684"/>
      <c r="I71" s="685"/>
    </row>
    <row r="72" spans="1:9" x14ac:dyDescent="0.2">
      <c r="A72" s="158"/>
      <c r="B72" s="158">
        <f t="shared" ref="B72:E72" si="15">+B6</f>
        <v>2019</v>
      </c>
      <c r="C72" s="158">
        <f t="shared" si="15"/>
        <v>2020</v>
      </c>
      <c r="D72" s="158">
        <f t="shared" si="15"/>
        <v>2021</v>
      </c>
      <c r="E72" s="158">
        <f t="shared" si="15"/>
        <v>2022</v>
      </c>
      <c r="F72" s="158" t="str">
        <f>+F6</f>
        <v>2022/2023</v>
      </c>
      <c r="G72" s="158" t="str">
        <f t="shared" ref="G72:I72" si="16">+G6</f>
        <v>2023/2024</v>
      </c>
      <c r="H72" s="158" t="str">
        <f t="shared" si="16"/>
        <v>2024/2025</v>
      </c>
      <c r="I72" s="158" t="str">
        <f t="shared" si="16"/>
        <v>2025/2026</v>
      </c>
    </row>
    <row r="73" spans="1:9" x14ac:dyDescent="0.2">
      <c r="A73" s="160" t="s">
        <v>126</v>
      </c>
      <c r="B73" s="198">
        <v>294.84000000000003</v>
      </c>
      <c r="C73" s="198">
        <v>294.84000000000003</v>
      </c>
      <c r="D73" s="161">
        <v>294.83999999999997</v>
      </c>
      <c r="E73" s="161">
        <v>294.83999999999997</v>
      </c>
      <c r="F73" s="161">
        <v>294.83999999999997</v>
      </c>
      <c r="G73" s="161">
        <v>294.83999999999997</v>
      </c>
      <c r="H73" s="161">
        <v>294.83999999999997</v>
      </c>
      <c r="I73" s="161">
        <v>294.83999999999997</v>
      </c>
    </row>
    <row r="74" spans="1:9" x14ac:dyDescent="0.2">
      <c r="A74" s="136" t="s">
        <v>127</v>
      </c>
      <c r="B74" s="162">
        <v>1099.02</v>
      </c>
      <c r="C74" s="162">
        <v>1099.02</v>
      </c>
      <c r="D74" s="162">
        <v>1103.0175000000002</v>
      </c>
      <c r="E74" s="162">
        <v>1131</v>
      </c>
      <c r="F74" s="162">
        <v>1131</v>
      </c>
      <c r="G74" s="162">
        <v>1211.665</v>
      </c>
      <c r="H74" s="162">
        <v>1257.8150000000001</v>
      </c>
      <c r="I74" s="199">
        <v>1308.2550000000003</v>
      </c>
    </row>
    <row r="75" spans="1:9" x14ac:dyDescent="0.2">
      <c r="A75" s="136" t="s">
        <v>128</v>
      </c>
      <c r="B75" s="162">
        <v>4.4849999999999994</v>
      </c>
      <c r="C75" s="162">
        <v>4.4849999999999994</v>
      </c>
      <c r="D75" s="162">
        <v>3.9243749999999991</v>
      </c>
      <c r="E75" s="162">
        <v>0</v>
      </c>
      <c r="F75" s="162">
        <v>30.049499999999998</v>
      </c>
      <c r="G75" s="160">
        <v>37.634999999999991</v>
      </c>
      <c r="H75" s="160">
        <v>25.200499999999998</v>
      </c>
      <c r="I75" s="199">
        <v>18.144749999999998</v>
      </c>
    </row>
    <row r="76" spans="1:9" x14ac:dyDescent="0.2">
      <c r="A76" s="136" t="s">
        <v>129</v>
      </c>
      <c r="B76" s="162">
        <v>41.807999982822452</v>
      </c>
      <c r="C76" s="162">
        <v>41.807999982822452</v>
      </c>
      <c r="D76" s="162">
        <v>40.078349984969648</v>
      </c>
      <c r="E76" s="162">
        <v>27.970800000000001</v>
      </c>
      <c r="F76" s="162">
        <v>27.970800000000001</v>
      </c>
      <c r="G76" s="164">
        <v>1.1654500000000001</v>
      </c>
      <c r="H76" s="162">
        <v>0</v>
      </c>
      <c r="I76" s="199">
        <v>0</v>
      </c>
    </row>
    <row r="77" spans="1:9" x14ac:dyDescent="0.2">
      <c r="A77" s="136" t="s">
        <v>178</v>
      </c>
      <c r="B77" s="162">
        <v>0</v>
      </c>
      <c r="C77" s="162">
        <v>0</v>
      </c>
      <c r="D77" s="162">
        <f>+D11</f>
        <v>1.75</v>
      </c>
      <c r="E77" s="162">
        <v>10.5222</v>
      </c>
      <c r="F77" s="162">
        <v>10.5222</v>
      </c>
      <c r="G77" s="162">
        <v>0.43875000000000003</v>
      </c>
      <c r="H77" s="162">
        <v>4.1859999999999991</v>
      </c>
      <c r="I77" s="199">
        <v>9.2267500000000009</v>
      </c>
    </row>
    <row r="78" spans="1:9" hidden="1" x14ac:dyDescent="0.2">
      <c r="A78" s="136" t="s">
        <v>130</v>
      </c>
      <c r="B78" s="162">
        <v>2.1059999999999999</v>
      </c>
      <c r="C78" s="162">
        <v>2.1059999999999999</v>
      </c>
      <c r="D78" s="162">
        <f>+D12</f>
        <v>1.4080249999999999</v>
      </c>
      <c r="E78" s="162">
        <v>0</v>
      </c>
      <c r="F78" s="162">
        <v>0</v>
      </c>
      <c r="G78" s="162">
        <v>0</v>
      </c>
      <c r="H78" s="162">
        <v>0</v>
      </c>
      <c r="I78" s="161">
        <v>0</v>
      </c>
    </row>
    <row r="79" spans="1:9" x14ac:dyDescent="0.2">
      <c r="A79" s="136" t="s">
        <v>3</v>
      </c>
      <c r="B79" s="162">
        <v>-26.872170000000001</v>
      </c>
      <c r="C79" s="162">
        <v>-26.872170000000001</v>
      </c>
      <c r="D79" s="162">
        <v>-24.226848750000006</v>
      </c>
      <c r="E79" s="162">
        <v>-5.7095999999999991</v>
      </c>
      <c r="F79" s="162">
        <v>-5.7095999999999991</v>
      </c>
      <c r="G79" s="162">
        <v>-11.076649999999999</v>
      </c>
      <c r="H79" s="162">
        <v>-0.47124999999999995</v>
      </c>
      <c r="I79" s="161">
        <v>0</v>
      </c>
    </row>
    <row r="80" spans="1:9" x14ac:dyDescent="0.2">
      <c r="A80" s="137" t="s">
        <v>116</v>
      </c>
      <c r="B80" s="162">
        <f>SUM(B73:B79)+0.01</f>
        <v>1415.3968299828223</v>
      </c>
      <c r="C80" s="162">
        <f>SUM(C73:C79)+0.01</f>
        <v>1415.3968299828223</v>
      </c>
      <c r="D80" s="162">
        <f>SUM(D73:D79)+0.01</f>
        <v>1420.8014012349697</v>
      </c>
      <c r="E80" s="162">
        <f t="shared" ref="E80:F80" si="17">SUM(E73:E79)</f>
        <v>1458.6234000000002</v>
      </c>
      <c r="F80" s="162">
        <f t="shared" si="17"/>
        <v>1488.6729000000003</v>
      </c>
      <c r="G80" s="164">
        <f>SUM(G73:G79)+0.01</f>
        <v>1534.6775499999999</v>
      </c>
      <c r="H80" s="164">
        <f>SUM(H73:H79)+0.01</f>
        <v>1581.5802499999998</v>
      </c>
      <c r="I80" s="162">
        <f t="shared" ref="I80" si="18">SUM(I73:I79)</f>
        <v>1630.4665000000002</v>
      </c>
    </row>
    <row r="81" spans="1:10" x14ac:dyDescent="0.2">
      <c r="A81" s="160" t="str">
        <f>+A15</f>
        <v>HST</v>
      </c>
      <c r="B81" s="162">
        <f>+B80*0.15</f>
        <v>212.30952449742333</v>
      </c>
      <c r="C81" s="162">
        <f>+C80*0.15</f>
        <v>212.30952449742333</v>
      </c>
      <c r="D81" s="162">
        <f>+D80*0.15</f>
        <v>213.12021018524544</v>
      </c>
      <c r="E81" s="162">
        <f>ROUND(+E80*0.15,2)</f>
        <v>218.79</v>
      </c>
      <c r="F81" s="162">
        <f>ROUND(+F80*0.15,2)</f>
        <v>223.3</v>
      </c>
      <c r="G81" s="162">
        <f>ROUND(+G80*0.15,2)</f>
        <v>230.2</v>
      </c>
      <c r="H81" s="162">
        <f t="shared" ref="H81:I81" si="19">ROUND(+H80*0.15,2)</f>
        <v>237.24</v>
      </c>
      <c r="I81" s="162">
        <f t="shared" si="19"/>
        <v>244.57</v>
      </c>
    </row>
    <row r="82" spans="1:10" x14ac:dyDescent="0.2">
      <c r="A82" s="160" t="str">
        <f>+A16</f>
        <v>Provincial Clean Energy Rebate</v>
      </c>
      <c r="B82" s="162">
        <v>-112.06468299828222</v>
      </c>
      <c r="C82" s="162">
        <f>+B82</f>
        <v>-112.06468299828222</v>
      </c>
      <c r="D82" s="162">
        <f>-SUM(D74:D79)*0.1-0.01</f>
        <v>-112.60514012349699</v>
      </c>
      <c r="E82" s="162">
        <f>-ROUND(SUM(E74:E79)*0.1,2)</f>
        <v>-116.38</v>
      </c>
      <c r="F82" s="162">
        <f>-ROUND(SUM(F74:F79)*0.1,2)</f>
        <v>-119.38</v>
      </c>
      <c r="G82" s="162">
        <f>-ROUND(SUM(G74:G79)*0.1,2)</f>
        <v>-123.98</v>
      </c>
      <c r="H82" s="162">
        <f t="shared" ref="H82:I82" si="20">-ROUND(SUM(H74:H79)*0.1,2)</f>
        <v>-128.66999999999999</v>
      </c>
      <c r="I82" s="162">
        <f t="shared" si="20"/>
        <v>-133.56</v>
      </c>
    </row>
    <row r="83" spans="1:10" x14ac:dyDescent="0.2">
      <c r="A83" s="165" t="s">
        <v>132</v>
      </c>
      <c r="B83" s="166">
        <f>SUM(B80:B82)+0.01</f>
        <v>1515.6516714819634</v>
      </c>
      <c r="C83" s="166">
        <f>SUM(C80:C82)+0.01</f>
        <v>1515.6516714819634</v>
      </c>
      <c r="D83" s="166">
        <f>SUM(D80:D82)-0.01</f>
        <v>1521.3064712967182</v>
      </c>
      <c r="E83" s="166">
        <f>SUM(E80:E82)+0.01</f>
        <v>1561.0434000000002</v>
      </c>
      <c r="F83" s="166">
        <f>SUM(F80:F82)+0</f>
        <v>1592.5929000000001</v>
      </c>
      <c r="G83" s="166">
        <f>SUM(G80:G82)-0.001</f>
        <v>1640.8965499999999</v>
      </c>
      <c r="H83" s="166">
        <f t="shared" ref="H83:I83" si="21">SUM(H80:H82)</f>
        <v>1690.1502499999997</v>
      </c>
      <c r="I83" s="166">
        <f t="shared" si="21"/>
        <v>1741.4765000000002</v>
      </c>
    </row>
    <row r="84" spans="1:10" x14ac:dyDescent="0.2">
      <c r="A84" s="168" t="s">
        <v>133</v>
      </c>
      <c r="B84" s="166"/>
      <c r="C84" s="166"/>
      <c r="D84" s="166"/>
      <c r="E84" s="166"/>
      <c r="F84" s="166"/>
      <c r="G84" s="166"/>
      <c r="H84" s="166"/>
      <c r="I84" s="166"/>
    </row>
    <row r="85" spans="1:10" x14ac:dyDescent="0.2">
      <c r="A85" s="165" t="s">
        <v>182</v>
      </c>
      <c r="B85" s="167">
        <v>0</v>
      </c>
      <c r="C85" s="167">
        <f t="shared" ref="C85:E85" si="22">(C80-B80)/B80</f>
        <v>0</v>
      </c>
      <c r="D85" s="167">
        <f t="shared" si="22"/>
        <v>3.8184141278690201E-3</v>
      </c>
      <c r="E85" s="167">
        <f t="shared" si="22"/>
        <v>2.6620186841141438E-2</v>
      </c>
      <c r="F85" s="167">
        <f t="shared" ref="F85" si="23">(F80-E80)/E80</f>
        <v>2.0601273776356583E-2</v>
      </c>
      <c r="G85" s="167">
        <f t="shared" ref="G85" si="24">(G80-F80)/F80</f>
        <v>3.090312855161105E-2</v>
      </c>
      <c r="H85" s="167">
        <f t="shared" ref="H85" si="25">(H80-G80)/G80</f>
        <v>3.0561924881223338E-2</v>
      </c>
      <c r="I85" s="167">
        <f t="shared" ref="I85" si="26">(I80-H80)/H80</f>
        <v>3.0909749916262851E-2</v>
      </c>
    </row>
    <row r="86" spans="1:10" x14ac:dyDescent="0.2">
      <c r="A86" s="168" t="s">
        <v>183</v>
      </c>
      <c r="B86" s="167">
        <v>-2.4051479278496109E-2</v>
      </c>
      <c r="C86" s="167">
        <f>(C83-B83)/B83</f>
        <v>0</v>
      </c>
      <c r="D86" s="167">
        <f>(D83-C83)/C83</f>
        <v>3.7309362838136239E-3</v>
      </c>
      <c r="E86" s="167">
        <f>(E83-D83)/D83</f>
        <v>2.6120265346279255E-2</v>
      </c>
      <c r="F86" s="167">
        <f t="shared" ref="F86:G86" si="27">(F83-E83)/E83</f>
        <v>2.0210520732479219E-2</v>
      </c>
      <c r="G86" s="167">
        <f t="shared" si="27"/>
        <v>3.0330192982776599E-2</v>
      </c>
      <c r="H86" s="167">
        <f t="shared" ref="H86" si="28">(H83-G83)/G83</f>
        <v>3.001633466777644E-2</v>
      </c>
      <c r="I86" s="167">
        <f t="shared" ref="I86" si="29">(I83-H83)/H83</f>
        <v>3.0367862265500086E-2</v>
      </c>
    </row>
    <row r="87" spans="1:10" x14ac:dyDescent="0.2">
      <c r="A87" s="169"/>
      <c r="B87" s="170"/>
      <c r="C87" s="170"/>
      <c r="D87" s="170"/>
      <c r="E87" s="170"/>
      <c r="F87" s="170"/>
      <c r="G87" s="170"/>
      <c r="H87" s="170"/>
      <c r="I87" s="170"/>
    </row>
    <row r="88" spans="1:10" hidden="1" x14ac:dyDescent="0.2">
      <c r="A88" s="169" t="s">
        <v>186</v>
      </c>
      <c r="B88" s="171"/>
      <c r="C88" s="171"/>
      <c r="D88" s="171"/>
      <c r="E88" s="171"/>
      <c r="F88" s="171"/>
      <c r="G88" s="171"/>
      <c r="H88" s="171"/>
      <c r="I88" s="171"/>
    </row>
    <row r="89" spans="1:10" x14ac:dyDescent="0.2">
      <c r="A89" s="169"/>
      <c r="B89" s="171"/>
      <c r="C89" s="200"/>
      <c r="D89" s="171"/>
      <c r="E89" s="171"/>
      <c r="F89" s="171"/>
      <c r="G89" s="171"/>
      <c r="H89" s="171"/>
      <c r="I89" s="171"/>
    </row>
    <row r="90" spans="1:10" x14ac:dyDescent="0.2">
      <c r="A90" s="133"/>
      <c r="B90" s="133"/>
      <c r="C90" s="133"/>
      <c r="D90" s="133"/>
      <c r="E90" s="133"/>
      <c r="F90" s="133"/>
      <c r="G90" s="133"/>
      <c r="H90" s="133"/>
      <c r="I90" s="133"/>
    </row>
    <row r="91" spans="1:10" hidden="1" x14ac:dyDescent="0.2">
      <c r="A91" s="133"/>
      <c r="B91" s="133"/>
      <c r="C91" s="133"/>
      <c r="D91" s="133"/>
      <c r="E91" s="133">
        <v>50</v>
      </c>
      <c r="F91" s="133">
        <v>10000</v>
      </c>
      <c r="G91" s="133">
        <f>+E91*12</f>
        <v>600</v>
      </c>
      <c r="H91" s="133"/>
      <c r="I91" s="133">
        <f>+F91*12</f>
        <v>120000</v>
      </c>
    </row>
    <row r="92" spans="1:10" hidden="1" x14ac:dyDescent="0.2">
      <c r="A92" s="133"/>
      <c r="B92" s="133"/>
      <c r="C92" s="133"/>
      <c r="D92" s="133"/>
      <c r="E92" s="133"/>
      <c r="F92" s="133"/>
      <c r="G92" s="133"/>
      <c r="H92" s="133"/>
      <c r="I92" s="133"/>
    </row>
    <row r="93" spans="1:10" hidden="1" x14ac:dyDescent="0.2">
      <c r="A93" s="133"/>
      <c r="B93" s="133">
        <v>2013</v>
      </c>
      <c r="C93" s="133"/>
      <c r="D93" s="133"/>
      <c r="E93" s="133">
        <v>2014</v>
      </c>
      <c r="F93" s="133">
        <v>2015</v>
      </c>
      <c r="G93" s="133">
        <v>2016</v>
      </c>
      <c r="H93" s="133"/>
      <c r="I93" s="133">
        <v>2017</v>
      </c>
      <c r="J93" s="155">
        <v>2018</v>
      </c>
    </row>
    <row r="94" spans="1:10" hidden="1" x14ac:dyDescent="0.2">
      <c r="A94" s="64" t="s">
        <v>126</v>
      </c>
      <c r="B94" s="65">
        <v>24.57</v>
      </c>
      <c r="C94" s="65"/>
      <c r="D94" s="65"/>
      <c r="E94" s="65">
        <v>24.57</v>
      </c>
      <c r="F94" s="65">
        <v>24.57</v>
      </c>
      <c r="G94" s="65">
        <v>24.57</v>
      </c>
      <c r="H94" s="65"/>
      <c r="I94" s="65">
        <v>24.57</v>
      </c>
      <c r="J94" s="65">
        <v>24.57</v>
      </c>
    </row>
    <row r="95" spans="1:10" hidden="1" x14ac:dyDescent="0.2">
      <c r="A95" s="66" t="s">
        <v>134</v>
      </c>
      <c r="B95" s="67">
        <v>0.1764</v>
      </c>
      <c r="C95" s="67"/>
      <c r="D95" s="67"/>
      <c r="E95" s="172">
        <v>0.1719</v>
      </c>
      <c r="F95" s="172">
        <v>0.16350000000000001</v>
      </c>
      <c r="G95" s="133">
        <v>0.1628</v>
      </c>
      <c r="H95" s="133"/>
      <c r="I95" s="173">
        <v>0.1696</v>
      </c>
      <c r="J95" s="174">
        <v>0.1739</v>
      </c>
    </row>
    <row r="96" spans="1:10" hidden="1" x14ac:dyDescent="0.2">
      <c r="A96" s="66" t="s">
        <v>135</v>
      </c>
      <c r="B96" s="67">
        <v>0.1143</v>
      </c>
      <c r="C96" s="67"/>
      <c r="D96" s="67"/>
      <c r="E96" s="172">
        <v>0.1114</v>
      </c>
      <c r="F96" s="172">
        <v>0.10589999999999999</v>
      </c>
      <c r="G96" s="133">
        <v>0.10539999999999999</v>
      </c>
      <c r="H96" s="133"/>
      <c r="I96" s="173">
        <v>0.10979999999999999</v>
      </c>
      <c r="J96" s="174">
        <v>0.11260000000000001</v>
      </c>
    </row>
    <row r="97" spans="1:12" hidden="1" x14ac:dyDescent="0.2">
      <c r="A97" s="66" t="s">
        <v>136</v>
      </c>
      <c r="B97" s="67">
        <v>-2.5600000000000001E-2</v>
      </c>
      <c r="C97" s="67"/>
      <c r="D97" s="67"/>
      <c r="E97" s="172">
        <v>-1.6610251658570607E-2</v>
      </c>
      <c r="F97" s="172">
        <v>-5.9534137041660096E-3</v>
      </c>
      <c r="G97" s="172">
        <v>2.0584394209993383E-3</v>
      </c>
      <c r="H97" s="172"/>
      <c r="I97" s="173">
        <v>1.187722304535743E-3</v>
      </c>
      <c r="J97" s="174">
        <v>5.7474704397934742E-4</v>
      </c>
    </row>
    <row r="98" spans="1:12" hidden="1" x14ac:dyDescent="0.2">
      <c r="A98" s="66" t="s">
        <v>137</v>
      </c>
      <c r="B98" s="67">
        <v>6.7600000000000004E-3</v>
      </c>
      <c r="C98" s="67"/>
      <c r="D98" s="67"/>
      <c r="E98" s="172">
        <v>5.2499999977977507E-3</v>
      </c>
      <c r="F98" s="172">
        <v>5.3599999977977505E-3</v>
      </c>
      <c r="G98" s="172">
        <v>5.3599999977977505E-3</v>
      </c>
      <c r="H98" s="172"/>
      <c r="I98" s="173">
        <v>5.3599999977977505E-3</v>
      </c>
      <c r="J98" s="174">
        <v>5.3599999977977505E-3</v>
      </c>
    </row>
    <row r="99" spans="1:12" hidden="1" x14ac:dyDescent="0.2">
      <c r="A99" s="66" t="s">
        <v>138</v>
      </c>
      <c r="B99" s="67">
        <v>2.9999999999999997E-4</v>
      </c>
      <c r="C99" s="67"/>
      <c r="D99" s="67"/>
      <c r="E99" s="172">
        <v>2.7E-4</v>
      </c>
      <c r="F99" s="172">
        <v>2.7E-4</v>
      </c>
      <c r="G99" s="172">
        <v>2.7E-4</v>
      </c>
      <c r="H99" s="172"/>
      <c r="I99" s="173">
        <v>2.7E-4</v>
      </c>
      <c r="J99" s="174">
        <v>2.7E-4</v>
      </c>
    </row>
    <row r="100" spans="1:12" hidden="1" x14ac:dyDescent="0.2">
      <c r="A100" s="66" t="s">
        <v>139</v>
      </c>
      <c r="B100" s="67">
        <v>-7.0727864299401056E-4</v>
      </c>
      <c r="C100" s="67"/>
      <c r="D100" s="67"/>
      <c r="E100" s="172">
        <v>-7.0727864299401056E-4</v>
      </c>
      <c r="F100" s="172">
        <v>-7.0727864299401056E-4</v>
      </c>
      <c r="G100" s="172">
        <v>-4.0973153794485566E-3</v>
      </c>
      <c r="H100" s="172"/>
      <c r="I100" s="173">
        <v>-4.7317579151564676E-3</v>
      </c>
      <c r="J100" s="174">
        <v>-3.4451528104679167E-3</v>
      </c>
    </row>
    <row r="101" spans="1:12" hidden="1" x14ac:dyDescent="0.2">
      <c r="A101" s="64" t="s">
        <v>140</v>
      </c>
      <c r="B101" s="68">
        <v>0</v>
      </c>
      <c r="C101" s="68"/>
      <c r="D101" s="68"/>
      <c r="E101" s="175">
        <v>0</v>
      </c>
      <c r="F101" s="175">
        <v>0</v>
      </c>
      <c r="G101" s="175">
        <v>0</v>
      </c>
      <c r="H101" s="175"/>
      <c r="I101" s="175">
        <v>0</v>
      </c>
      <c r="J101" s="176">
        <v>0</v>
      </c>
    </row>
    <row r="102" spans="1:12" hidden="1" x14ac:dyDescent="0.2">
      <c r="A102" s="64" t="s">
        <v>141</v>
      </c>
      <c r="B102" s="175">
        <v>13.43</v>
      </c>
      <c r="C102" s="175"/>
      <c r="D102" s="175"/>
      <c r="E102" s="175">
        <v>13.43</v>
      </c>
      <c r="F102" s="175">
        <v>13.43</v>
      </c>
      <c r="G102" s="175">
        <v>13.43</v>
      </c>
      <c r="H102" s="175"/>
      <c r="I102" s="175">
        <v>13.43</v>
      </c>
      <c r="J102" s="176">
        <v>13.43</v>
      </c>
    </row>
    <row r="103" spans="1:12" hidden="1" x14ac:dyDescent="0.2">
      <c r="A103" s="133"/>
      <c r="B103" s="133"/>
      <c r="C103" s="133"/>
      <c r="D103" s="133"/>
      <c r="E103" s="133"/>
      <c r="F103" s="133"/>
      <c r="G103" s="133"/>
      <c r="H103" s="133"/>
      <c r="I103" s="133"/>
    </row>
    <row r="104" spans="1:12" hidden="1" x14ac:dyDescent="0.2">
      <c r="A104" s="133"/>
      <c r="B104" s="133"/>
      <c r="C104" s="133"/>
      <c r="D104" s="133"/>
      <c r="E104" s="133"/>
      <c r="F104" s="133"/>
      <c r="G104" s="133"/>
      <c r="H104" s="133"/>
      <c r="I104" s="133"/>
    </row>
    <row r="105" spans="1:12" hidden="1" x14ac:dyDescent="0.2">
      <c r="A105" s="177" t="s">
        <v>142</v>
      </c>
      <c r="B105" s="177"/>
      <c r="C105" s="177"/>
      <c r="D105" s="177"/>
      <c r="E105" s="133"/>
      <c r="F105" s="133"/>
      <c r="G105" s="133"/>
      <c r="H105" s="133"/>
      <c r="I105" s="133"/>
    </row>
    <row r="106" spans="1:12" hidden="1" x14ac:dyDescent="0.2">
      <c r="A106" s="133" t="s">
        <v>126</v>
      </c>
      <c r="B106" s="178">
        <f t="shared" ref="B106:J106" si="30">+B94</f>
        <v>24.57</v>
      </c>
      <c r="C106" s="178"/>
      <c r="D106" s="178"/>
      <c r="E106" s="178">
        <f t="shared" si="30"/>
        <v>24.57</v>
      </c>
      <c r="F106" s="178">
        <f t="shared" si="30"/>
        <v>24.57</v>
      </c>
      <c r="G106" s="178">
        <f t="shared" si="30"/>
        <v>24.57</v>
      </c>
      <c r="H106" s="178"/>
      <c r="I106" s="178">
        <f t="shared" si="30"/>
        <v>24.57</v>
      </c>
      <c r="J106" s="179">
        <f t="shared" si="30"/>
        <v>24.57</v>
      </c>
    </row>
    <row r="107" spans="1:12" hidden="1" x14ac:dyDescent="0.2">
      <c r="A107" s="133" t="s">
        <v>143</v>
      </c>
      <c r="B107" s="175">
        <f>IF($E$91&lt;=20,0,($E$91-20)*B102)</f>
        <v>402.9</v>
      </c>
      <c r="C107" s="175"/>
      <c r="D107" s="175"/>
      <c r="E107" s="175">
        <f>IF($E$91&lt;=20,0,($E$91-20)*E102)</f>
        <v>402.9</v>
      </c>
      <c r="F107" s="175">
        <f>IF($E$91&lt;=20,0,($E$91-20)*F102)</f>
        <v>402.9</v>
      </c>
      <c r="G107" s="175">
        <f>IF($E$91&lt;=20,0,($E$91-20)*G102)</f>
        <v>402.9</v>
      </c>
      <c r="H107" s="175"/>
      <c r="I107" s="175">
        <f>IF($E$91&lt;=20,0,($E$91-20)*I102)</f>
        <v>402.9</v>
      </c>
      <c r="J107" s="176">
        <f>IF($E$91&lt;=20,0,($E$91-20)*J102)</f>
        <v>402.9</v>
      </c>
      <c r="K107" s="180"/>
      <c r="L107" s="180"/>
    </row>
    <row r="108" spans="1:12" hidden="1" x14ac:dyDescent="0.2">
      <c r="A108" s="133" t="s">
        <v>127</v>
      </c>
      <c r="B108" s="175">
        <f>IF($F$91&gt;5000,((5000*B95)+(($F$91-5000)*B96)),$F$91*B95)</f>
        <v>1453.5</v>
      </c>
      <c r="C108" s="175"/>
      <c r="D108" s="175"/>
      <c r="E108" s="175">
        <f>IF($F$91&gt;5000,((5000*E95)+(($F$91-5000)*E96)),$F$91*E95)</f>
        <v>1416.5</v>
      </c>
      <c r="F108" s="175">
        <f>IF($F$91&gt;5000,((5000*F95)+(($F$91-5000)*F96)),$F$91*F95)</f>
        <v>1347</v>
      </c>
      <c r="G108" s="175">
        <f>IF($F$91&gt;5000,((5000*G95)+(($F$91-5000)*G96)),$F$91*G95)</f>
        <v>1341</v>
      </c>
      <c r="H108" s="175"/>
      <c r="I108" s="175">
        <f>IF($F$91&gt;5000,((5000*I95)+(($F$91-5000)*I96)),$F$91*I95)</f>
        <v>1397</v>
      </c>
      <c r="J108" s="176">
        <f>IF($F$91&gt;5000,((5000*J95)+(($F$91-5000)*J96)),$F$91*J95)</f>
        <v>1432.5</v>
      </c>
      <c r="K108" s="181"/>
      <c r="L108" s="181"/>
    </row>
    <row r="109" spans="1:12" hidden="1" x14ac:dyDescent="0.2">
      <c r="A109" s="66" t="s">
        <v>128</v>
      </c>
      <c r="B109" s="182">
        <f>$F$91*B97</f>
        <v>-256</v>
      </c>
      <c r="C109" s="182"/>
      <c r="D109" s="182"/>
      <c r="E109" s="182">
        <f t="shared" ref="E109:J112" si="31">$F$91*E97</f>
        <v>-166.10251658570607</v>
      </c>
      <c r="F109" s="182">
        <f t="shared" si="31"/>
        <v>-59.534137041660095</v>
      </c>
      <c r="G109" s="182">
        <f t="shared" si="31"/>
        <v>20.584394209993384</v>
      </c>
      <c r="H109" s="182"/>
      <c r="I109" s="182">
        <f t="shared" si="31"/>
        <v>11.877223045357431</v>
      </c>
      <c r="J109" s="183">
        <f t="shared" si="31"/>
        <v>5.7474704397934744</v>
      </c>
      <c r="K109" s="181"/>
      <c r="L109" s="181"/>
    </row>
    <row r="110" spans="1:12" hidden="1" x14ac:dyDescent="0.2">
      <c r="A110" s="66" t="s">
        <v>129</v>
      </c>
      <c r="B110" s="182">
        <f>$F$91*B98</f>
        <v>67.600000000000009</v>
      </c>
      <c r="C110" s="182"/>
      <c r="D110" s="182"/>
      <c r="E110" s="182">
        <f t="shared" si="31"/>
        <v>52.49999997797751</v>
      </c>
      <c r="F110" s="182">
        <f t="shared" si="31"/>
        <v>53.599999977977504</v>
      </c>
      <c r="G110" s="182">
        <f t="shared" si="31"/>
        <v>53.599999977977504</v>
      </c>
      <c r="H110" s="182"/>
      <c r="I110" s="182">
        <f t="shared" si="31"/>
        <v>53.599999977977504</v>
      </c>
      <c r="J110" s="183">
        <f t="shared" si="31"/>
        <v>53.599999977977504</v>
      </c>
      <c r="K110" s="180"/>
      <c r="L110" s="184"/>
    </row>
    <row r="111" spans="1:12" hidden="1" x14ac:dyDescent="0.2">
      <c r="A111" s="66" t="s">
        <v>130</v>
      </c>
      <c r="B111" s="182">
        <f>$F$91*B99</f>
        <v>2.9999999999999996</v>
      </c>
      <c r="C111" s="182"/>
      <c r="D111" s="182"/>
      <c r="E111" s="182">
        <f t="shared" si="31"/>
        <v>2.7</v>
      </c>
      <c r="F111" s="182">
        <f t="shared" si="31"/>
        <v>2.7</v>
      </c>
      <c r="G111" s="182">
        <f t="shared" si="31"/>
        <v>2.7</v>
      </c>
      <c r="H111" s="182"/>
      <c r="I111" s="182">
        <f t="shared" si="31"/>
        <v>2.7</v>
      </c>
      <c r="J111" s="183">
        <f t="shared" si="31"/>
        <v>2.7</v>
      </c>
      <c r="K111" s="180"/>
      <c r="L111" s="184"/>
    </row>
    <row r="112" spans="1:12" hidden="1" x14ac:dyDescent="0.2">
      <c r="A112" s="66" t="s">
        <v>3</v>
      </c>
      <c r="B112" s="182">
        <f>$F$91*B100</f>
        <v>-7.0727864299401055</v>
      </c>
      <c r="C112" s="182"/>
      <c r="D112" s="182"/>
      <c r="E112" s="182">
        <f t="shared" si="31"/>
        <v>-7.0727864299401055</v>
      </c>
      <c r="F112" s="182">
        <f t="shared" si="31"/>
        <v>-7.0727864299401055</v>
      </c>
      <c r="G112" s="182">
        <f t="shared" si="31"/>
        <v>-40.973153794485569</v>
      </c>
      <c r="H112" s="182"/>
      <c r="I112" s="182">
        <f t="shared" si="31"/>
        <v>-47.317579151564679</v>
      </c>
      <c r="J112" s="183">
        <f t="shared" si="31"/>
        <v>-34.45152810467917</v>
      </c>
      <c r="K112" s="180"/>
      <c r="L112" s="184"/>
    </row>
    <row r="113" spans="1:12" hidden="1" x14ac:dyDescent="0.2">
      <c r="A113" s="66" t="s">
        <v>80</v>
      </c>
      <c r="B113" s="178">
        <f t="shared" ref="B113:J113" si="32">SUM(B106:B112)</f>
        <v>1688.4972135700598</v>
      </c>
      <c r="C113" s="178"/>
      <c r="D113" s="178"/>
      <c r="E113" s="178">
        <f t="shared" si="32"/>
        <v>1725.9946969623313</v>
      </c>
      <c r="F113" s="178">
        <f t="shared" si="32"/>
        <v>1764.1630765063771</v>
      </c>
      <c r="G113" s="178">
        <f t="shared" si="32"/>
        <v>1804.3812403934853</v>
      </c>
      <c r="H113" s="178"/>
      <c r="I113" s="178">
        <f t="shared" si="32"/>
        <v>1845.3296438717703</v>
      </c>
      <c r="J113" s="179">
        <f t="shared" si="32"/>
        <v>1887.5659423130917</v>
      </c>
      <c r="K113" s="180"/>
      <c r="L113" s="184"/>
    </row>
    <row r="114" spans="1:12" hidden="1" x14ac:dyDescent="0.2">
      <c r="A114" s="66" t="s">
        <v>131</v>
      </c>
      <c r="B114" s="185">
        <f t="shared" ref="B114:J114" si="33">+B113*0.14</f>
        <v>236.38960989980839</v>
      </c>
      <c r="C114" s="185"/>
      <c r="D114" s="185"/>
      <c r="E114" s="185">
        <f t="shared" si="33"/>
        <v>241.6392575747264</v>
      </c>
      <c r="F114" s="185">
        <f t="shared" si="33"/>
        <v>246.98283071089281</v>
      </c>
      <c r="G114" s="185">
        <f t="shared" si="33"/>
        <v>252.61337365508797</v>
      </c>
      <c r="H114" s="185"/>
      <c r="I114" s="185">
        <f t="shared" si="33"/>
        <v>258.34615014204786</v>
      </c>
      <c r="J114" s="186">
        <f t="shared" si="33"/>
        <v>264.25923192383289</v>
      </c>
      <c r="K114" s="180"/>
      <c r="L114" s="187"/>
    </row>
    <row r="115" spans="1:12" hidden="1" x14ac:dyDescent="0.2">
      <c r="A115" s="66" t="s">
        <v>144</v>
      </c>
      <c r="B115" s="178">
        <f t="shared" ref="B115:J115" si="34">SUM(B113:B114)</f>
        <v>1924.8868234698682</v>
      </c>
      <c r="C115" s="178"/>
      <c r="D115" s="178"/>
      <c r="E115" s="178">
        <f t="shared" si="34"/>
        <v>1967.6339545370577</v>
      </c>
      <c r="F115" s="178">
        <f t="shared" si="34"/>
        <v>2011.14590721727</v>
      </c>
      <c r="G115" s="178">
        <f t="shared" si="34"/>
        <v>2056.9946140485731</v>
      </c>
      <c r="H115" s="178"/>
      <c r="I115" s="178">
        <f t="shared" si="34"/>
        <v>2103.6757940138182</v>
      </c>
      <c r="J115" s="179">
        <f t="shared" si="34"/>
        <v>2151.8251742369248</v>
      </c>
      <c r="K115" s="180"/>
      <c r="L115" s="187"/>
    </row>
    <row r="116" spans="1:12" hidden="1" x14ac:dyDescent="0.2">
      <c r="A116" s="66" t="s">
        <v>145</v>
      </c>
      <c r="B116" s="188"/>
      <c r="C116" s="188"/>
      <c r="D116" s="188"/>
      <c r="E116" s="188">
        <f>(E115-B115)/B115</f>
        <v>2.2207607505012678E-2</v>
      </c>
      <c r="F116" s="188">
        <f>(F115-E115)/E115</f>
        <v>2.2113845199652354E-2</v>
      </c>
      <c r="G116" s="188">
        <f>(G115-F115)/F115</f>
        <v>2.2797305091972121E-2</v>
      </c>
      <c r="H116" s="188"/>
      <c r="I116" s="188">
        <f>(I115-G115)/G115</f>
        <v>2.2693875640912471E-2</v>
      </c>
      <c r="J116" s="189">
        <f>(J115-I115)/I115</f>
        <v>2.28882132694209E-2</v>
      </c>
      <c r="K116" s="180"/>
      <c r="L116" s="180"/>
    </row>
    <row r="117" spans="1:12" hidden="1" x14ac:dyDescent="0.2">
      <c r="A117" s="66"/>
      <c r="B117" s="66"/>
      <c r="C117" s="66"/>
      <c r="D117" s="66"/>
      <c r="E117" s="188"/>
      <c r="F117" s="188"/>
      <c r="G117" s="188"/>
      <c r="H117" s="188"/>
      <c r="I117" s="133"/>
      <c r="J117" s="180"/>
      <c r="K117" s="180"/>
      <c r="L117" s="180"/>
    </row>
    <row r="118" spans="1:12" hidden="1" x14ac:dyDescent="0.2">
      <c r="A118" s="66"/>
      <c r="B118" s="66"/>
      <c r="C118" s="66"/>
      <c r="D118" s="66"/>
      <c r="E118" s="188"/>
      <c r="F118" s="188"/>
      <c r="G118" s="188"/>
      <c r="H118" s="188"/>
      <c r="I118" s="133"/>
    </row>
    <row r="119" spans="1:12" x14ac:dyDescent="0.2">
      <c r="A119" s="133"/>
      <c r="B119" s="133"/>
      <c r="C119" s="133"/>
      <c r="D119" s="133"/>
      <c r="E119" s="133"/>
      <c r="F119" s="133"/>
      <c r="G119" s="133"/>
      <c r="H119" s="133"/>
      <c r="I119" s="133"/>
    </row>
    <row r="120" spans="1:12" x14ac:dyDescent="0.2">
      <c r="A120" s="693" t="s">
        <v>454</v>
      </c>
      <c r="B120" s="694"/>
      <c r="C120" s="694"/>
      <c r="D120" s="694"/>
      <c r="E120" s="694"/>
      <c r="F120" s="694"/>
      <c r="G120" s="694"/>
      <c r="H120" s="694"/>
      <c r="I120" s="695"/>
    </row>
    <row r="121" spans="1:12" x14ac:dyDescent="0.2">
      <c r="A121" s="696" t="s">
        <v>457</v>
      </c>
      <c r="B121" s="697"/>
      <c r="C121" s="697"/>
      <c r="D121" s="697"/>
      <c r="E121" s="697"/>
      <c r="F121" s="697"/>
      <c r="G121" s="697"/>
      <c r="H121" s="697"/>
      <c r="I121" s="698"/>
    </row>
    <row r="122" spans="1:12" x14ac:dyDescent="0.2">
      <c r="A122" s="687" t="s">
        <v>147</v>
      </c>
      <c r="B122" s="688"/>
      <c r="C122" s="688"/>
      <c r="D122" s="688"/>
      <c r="E122" s="688"/>
      <c r="F122" s="688"/>
      <c r="G122" s="688"/>
      <c r="H122" s="688"/>
      <c r="I122" s="689"/>
    </row>
    <row r="123" spans="1:12" x14ac:dyDescent="0.2">
      <c r="A123" s="680" t="s">
        <v>226</v>
      </c>
      <c r="B123" s="681"/>
      <c r="C123" s="681"/>
      <c r="D123" s="681"/>
      <c r="E123" s="681"/>
      <c r="F123" s="681"/>
      <c r="G123" s="681"/>
      <c r="H123" s="681"/>
      <c r="I123" s="682"/>
    </row>
    <row r="124" spans="1:12" x14ac:dyDescent="0.2">
      <c r="A124" s="686"/>
      <c r="B124" s="156"/>
      <c r="C124" s="156"/>
      <c r="D124" s="156"/>
      <c r="E124" s="156"/>
      <c r="F124" s="157" t="s">
        <v>249</v>
      </c>
      <c r="G124" s="683" t="s">
        <v>248</v>
      </c>
      <c r="H124" s="684"/>
      <c r="I124" s="685"/>
    </row>
    <row r="125" spans="1:12" x14ac:dyDescent="0.2">
      <c r="A125" s="680"/>
      <c r="B125" s="158">
        <f t="shared" ref="B125:G125" si="35">+B6</f>
        <v>2019</v>
      </c>
      <c r="C125" s="158">
        <f t="shared" si="35"/>
        <v>2020</v>
      </c>
      <c r="D125" s="158">
        <f t="shared" si="35"/>
        <v>2021</v>
      </c>
      <c r="E125" s="158">
        <f t="shared" si="35"/>
        <v>2022</v>
      </c>
      <c r="F125" s="158" t="str">
        <f>+F72</f>
        <v>2022/2023</v>
      </c>
      <c r="G125" s="158" t="str">
        <f t="shared" si="35"/>
        <v>2023/2024</v>
      </c>
      <c r="H125" s="158" t="str">
        <f t="shared" ref="H125:I125" si="36">+H6</f>
        <v>2024/2025</v>
      </c>
      <c r="I125" s="158" t="str">
        <f t="shared" si="36"/>
        <v>2025/2026</v>
      </c>
    </row>
    <row r="126" spans="1:12" x14ac:dyDescent="0.2">
      <c r="A126" s="135" t="s">
        <v>126</v>
      </c>
      <c r="B126" s="201">
        <v>294.84000000000003</v>
      </c>
      <c r="C126" s="201">
        <v>294.84000000000003</v>
      </c>
      <c r="D126" s="201">
        <v>294.83999999999997</v>
      </c>
      <c r="E126" s="198">
        <v>294.83999999999997</v>
      </c>
      <c r="F126" s="161">
        <v>294.83999999999997</v>
      </c>
      <c r="G126" s="161">
        <v>294.83999999999997</v>
      </c>
      <c r="H126" s="161">
        <v>294.83999999999997</v>
      </c>
      <c r="I126" s="161">
        <v>294.83999999999997</v>
      </c>
    </row>
    <row r="127" spans="1:12" x14ac:dyDescent="0.2">
      <c r="A127" s="135" t="s">
        <v>143</v>
      </c>
      <c r="B127" s="160">
        <v>4834.7999999999993</v>
      </c>
      <c r="C127" s="160">
        <v>4834.7999999999993</v>
      </c>
      <c r="D127" s="160">
        <v>4834.8</v>
      </c>
      <c r="E127" s="160">
        <v>4834.8</v>
      </c>
      <c r="F127" s="160">
        <v>4834.8</v>
      </c>
      <c r="G127" s="160">
        <v>4834.8</v>
      </c>
      <c r="H127" s="160">
        <v>4834.8</v>
      </c>
      <c r="I127" s="160">
        <v>4834.8</v>
      </c>
    </row>
    <row r="128" spans="1:12" x14ac:dyDescent="0.2">
      <c r="A128" s="135" t="s">
        <v>127</v>
      </c>
      <c r="B128" s="160">
        <v>17190</v>
      </c>
      <c r="C128" s="160">
        <v>17190</v>
      </c>
      <c r="D128" s="160">
        <v>17252.25</v>
      </c>
      <c r="E128" s="160">
        <v>17688</v>
      </c>
      <c r="F128" s="160">
        <v>17688</v>
      </c>
      <c r="G128" s="160">
        <v>18946</v>
      </c>
      <c r="H128" s="160">
        <v>19674.5</v>
      </c>
      <c r="I128" s="160">
        <v>20451</v>
      </c>
    </row>
    <row r="129" spans="1:9" x14ac:dyDescent="0.2">
      <c r="A129" s="202" t="s">
        <v>128</v>
      </c>
      <c r="B129" s="160">
        <v>69</v>
      </c>
      <c r="C129" s="160">
        <v>69</v>
      </c>
      <c r="D129" s="160">
        <v>60.375</v>
      </c>
      <c r="E129" s="160">
        <v>0</v>
      </c>
      <c r="F129" s="160">
        <v>462.29999999999995</v>
      </c>
      <c r="G129" s="160">
        <v>579</v>
      </c>
      <c r="H129" s="160">
        <v>387.7</v>
      </c>
      <c r="I129" s="160">
        <v>279.15000000000003</v>
      </c>
    </row>
    <row r="130" spans="1:9" x14ac:dyDescent="0.2">
      <c r="A130" s="202" t="s">
        <v>129</v>
      </c>
      <c r="B130" s="160">
        <v>643.19999973572999</v>
      </c>
      <c r="C130" s="160">
        <v>643.19999973572999</v>
      </c>
      <c r="D130" s="160">
        <v>616.58999976876385</v>
      </c>
      <c r="E130" s="160">
        <v>430.32000000000005</v>
      </c>
      <c r="F130" s="160">
        <v>430.32000000000005</v>
      </c>
      <c r="G130" s="160">
        <v>17.93</v>
      </c>
      <c r="H130" s="160">
        <v>0</v>
      </c>
      <c r="I130" s="160">
        <v>0</v>
      </c>
    </row>
    <row r="131" spans="1:9" x14ac:dyDescent="0.2">
      <c r="A131" s="202" t="s">
        <v>178</v>
      </c>
      <c r="B131" s="160">
        <v>0</v>
      </c>
      <c r="C131" s="160">
        <v>0</v>
      </c>
      <c r="D131" s="160">
        <v>21.585000000000001</v>
      </c>
      <c r="E131" s="160">
        <v>161.87999999999997</v>
      </c>
      <c r="F131" s="160">
        <v>161.87999999999997</v>
      </c>
      <c r="G131" s="160">
        <v>6.75</v>
      </c>
      <c r="H131" s="160">
        <v>64.400000000000006</v>
      </c>
      <c r="I131" s="160">
        <v>141.94999999999996</v>
      </c>
    </row>
    <row r="132" spans="1:9" hidden="1" x14ac:dyDescent="0.2">
      <c r="A132" s="202" t="s">
        <v>130</v>
      </c>
      <c r="B132" s="160">
        <v>32.400000000000006</v>
      </c>
      <c r="C132" s="160">
        <v>32.400000000000006</v>
      </c>
      <c r="D132" s="160">
        <v>26.999999999999996</v>
      </c>
      <c r="E132" s="160">
        <v>0</v>
      </c>
      <c r="F132" s="160">
        <v>0</v>
      </c>
      <c r="G132" s="160">
        <v>0</v>
      </c>
      <c r="H132" s="160">
        <v>0</v>
      </c>
      <c r="I132" s="160">
        <v>0</v>
      </c>
    </row>
    <row r="133" spans="1:9" x14ac:dyDescent="0.2">
      <c r="A133" s="202" t="s">
        <v>3</v>
      </c>
      <c r="B133" s="160">
        <v>-413.41800000000001</v>
      </c>
      <c r="C133" s="160">
        <v>-413.41800000000001</v>
      </c>
      <c r="D133" s="160">
        <v>-372.72075000000007</v>
      </c>
      <c r="E133" s="203">
        <v>-87.839999999999989</v>
      </c>
      <c r="F133" s="203">
        <v>-87.839999999999989</v>
      </c>
      <c r="G133" s="203">
        <v>-170.41</v>
      </c>
      <c r="H133" s="203">
        <v>-7.2499999999999991</v>
      </c>
      <c r="I133" s="203">
        <v>0</v>
      </c>
    </row>
    <row r="134" spans="1:9" x14ac:dyDescent="0.2">
      <c r="A134" s="137" t="s">
        <v>116</v>
      </c>
      <c r="B134" s="162">
        <f>SUM(B126:B133)</f>
        <v>22650.82199973573</v>
      </c>
      <c r="C134" s="162">
        <f t="shared" ref="C134:I134" si="37">SUM(C126:C133)</f>
        <v>22650.82199973573</v>
      </c>
      <c r="D134" s="162">
        <f t="shared" si="37"/>
        <v>22734.719249768761</v>
      </c>
      <c r="E134" s="204">
        <f t="shared" si="37"/>
        <v>23322</v>
      </c>
      <c r="F134" s="204">
        <f t="shared" ref="F134" si="38">SUM(F126:F133)</f>
        <v>23784.3</v>
      </c>
      <c r="G134" s="162">
        <f t="shared" si="37"/>
        <v>24508.91</v>
      </c>
      <c r="H134" s="164">
        <f>SUM(H126:H133)</f>
        <v>25248.99</v>
      </c>
      <c r="I134" s="162">
        <f t="shared" si="37"/>
        <v>26001.74</v>
      </c>
    </row>
    <row r="135" spans="1:9" x14ac:dyDescent="0.2">
      <c r="A135" s="160" t="s">
        <v>131</v>
      </c>
      <c r="B135" s="204">
        <f>+B134*0.15+0.006</f>
        <v>3397.6292999603593</v>
      </c>
      <c r="C135" s="204">
        <f t="shared" ref="C135:D135" si="39">+C134*0.15+0.006</f>
        <v>3397.6292999603593</v>
      </c>
      <c r="D135" s="204">
        <f t="shared" si="39"/>
        <v>3410.2138874653137</v>
      </c>
      <c r="E135" s="204">
        <f>+E134*0.15</f>
        <v>3498.2999999999997</v>
      </c>
      <c r="F135" s="204">
        <f>+F134*0.15</f>
        <v>3567.645</v>
      </c>
      <c r="G135" s="204">
        <f>+G134*0.15</f>
        <v>3676.3364999999999</v>
      </c>
      <c r="H135" s="204">
        <f t="shared" ref="H135:I135" si="40">+H134*0.15</f>
        <v>3787.3485000000001</v>
      </c>
      <c r="I135" s="204">
        <f t="shared" si="40"/>
        <v>3900.261</v>
      </c>
    </row>
    <row r="136" spans="1:9" x14ac:dyDescent="0.2">
      <c r="A136" s="165" t="s">
        <v>132</v>
      </c>
      <c r="B136" s="205">
        <f>SUM(B134:B135)</f>
        <v>26048.451299696091</v>
      </c>
      <c r="C136" s="205">
        <f t="shared" ref="C136:I136" si="41">SUM(C134:C135)</f>
        <v>26048.451299696091</v>
      </c>
      <c r="D136" s="205">
        <f t="shared" si="41"/>
        <v>26144.933137234075</v>
      </c>
      <c r="E136" s="205">
        <f t="shared" si="41"/>
        <v>26820.3</v>
      </c>
      <c r="F136" s="205">
        <f t="shared" ref="F136" si="42">SUM(F134:F135)</f>
        <v>27351.945</v>
      </c>
      <c r="G136" s="205">
        <f t="shared" si="41"/>
        <v>28185.246500000001</v>
      </c>
      <c r="H136" s="246">
        <f>SUM(H134:H135)</f>
        <v>29036.338500000002</v>
      </c>
      <c r="I136" s="205">
        <f t="shared" si="41"/>
        <v>29902.001</v>
      </c>
    </row>
    <row r="137" spans="1:9" x14ac:dyDescent="0.2">
      <c r="A137" s="168" t="s">
        <v>133</v>
      </c>
      <c r="B137" s="205"/>
      <c r="C137" s="205"/>
      <c r="D137" s="205"/>
      <c r="E137" s="205"/>
      <c r="F137" s="205"/>
      <c r="G137" s="205"/>
      <c r="H137" s="205"/>
      <c r="I137" s="205"/>
    </row>
    <row r="138" spans="1:9" x14ac:dyDescent="0.2">
      <c r="A138" s="165" t="s">
        <v>182</v>
      </c>
      <c r="B138" s="167">
        <v>0</v>
      </c>
      <c r="C138" s="167">
        <f t="shared" ref="C138:E138" si="43">(C134-B134)/B134</f>
        <v>0</v>
      </c>
      <c r="D138" s="167">
        <f t="shared" si="43"/>
        <v>3.7039384281069292E-3</v>
      </c>
      <c r="E138" s="167">
        <f t="shared" si="43"/>
        <v>2.5831889269413884E-2</v>
      </c>
      <c r="F138" s="167">
        <f t="shared" ref="F138" si="44">(F134-E134)/E134</f>
        <v>1.982248520710056E-2</v>
      </c>
      <c r="G138" s="167">
        <f>(G134-F134)/F134</f>
        <v>3.0465895569766636E-2</v>
      </c>
      <c r="H138" s="167">
        <f t="shared" ref="H138:I138" si="45">(H134-G134)/G134</f>
        <v>3.0196365321836088E-2</v>
      </c>
      <c r="I138" s="167">
        <f t="shared" si="45"/>
        <v>2.9813073711067253E-2</v>
      </c>
    </row>
    <row r="139" spans="1:9" x14ac:dyDescent="0.2">
      <c r="A139" s="168" t="s">
        <v>183</v>
      </c>
      <c r="B139" s="167">
        <v>0</v>
      </c>
      <c r="C139" s="167">
        <f t="shared" ref="C139:E139" si="46">(C136-B136)/B136</f>
        <v>0</v>
      </c>
      <c r="D139" s="167">
        <f t="shared" si="46"/>
        <v>3.7039375749417136E-3</v>
      </c>
      <c r="E139" s="167">
        <f t="shared" si="46"/>
        <v>2.5831653851281292E-2</v>
      </c>
      <c r="F139" s="167">
        <f t="shared" ref="F139" si="47">(F136-E136)/E136</f>
        <v>1.9822485207100608E-2</v>
      </c>
      <c r="G139" s="167">
        <f t="shared" ref="G139" si="48">(G136-F136)/F136</f>
        <v>3.0465895569766661E-2</v>
      </c>
      <c r="H139" s="167">
        <f t="shared" ref="H139" si="49">(H136-G136)/G136</f>
        <v>3.0196365321836036E-2</v>
      </c>
      <c r="I139" s="167">
        <f t="shared" ref="I139" si="50">(I136-H136)/H136</f>
        <v>2.9813073711067204E-2</v>
      </c>
    </row>
    <row r="140" spans="1:9" x14ac:dyDescent="0.2">
      <c r="A140" s="206"/>
    </row>
    <row r="141" spans="1:9" x14ac:dyDescent="0.2">
      <c r="B141" s="176"/>
      <c r="C141" s="176"/>
      <c r="D141" s="176"/>
      <c r="E141" s="176"/>
      <c r="F141" s="176"/>
      <c r="G141" s="176"/>
      <c r="H141" s="176"/>
      <c r="I141" s="176"/>
    </row>
  </sheetData>
  <mergeCells count="18">
    <mergeCell ref="A2:I2"/>
    <mergeCell ref="A3:I3"/>
    <mergeCell ref="A53:I53"/>
    <mergeCell ref="A54:I54"/>
    <mergeCell ref="A55:I55"/>
    <mergeCell ref="A5:A6"/>
    <mergeCell ref="A123:I123"/>
    <mergeCell ref="G124:I124"/>
    <mergeCell ref="A124:A125"/>
    <mergeCell ref="G5:I5"/>
    <mergeCell ref="A4:I4"/>
    <mergeCell ref="G71:I71"/>
    <mergeCell ref="A70:I70"/>
    <mergeCell ref="A122:I122"/>
    <mergeCell ref="A68:I68"/>
    <mergeCell ref="A69:I69"/>
    <mergeCell ref="A120:I120"/>
    <mergeCell ref="A121:I121"/>
  </mergeCells>
  <printOptions horizontalCentered="1"/>
  <pageMargins left="0.7" right="0.7" top="0.75" bottom="0.75" header="0.3" footer="0.3"/>
  <pageSetup scale="91" orientation="portrait" r:id="rId1"/>
  <ignoredErrors>
    <ignoredError sqref="F66"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2:J126"/>
  <sheetViews>
    <sheetView workbookViewId="0">
      <selection activeCell="D7" sqref="D7"/>
    </sheetView>
  </sheetViews>
  <sheetFormatPr defaultRowHeight="15" x14ac:dyDescent="0.25"/>
  <cols>
    <col min="1" max="1" width="50" style="10" customWidth="1"/>
    <col min="2" max="2" width="13.7109375" style="10" bestFit="1" customWidth="1"/>
    <col min="3" max="3" width="16.28515625" style="10" bestFit="1" customWidth="1"/>
    <col min="4" max="6" width="13.28515625" style="10" customWidth="1"/>
    <col min="7" max="7" width="13.42578125" style="10" customWidth="1"/>
    <col min="8" max="8" width="13.7109375" style="10" bestFit="1" customWidth="1"/>
    <col min="9" max="9" width="12.5703125" style="10" bestFit="1" customWidth="1"/>
    <col min="10" max="16384" width="9.140625" style="10"/>
  </cols>
  <sheetData>
    <row r="2" spans="1:10" x14ac:dyDescent="0.25">
      <c r="A2" s="563" t="s">
        <v>343</v>
      </c>
      <c r="B2" s="564"/>
      <c r="C2" s="564"/>
      <c r="D2" s="564"/>
      <c r="E2" s="564"/>
      <c r="F2" s="564"/>
      <c r="G2" s="564"/>
      <c r="H2" s="565"/>
    </row>
    <row r="3" spans="1:10" x14ac:dyDescent="0.25">
      <c r="A3" s="560" t="s">
        <v>17</v>
      </c>
      <c r="B3" s="561"/>
      <c r="C3" s="561"/>
      <c r="D3" s="561"/>
      <c r="E3" s="561"/>
      <c r="F3" s="561"/>
      <c r="G3" s="561"/>
      <c r="H3" s="562"/>
    </row>
    <row r="4" spans="1:10" x14ac:dyDescent="0.25">
      <c r="A4" s="486"/>
      <c r="B4" s="293">
        <f>+'Tables Section 4'!C6</f>
        <v>2019</v>
      </c>
      <c r="C4" s="293">
        <f>+'Tables Section 4'!D6</f>
        <v>2020</v>
      </c>
      <c r="D4" s="293">
        <f>+'Tables Section 4'!E6</f>
        <v>2021</v>
      </c>
      <c r="E4" s="293">
        <f>+'Tables Section 4'!F6</f>
        <v>2022</v>
      </c>
      <c r="F4" s="293">
        <f>+'Tables Section 4'!G6</f>
        <v>2023</v>
      </c>
      <c r="G4" s="293">
        <f>+'Tables Section 4'!H6</f>
        <v>2024</v>
      </c>
      <c r="H4" s="293">
        <f>+'Tables Section 4'!I6</f>
        <v>2025</v>
      </c>
    </row>
    <row r="5" spans="1:10" x14ac:dyDescent="0.25">
      <c r="A5" s="92" t="s">
        <v>16</v>
      </c>
      <c r="B5" s="92">
        <f>+'Tables Section 4'!C15</f>
        <v>1286.9000000000001</v>
      </c>
      <c r="C5" s="92">
        <f>+'Tables Section 4'!D15</f>
        <v>1292.8</v>
      </c>
      <c r="D5" s="92">
        <f>+'Tables Section 4'!E15</f>
        <v>1325.9997559999999</v>
      </c>
      <c r="E5" s="92">
        <f>+'Tables Section 4'!F15</f>
        <v>1396.8596603684723</v>
      </c>
      <c r="F5" s="92">
        <f>+'Tables Section 4'!G15</f>
        <v>1391.7489809528527</v>
      </c>
      <c r="G5" s="92">
        <f>+'Tables Section 4'!H15</f>
        <v>1412.245258730916</v>
      </c>
      <c r="H5" s="92">
        <f>ROUND(+'Tables Section 4'!I15,1)</f>
        <v>1431.1</v>
      </c>
    </row>
    <row r="6" spans="1:10" x14ac:dyDescent="0.25">
      <c r="A6" s="92" t="s">
        <v>626</v>
      </c>
      <c r="B6" s="92">
        <f t="shared" ref="B6:H6" si="0">+B7-B5</f>
        <v>98.398410000000013</v>
      </c>
      <c r="C6" s="92">
        <f t="shared" si="0"/>
        <v>99.002566000000115</v>
      </c>
      <c r="D6" s="92">
        <f t="shared" si="0"/>
        <v>105.6078500000001</v>
      </c>
      <c r="E6" s="92">
        <f t="shared" si="0"/>
        <v>107.33845263152762</v>
      </c>
      <c r="F6" s="92">
        <f t="shared" si="0"/>
        <v>106.96548904714723</v>
      </c>
      <c r="G6" s="92">
        <f t="shared" si="0"/>
        <v>105.17781426908391</v>
      </c>
      <c r="H6" s="92">
        <f t="shared" si="0"/>
        <v>106.53952900000013</v>
      </c>
    </row>
    <row r="7" spans="1:10" x14ac:dyDescent="0.25">
      <c r="A7" s="94" t="s">
        <v>5</v>
      </c>
      <c r="B7" s="94">
        <v>1385.2984100000001</v>
      </c>
      <c r="C7" s="94">
        <v>1391.8025660000001</v>
      </c>
      <c r="D7" s="94">
        <v>1431.607606</v>
      </c>
      <c r="E7" s="94">
        <v>1504.1981129999999</v>
      </c>
      <c r="F7" s="94">
        <v>1498.7144699999999</v>
      </c>
      <c r="G7" s="94">
        <v>1517.4230729999999</v>
      </c>
      <c r="H7" s="94">
        <v>1537.639529</v>
      </c>
    </row>
    <row r="9" spans="1:10" x14ac:dyDescent="0.25">
      <c r="A9" s="9"/>
      <c r="B9" s="9"/>
    </row>
    <row r="10" spans="1:10" x14ac:dyDescent="0.25">
      <c r="A10" s="563" t="s">
        <v>577</v>
      </c>
      <c r="B10" s="564"/>
      <c r="C10" s="564"/>
      <c r="D10" s="564"/>
      <c r="E10" s="564"/>
      <c r="F10" s="564"/>
      <c r="G10" s="564"/>
      <c r="H10" s="565"/>
      <c r="I10" s="292"/>
      <c r="J10" s="292"/>
    </row>
    <row r="11" spans="1:10" x14ac:dyDescent="0.25">
      <c r="A11" s="560" t="s">
        <v>331</v>
      </c>
      <c r="B11" s="561"/>
      <c r="C11" s="561"/>
      <c r="D11" s="561"/>
      <c r="E11" s="561"/>
      <c r="F11" s="561"/>
      <c r="G11" s="561"/>
      <c r="H11" s="562"/>
      <c r="I11" s="292"/>
      <c r="J11" s="292"/>
    </row>
    <row r="12" spans="1:10" x14ac:dyDescent="0.25">
      <c r="A12" s="289"/>
      <c r="B12" s="293">
        <f t="shared" ref="B12:H12" si="1">+B4</f>
        <v>2019</v>
      </c>
      <c r="C12" s="293">
        <f t="shared" si="1"/>
        <v>2020</v>
      </c>
      <c r="D12" s="293">
        <f t="shared" si="1"/>
        <v>2021</v>
      </c>
      <c r="E12" s="293">
        <f t="shared" si="1"/>
        <v>2022</v>
      </c>
      <c r="F12" s="293">
        <f t="shared" si="1"/>
        <v>2023</v>
      </c>
      <c r="G12" s="293">
        <f t="shared" si="1"/>
        <v>2024</v>
      </c>
      <c r="H12" s="293">
        <f t="shared" si="1"/>
        <v>2025</v>
      </c>
    </row>
    <row r="13" spans="1:10" x14ac:dyDescent="0.25">
      <c r="A13" s="34" t="s">
        <v>18</v>
      </c>
      <c r="B13" s="20">
        <v>24442271</v>
      </c>
      <c r="C13" s="20">
        <v>23984799</v>
      </c>
      <c r="D13" s="20">
        <v>25758455</v>
      </c>
      <c r="E13" s="20">
        <v>24529300</v>
      </c>
      <c r="F13" s="20">
        <v>25480900</v>
      </c>
      <c r="G13" s="20">
        <v>24660600</v>
      </c>
      <c r="H13" s="20">
        <v>25647100</v>
      </c>
    </row>
    <row r="14" spans="1:10" x14ac:dyDescent="0.25">
      <c r="A14" s="34" t="s">
        <v>184</v>
      </c>
      <c r="B14" s="34">
        <v>24599257</v>
      </c>
      <c r="C14" s="34">
        <v>24958433</v>
      </c>
      <c r="D14" s="34">
        <v>23658107</v>
      </c>
      <c r="E14" s="34">
        <v>24471600</v>
      </c>
      <c r="F14" s="34">
        <v>26634600</v>
      </c>
      <c r="G14" s="34">
        <v>37186600</v>
      </c>
      <c r="H14" s="34">
        <v>50636800</v>
      </c>
    </row>
    <row r="15" spans="1:10" x14ac:dyDescent="0.25">
      <c r="A15" s="34" t="s">
        <v>19</v>
      </c>
      <c r="B15" s="34">
        <v>59046454</v>
      </c>
      <c r="C15" s="34">
        <f>7156200+58582915</f>
        <v>65739115</v>
      </c>
      <c r="D15" s="286">
        <v>73304031</v>
      </c>
      <c r="E15" s="286">
        <v>86057000</v>
      </c>
      <c r="F15" s="286">
        <v>81977700</v>
      </c>
      <c r="G15" s="286">
        <v>77269100</v>
      </c>
      <c r="H15" s="286">
        <v>65474900</v>
      </c>
    </row>
    <row r="16" spans="1:10" x14ac:dyDescent="0.25">
      <c r="A16" s="34" t="s">
        <v>20</v>
      </c>
      <c r="B16" s="34">
        <v>8724769</v>
      </c>
      <c r="C16" s="34">
        <f>4485995+273413</f>
        <v>4759408</v>
      </c>
      <c r="D16" s="34">
        <v>6041896</v>
      </c>
      <c r="E16" s="34">
        <v>478300</v>
      </c>
      <c r="F16" s="34">
        <v>124400</v>
      </c>
      <c r="G16" s="34">
        <v>0</v>
      </c>
      <c r="H16" s="34">
        <v>0</v>
      </c>
    </row>
    <row r="17" spans="1:8" x14ac:dyDescent="0.25">
      <c r="A17" s="34" t="s">
        <v>25</v>
      </c>
      <c r="B17" s="34">
        <v>-3005</v>
      </c>
      <c r="C17" s="34">
        <f>-543703+42201+387892+306826+13674</f>
        <v>206890</v>
      </c>
      <c r="D17" s="34">
        <v>-605243</v>
      </c>
      <c r="E17" s="34">
        <v>0</v>
      </c>
      <c r="F17" s="34">
        <v>0</v>
      </c>
      <c r="G17" s="34">
        <v>0</v>
      </c>
      <c r="H17" s="34">
        <v>0</v>
      </c>
    </row>
    <row r="18" spans="1:8" x14ac:dyDescent="0.25">
      <c r="A18" s="34" t="s">
        <v>21</v>
      </c>
      <c r="B18" s="34">
        <v>1440381</v>
      </c>
      <c r="C18" s="34">
        <v>1172562</v>
      </c>
      <c r="D18" s="34">
        <v>802350</v>
      </c>
      <c r="E18" s="34">
        <v>288800</v>
      </c>
      <c r="F18" s="34">
        <v>0</v>
      </c>
      <c r="G18" s="34">
        <v>0</v>
      </c>
      <c r="H18" s="34">
        <v>0</v>
      </c>
    </row>
    <row r="19" spans="1:8" x14ac:dyDescent="0.25">
      <c r="A19" s="34" t="s">
        <v>22</v>
      </c>
      <c r="B19" s="34">
        <v>597587</v>
      </c>
      <c r="C19" s="34">
        <f>133944+295540</f>
        <v>429484</v>
      </c>
      <c r="D19" s="34">
        <v>649810</v>
      </c>
      <c r="E19" s="34">
        <v>814500</v>
      </c>
      <c r="F19" s="34">
        <v>1163700</v>
      </c>
      <c r="G19" s="118">
        <v>1351500</v>
      </c>
      <c r="H19" s="34">
        <v>1596000</v>
      </c>
    </row>
    <row r="20" spans="1:8" x14ac:dyDescent="0.25">
      <c r="A20" s="34" t="s">
        <v>23</v>
      </c>
      <c r="B20" s="34">
        <v>309591</v>
      </c>
      <c r="C20" s="34">
        <f>246368+66380</f>
        <v>312748</v>
      </c>
      <c r="D20" s="34">
        <v>425555</v>
      </c>
      <c r="E20" s="34">
        <v>607800</v>
      </c>
      <c r="F20" s="34">
        <v>606800</v>
      </c>
      <c r="G20" s="34">
        <v>674600</v>
      </c>
      <c r="H20" s="34">
        <v>893300</v>
      </c>
    </row>
    <row r="21" spans="1:8" x14ac:dyDescent="0.25">
      <c r="A21" s="35" t="s">
        <v>24</v>
      </c>
      <c r="B21" s="34">
        <v>951758</v>
      </c>
      <c r="C21" s="34">
        <v>949317</v>
      </c>
      <c r="D21" s="34">
        <v>1000478</v>
      </c>
      <c r="E21" s="34">
        <v>1126700</v>
      </c>
      <c r="F21" s="34">
        <v>1105800</v>
      </c>
      <c r="G21" s="34">
        <v>1154000</v>
      </c>
      <c r="H21" s="34">
        <v>1205800</v>
      </c>
    </row>
    <row r="22" spans="1:8" x14ac:dyDescent="0.25">
      <c r="A22" s="106" t="s">
        <v>227</v>
      </c>
      <c r="B22" s="34">
        <v>4588048</v>
      </c>
      <c r="C22" s="34">
        <v>4601676</v>
      </c>
      <c r="D22" s="34">
        <v>4985871</v>
      </c>
      <c r="E22" s="34">
        <v>4797800</v>
      </c>
      <c r="F22" s="34">
        <v>4605300</v>
      </c>
      <c r="G22" s="34">
        <v>4630700</v>
      </c>
      <c r="H22" s="34">
        <v>4653000</v>
      </c>
    </row>
    <row r="23" spans="1:8" x14ac:dyDescent="0.25">
      <c r="A23" s="106" t="s">
        <v>229</v>
      </c>
      <c r="B23" s="34">
        <f>6083464-B22</f>
        <v>1495416</v>
      </c>
      <c r="C23" s="34">
        <f>192466+169674+183878+12873+941486</f>
        <v>1500377</v>
      </c>
      <c r="D23" s="34">
        <v>1504160.9299999997</v>
      </c>
      <c r="E23" s="34">
        <v>1628800</v>
      </c>
      <c r="F23" s="34">
        <v>1753400</v>
      </c>
      <c r="G23" s="34">
        <v>1761300</v>
      </c>
      <c r="H23" s="34">
        <v>1793200</v>
      </c>
    </row>
    <row r="24" spans="1:8" x14ac:dyDescent="0.25">
      <c r="A24" s="106" t="s">
        <v>228</v>
      </c>
      <c r="B24" s="34">
        <v>0</v>
      </c>
      <c r="C24" s="34">
        <v>0</v>
      </c>
      <c r="D24" s="34">
        <v>0</v>
      </c>
      <c r="E24" s="34">
        <v>0</v>
      </c>
      <c r="F24" s="34">
        <v>4102800</v>
      </c>
      <c r="G24" s="34">
        <v>5411200</v>
      </c>
      <c r="H24" s="34">
        <v>5456900</v>
      </c>
    </row>
    <row r="25" spans="1:8" x14ac:dyDescent="0.25">
      <c r="A25" s="106" t="s">
        <v>252</v>
      </c>
      <c r="B25" s="34">
        <f>+B75</f>
        <v>828144</v>
      </c>
      <c r="C25" s="34">
        <f t="shared" ref="C25:H25" si="2">+C75</f>
        <v>904734</v>
      </c>
      <c r="D25" s="34">
        <f t="shared" si="2"/>
        <v>1019682</v>
      </c>
      <c r="E25" s="34">
        <f t="shared" si="2"/>
        <v>1227700</v>
      </c>
      <c r="F25" s="34">
        <f t="shared" si="2"/>
        <v>1330300</v>
      </c>
      <c r="G25" s="34">
        <f t="shared" si="2"/>
        <v>1384500</v>
      </c>
      <c r="H25" s="34">
        <f t="shared" si="2"/>
        <v>1441100</v>
      </c>
    </row>
    <row r="26" spans="1:8" x14ac:dyDescent="0.25">
      <c r="A26" s="97" t="s">
        <v>5</v>
      </c>
      <c r="B26" s="102">
        <f t="shared" ref="B26:H26" si="3">SUM(B13:B25)</f>
        <v>127020671</v>
      </c>
      <c r="C26" s="102">
        <f t="shared" si="3"/>
        <v>129519543</v>
      </c>
      <c r="D26" s="102">
        <f t="shared" si="3"/>
        <v>138545152.93000001</v>
      </c>
      <c r="E26" s="102">
        <f t="shared" si="3"/>
        <v>146028300</v>
      </c>
      <c r="F26" s="102">
        <f t="shared" si="3"/>
        <v>148885700</v>
      </c>
      <c r="G26" s="102">
        <f t="shared" si="3"/>
        <v>155484100</v>
      </c>
      <c r="H26" s="102">
        <f t="shared" si="3"/>
        <v>158798100</v>
      </c>
    </row>
    <row r="27" spans="1:8" x14ac:dyDescent="0.25">
      <c r="A27" s="281"/>
      <c r="B27" s="281"/>
      <c r="C27" s="281"/>
      <c r="D27" s="285"/>
    </row>
    <row r="28" spans="1:8" ht="75" hidden="1" customHeight="1" x14ac:dyDescent="0.25">
      <c r="A28" s="10" t="s">
        <v>0</v>
      </c>
      <c r="B28" s="281">
        <v>-127980665</v>
      </c>
      <c r="C28" s="281">
        <v>-37691943</v>
      </c>
      <c r="D28" s="281">
        <v>-136224852.93000001</v>
      </c>
      <c r="E28" s="281"/>
      <c r="F28" s="281"/>
      <c r="G28" s="281">
        <v>-152095200</v>
      </c>
      <c r="H28" s="281">
        <v>-155509400</v>
      </c>
    </row>
    <row r="29" spans="1:8" ht="15" hidden="1" customHeight="1" x14ac:dyDescent="0.25">
      <c r="B29" s="9">
        <f>+B26-'Other Revenue &amp; Costs'!B34</f>
        <v>103432835</v>
      </c>
    </row>
    <row r="30" spans="1:8" x14ac:dyDescent="0.25">
      <c r="A30" s="281"/>
      <c r="B30" s="281"/>
      <c r="C30" s="281"/>
    </row>
    <row r="31" spans="1:8" x14ac:dyDescent="0.25">
      <c r="A31" s="563" t="s">
        <v>26</v>
      </c>
      <c r="B31" s="564"/>
      <c r="C31" s="564"/>
      <c r="D31" s="564"/>
      <c r="E31" s="564"/>
      <c r="F31" s="564"/>
      <c r="G31" s="564"/>
      <c r="H31" s="565"/>
    </row>
    <row r="32" spans="1:8" x14ac:dyDescent="0.25">
      <c r="A32" s="560"/>
      <c r="B32" s="561"/>
      <c r="C32" s="561"/>
      <c r="D32" s="561"/>
      <c r="E32" s="561"/>
      <c r="F32" s="561"/>
      <c r="G32" s="561"/>
      <c r="H32" s="562"/>
    </row>
    <row r="33" spans="1:8" x14ac:dyDescent="0.25">
      <c r="A33" s="90" t="s">
        <v>27</v>
      </c>
      <c r="B33" s="90">
        <f t="shared" ref="B33:H33" si="4">+B12</f>
        <v>2019</v>
      </c>
      <c r="C33" s="90">
        <f t="shared" si="4"/>
        <v>2020</v>
      </c>
      <c r="D33" s="90">
        <f t="shared" si="4"/>
        <v>2021</v>
      </c>
      <c r="E33" s="90">
        <f t="shared" si="4"/>
        <v>2022</v>
      </c>
      <c r="F33" s="90">
        <f t="shared" si="4"/>
        <v>2023</v>
      </c>
      <c r="G33" s="90">
        <f t="shared" si="4"/>
        <v>2024</v>
      </c>
      <c r="H33" s="90">
        <f t="shared" si="4"/>
        <v>2025</v>
      </c>
    </row>
    <row r="34" spans="1:8" x14ac:dyDescent="0.25">
      <c r="A34" s="91" t="s">
        <v>28</v>
      </c>
      <c r="B34" s="20">
        <v>345903</v>
      </c>
      <c r="C34" s="20">
        <v>324947</v>
      </c>
      <c r="D34" s="20">
        <v>214631</v>
      </c>
      <c r="E34" s="20">
        <v>138400</v>
      </c>
      <c r="F34" s="20">
        <v>0</v>
      </c>
      <c r="G34" s="20">
        <v>0</v>
      </c>
      <c r="H34" s="20">
        <v>0</v>
      </c>
    </row>
    <row r="35" spans="1:8" x14ac:dyDescent="0.25">
      <c r="A35" s="91" t="s">
        <v>29</v>
      </c>
      <c r="B35" s="34">
        <v>373559</v>
      </c>
      <c r="C35" s="34">
        <v>350800</v>
      </c>
      <c r="D35" s="34">
        <v>246262</v>
      </c>
      <c r="E35" s="34">
        <v>0</v>
      </c>
      <c r="F35" s="34">
        <v>0</v>
      </c>
      <c r="G35" s="34">
        <v>0</v>
      </c>
      <c r="H35" s="34">
        <v>0</v>
      </c>
    </row>
    <row r="36" spans="1:8" x14ac:dyDescent="0.25">
      <c r="A36" s="91" t="s">
        <v>30</v>
      </c>
      <c r="B36" s="34">
        <v>306411</v>
      </c>
      <c r="C36" s="34">
        <v>125813</v>
      </c>
      <c r="D36" s="34">
        <v>110312</v>
      </c>
      <c r="E36" s="34">
        <v>0</v>
      </c>
      <c r="F36" s="34">
        <v>0</v>
      </c>
      <c r="G36" s="34">
        <v>0</v>
      </c>
      <c r="H36" s="34">
        <v>0</v>
      </c>
    </row>
    <row r="37" spans="1:8" x14ac:dyDescent="0.25">
      <c r="A37" s="91" t="s">
        <v>31</v>
      </c>
      <c r="B37" s="34">
        <v>53060</v>
      </c>
      <c r="C37" s="34">
        <v>73678</v>
      </c>
      <c r="D37" s="34">
        <v>7245</v>
      </c>
      <c r="E37" s="34">
        <v>0</v>
      </c>
      <c r="F37" s="34">
        <v>0</v>
      </c>
      <c r="G37" s="34">
        <v>0</v>
      </c>
      <c r="H37" s="34">
        <v>0</v>
      </c>
    </row>
    <row r="38" spans="1:8" x14ac:dyDescent="0.25">
      <c r="A38" s="91" t="s">
        <v>32</v>
      </c>
      <c r="B38" s="34">
        <v>361448</v>
      </c>
      <c r="C38" s="34">
        <v>297324</v>
      </c>
      <c r="D38" s="34">
        <v>223900</v>
      </c>
      <c r="E38" s="34">
        <v>150400</v>
      </c>
      <c r="F38" s="34">
        <v>0</v>
      </c>
      <c r="G38" s="34">
        <v>0</v>
      </c>
      <c r="H38" s="34">
        <v>0</v>
      </c>
    </row>
    <row r="39" spans="1:8" x14ac:dyDescent="0.25">
      <c r="A39" s="97" t="s">
        <v>5</v>
      </c>
      <c r="B39" s="102">
        <f t="shared" ref="B39:G39" si="5">SUM(B34:B38)</f>
        <v>1440381</v>
      </c>
      <c r="C39" s="102">
        <f t="shared" si="5"/>
        <v>1172562</v>
      </c>
      <c r="D39" s="102">
        <f t="shared" si="5"/>
        <v>802350</v>
      </c>
      <c r="E39" s="102">
        <f t="shared" si="5"/>
        <v>288800</v>
      </c>
      <c r="F39" s="102">
        <f t="shared" si="5"/>
        <v>0</v>
      </c>
      <c r="G39" s="102">
        <f t="shared" si="5"/>
        <v>0</v>
      </c>
      <c r="H39" s="102">
        <f t="shared" ref="H39" si="6">SUM(H34:H38)</f>
        <v>0</v>
      </c>
    </row>
    <row r="40" spans="1:8" x14ac:dyDescent="0.25">
      <c r="A40" s="9"/>
      <c r="B40" s="9"/>
      <c r="C40" s="9"/>
    </row>
    <row r="41" spans="1:8" ht="15" customHeight="1" x14ac:dyDescent="0.25">
      <c r="A41" s="10" t="s">
        <v>0</v>
      </c>
      <c r="B41" s="9">
        <f t="shared" ref="B41:H41" si="7">+B18-B39</f>
        <v>0</v>
      </c>
      <c r="C41" s="9">
        <f t="shared" si="7"/>
        <v>0</v>
      </c>
      <c r="D41" s="9">
        <f t="shared" si="7"/>
        <v>0</v>
      </c>
      <c r="E41" s="9">
        <f t="shared" si="7"/>
        <v>0</v>
      </c>
      <c r="F41" s="9">
        <f t="shared" si="7"/>
        <v>0</v>
      </c>
      <c r="G41" s="9">
        <f t="shared" si="7"/>
        <v>0</v>
      </c>
      <c r="H41" s="9">
        <f t="shared" si="7"/>
        <v>0</v>
      </c>
    </row>
    <row r="42" spans="1:8" ht="12.75" customHeight="1" x14ac:dyDescent="0.25"/>
    <row r="43" spans="1:8" x14ac:dyDescent="0.25">
      <c r="A43" s="563" t="s">
        <v>33</v>
      </c>
      <c r="B43" s="564"/>
      <c r="C43" s="564"/>
      <c r="D43" s="564"/>
      <c r="E43" s="564"/>
      <c r="F43" s="564"/>
      <c r="G43" s="564"/>
      <c r="H43" s="565"/>
    </row>
    <row r="44" spans="1:8" x14ac:dyDescent="0.25">
      <c r="A44" s="560"/>
      <c r="B44" s="561"/>
      <c r="C44" s="561"/>
      <c r="D44" s="561"/>
      <c r="E44" s="561"/>
      <c r="F44" s="561"/>
      <c r="G44" s="561"/>
      <c r="H44" s="562"/>
    </row>
    <row r="45" spans="1:8" x14ac:dyDescent="0.25">
      <c r="A45" s="90" t="s">
        <v>27</v>
      </c>
      <c r="B45" s="90">
        <f t="shared" ref="B45:G45" si="8">+B33</f>
        <v>2019</v>
      </c>
      <c r="C45" s="90">
        <f t="shared" si="8"/>
        <v>2020</v>
      </c>
      <c r="D45" s="90">
        <f t="shared" si="8"/>
        <v>2021</v>
      </c>
      <c r="E45" s="90">
        <f t="shared" si="8"/>
        <v>2022</v>
      </c>
      <c r="F45" s="90">
        <f t="shared" si="8"/>
        <v>2023</v>
      </c>
      <c r="G45" s="90">
        <f t="shared" si="8"/>
        <v>2024</v>
      </c>
      <c r="H45" s="90">
        <f t="shared" ref="H45" si="9">+H33</f>
        <v>2025</v>
      </c>
    </row>
    <row r="46" spans="1:8" x14ac:dyDescent="0.25">
      <c r="A46" s="91" t="s">
        <v>28</v>
      </c>
      <c r="B46" s="20">
        <v>191452</v>
      </c>
      <c r="C46" s="20">
        <v>2000</v>
      </c>
      <c r="D46" s="20">
        <v>4936</v>
      </c>
      <c r="E46" s="20">
        <v>54000</v>
      </c>
      <c r="F46" s="20">
        <v>52200</v>
      </c>
      <c r="G46" s="20">
        <v>51600</v>
      </c>
      <c r="H46" s="20">
        <v>58900</v>
      </c>
    </row>
    <row r="47" spans="1:8" x14ac:dyDescent="0.25">
      <c r="A47" s="91" t="s">
        <v>29</v>
      </c>
      <c r="B47" s="34">
        <v>148667</v>
      </c>
      <c r="C47" s="34">
        <v>177280</v>
      </c>
      <c r="D47" s="34">
        <v>148646</v>
      </c>
      <c r="E47" s="34">
        <v>303300</v>
      </c>
      <c r="F47" s="34">
        <v>263100</v>
      </c>
      <c r="G47" s="34">
        <v>249500</v>
      </c>
      <c r="H47" s="34">
        <v>317200</v>
      </c>
    </row>
    <row r="48" spans="1:8" x14ac:dyDescent="0.25">
      <c r="A48" s="91" t="s">
        <v>30</v>
      </c>
      <c r="B48" s="34">
        <v>11166</v>
      </c>
      <c r="C48" s="34">
        <v>19005</v>
      </c>
      <c r="D48" s="34">
        <v>33076</v>
      </c>
      <c r="E48" s="34">
        <v>74900</v>
      </c>
      <c r="F48" s="34">
        <v>72100</v>
      </c>
      <c r="G48" s="34">
        <v>67800</v>
      </c>
      <c r="H48" s="34">
        <v>87000</v>
      </c>
    </row>
    <row r="49" spans="1:8" x14ac:dyDescent="0.25">
      <c r="A49" s="91" t="s">
        <v>31</v>
      </c>
      <c r="B49" s="34">
        <v>31688</v>
      </c>
      <c r="C49" s="34">
        <v>97255</v>
      </c>
      <c r="D49" s="34">
        <v>45216</v>
      </c>
      <c r="E49" s="34">
        <v>95800</v>
      </c>
      <c r="F49" s="34">
        <v>81400</v>
      </c>
      <c r="G49" s="34">
        <v>96200</v>
      </c>
      <c r="H49" s="34">
        <v>150900</v>
      </c>
    </row>
    <row r="50" spans="1:8" x14ac:dyDescent="0.25">
      <c r="A50" s="91" t="s">
        <v>34</v>
      </c>
      <c r="B50" s="34">
        <v>214614</v>
      </c>
      <c r="C50" s="34">
        <v>133944</v>
      </c>
      <c r="D50" s="34">
        <v>417936</v>
      </c>
      <c r="E50" s="34">
        <v>286500</v>
      </c>
      <c r="F50" s="34">
        <v>694900</v>
      </c>
      <c r="G50" s="34">
        <v>886400</v>
      </c>
      <c r="H50" s="34">
        <v>982000</v>
      </c>
    </row>
    <row r="51" spans="1:8" x14ac:dyDescent="0.25">
      <c r="A51" s="97" t="s">
        <v>5</v>
      </c>
      <c r="B51" s="102">
        <f t="shared" ref="B51:G51" si="10">SUM(B46:B50)</f>
        <v>597587</v>
      </c>
      <c r="C51" s="102">
        <f t="shared" si="10"/>
        <v>429484</v>
      </c>
      <c r="D51" s="102">
        <f t="shared" si="10"/>
        <v>649810</v>
      </c>
      <c r="E51" s="102">
        <f t="shared" si="10"/>
        <v>814500</v>
      </c>
      <c r="F51" s="102">
        <f t="shared" si="10"/>
        <v>1163700</v>
      </c>
      <c r="G51" s="102">
        <f t="shared" si="10"/>
        <v>1351500</v>
      </c>
      <c r="H51" s="102">
        <f t="shared" ref="H51" si="11">SUM(H46:H50)</f>
        <v>1596000</v>
      </c>
    </row>
    <row r="52" spans="1:8" x14ac:dyDescent="0.25">
      <c r="A52" s="9"/>
      <c r="B52" s="9"/>
      <c r="C52" s="9"/>
    </row>
    <row r="53" spans="1:8" ht="15" customHeight="1" x14ac:dyDescent="0.25">
      <c r="A53" s="10" t="s">
        <v>0</v>
      </c>
      <c r="B53" s="9">
        <f>+B19-B51</f>
        <v>0</v>
      </c>
      <c r="C53" s="9">
        <f>+C19-C51</f>
        <v>0</v>
      </c>
      <c r="D53" s="9">
        <f>+D19-D51</f>
        <v>0</v>
      </c>
      <c r="E53" s="9">
        <f>+E19-E51</f>
        <v>0</v>
      </c>
      <c r="F53" s="9"/>
      <c r="G53" s="9">
        <f>+G19-G51</f>
        <v>0</v>
      </c>
      <c r="H53" s="9">
        <f>+H19-H51</f>
        <v>0</v>
      </c>
    </row>
    <row r="54" spans="1:8" x14ac:dyDescent="0.25">
      <c r="A54" s="281"/>
      <c r="B54" s="281"/>
      <c r="C54" s="281"/>
    </row>
    <row r="55" spans="1:8" x14ac:dyDescent="0.25">
      <c r="A55" s="281"/>
      <c r="B55" s="281"/>
      <c r="C55" s="281"/>
    </row>
    <row r="56" spans="1:8" x14ac:dyDescent="0.25">
      <c r="A56" s="705" t="s">
        <v>35</v>
      </c>
      <c r="B56" s="706"/>
      <c r="C56" s="706"/>
      <c r="D56" s="706"/>
      <c r="E56" s="706"/>
      <c r="F56" s="706"/>
      <c r="G56" s="706"/>
      <c r="H56" s="707"/>
    </row>
    <row r="57" spans="1:8" x14ac:dyDescent="0.25">
      <c r="A57" s="712"/>
      <c r="B57" s="710"/>
      <c r="C57" s="710"/>
      <c r="D57" s="710"/>
      <c r="E57" s="710"/>
      <c r="F57" s="710"/>
      <c r="G57" s="710"/>
      <c r="H57" s="711"/>
    </row>
    <row r="58" spans="1:8" x14ac:dyDescent="0.25">
      <c r="A58" s="90" t="s">
        <v>27</v>
      </c>
      <c r="B58" s="90">
        <f t="shared" ref="B58:G58" si="12">+B45</f>
        <v>2019</v>
      </c>
      <c r="C58" s="90">
        <f t="shared" si="12"/>
        <v>2020</v>
      </c>
      <c r="D58" s="90">
        <f t="shared" si="12"/>
        <v>2021</v>
      </c>
      <c r="E58" s="90">
        <f t="shared" si="12"/>
        <v>2022</v>
      </c>
      <c r="F58" s="90">
        <f t="shared" si="12"/>
        <v>2023</v>
      </c>
      <c r="G58" s="90">
        <f t="shared" si="12"/>
        <v>2024</v>
      </c>
      <c r="H58" s="90">
        <f t="shared" ref="H58" si="13">+H45</f>
        <v>2025</v>
      </c>
    </row>
    <row r="59" spans="1:8" x14ac:dyDescent="0.25">
      <c r="A59" s="91" t="s">
        <v>28</v>
      </c>
      <c r="B59" s="20">
        <v>675</v>
      </c>
      <c r="C59" s="20">
        <v>9716</v>
      </c>
      <c r="D59" s="20">
        <v>3565.98</v>
      </c>
      <c r="E59" s="20">
        <v>5900</v>
      </c>
      <c r="F59" s="20">
        <v>6000</v>
      </c>
      <c r="G59" s="20">
        <v>6200</v>
      </c>
      <c r="H59" s="20">
        <v>6400</v>
      </c>
    </row>
    <row r="60" spans="1:8" x14ac:dyDescent="0.25">
      <c r="A60" s="91" t="s">
        <v>30</v>
      </c>
      <c r="B60" s="34">
        <v>13782</v>
      </c>
      <c r="C60" s="34">
        <v>14802</v>
      </c>
      <c r="D60" s="34">
        <v>14287</v>
      </c>
      <c r="E60" s="34">
        <v>19300</v>
      </c>
      <c r="F60" s="34">
        <v>18100</v>
      </c>
      <c r="G60" s="34">
        <v>15500</v>
      </c>
      <c r="H60" s="34">
        <v>24500</v>
      </c>
    </row>
    <row r="61" spans="1:8" x14ac:dyDescent="0.25">
      <c r="A61" s="91" t="s">
        <v>29</v>
      </c>
      <c r="B61" s="34">
        <v>173807</v>
      </c>
      <c r="C61" s="34">
        <v>124595</v>
      </c>
      <c r="D61" s="34">
        <v>200366</v>
      </c>
      <c r="E61" s="34">
        <v>320000</v>
      </c>
      <c r="F61" s="34">
        <v>262000</v>
      </c>
      <c r="G61" s="34">
        <v>227100</v>
      </c>
      <c r="H61" s="34">
        <v>351100</v>
      </c>
    </row>
    <row r="62" spans="1:8" x14ac:dyDescent="0.25">
      <c r="A62" s="91" t="s">
        <v>31</v>
      </c>
      <c r="B62" s="34">
        <v>21688</v>
      </c>
      <c r="C62" s="34">
        <v>97255</v>
      </c>
      <c r="D62" s="34">
        <v>48916</v>
      </c>
      <c r="E62" s="34">
        <v>47600</v>
      </c>
      <c r="F62" s="34">
        <v>40100</v>
      </c>
      <c r="G62" s="34">
        <v>57900</v>
      </c>
      <c r="H62" s="34">
        <v>106100</v>
      </c>
    </row>
    <row r="63" spans="1:8" x14ac:dyDescent="0.25">
      <c r="A63" s="91" t="s">
        <v>34</v>
      </c>
      <c r="B63" s="34">
        <v>99639</v>
      </c>
      <c r="C63" s="34">
        <v>66380</v>
      </c>
      <c r="D63" s="34">
        <v>158420</v>
      </c>
      <c r="E63" s="34">
        <v>215000</v>
      </c>
      <c r="F63" s="34">
        <v>280600</v>
      </c>
      <c r="G63" s="34">
        <v>367900</v>
      </c>
      <c r="H63" s="34">
        <v>405200</v>
      </c>
    </row>
    <row r="64" spans="1:8" x14ac:dyDescent="0.25">
      <c r="A64" s="97" t="s">
        <v>5</v>
      </c>
      <c r="B64" s="102">
        <f t="shared" ref="B64:G64" si="14">SUM(B59:B63)</f>
        <v>309591</v>
      </c>
      <c r="C64" s="102">
        <f t="shared" si="14"/>
        <v>312748</v>
      </c>
      <c r="D64" s="102">
        <f t="shared" si="14"/>
        <v>425554.98</v>
      </c>
      <c r="E64" s="102">
        <f t="shared" si="14"/>
        <v>607800</v>
      </c>
      <c r="F64" s="102">
        <f t="shared" si="14"/>
        <v>606800</v>
      </c>
      <c r="G64" s="102">
        <f t="shared" si="14"/>
        <v>674600</v>
      </c>
      <c r="H64" s="102">
        <f t="shared" ref="H64" si="15">SUM(H59:H63)</f>
        <v>893300</v>
      </c>
    </row>
    <row r="65" spans="1:8" x14ac:dyDescent="0.25">
      <c r="A65" s="9"/>
      <c r="B65" s="9"/>
      <c r="C65" s="9"/>
    </row>
    <row r="66" spans="1:8" ht="15" customHeight="1" x14ac:dyDescent="0.25">
      <c r="A66" s="10" t="s">
        <v>0</v>
      </c>
      <c r="B66" s="9">
        <f t="shared" ref="B66:H66" si="16">+B20-B64</f>
        <v>0</v>
      </c>
      <c r="C66" s="9">
        <f t="shared" si="16"/>
        <v>0</v>
      </c>
      <c r="D66" s="9">
        <f t="shared" si="16"/>
        <v>2.0000000018626451E-2</v>
      </c>
      <c r="E66" s="9">
        <f t="shared" si="16"/>
        <v>0</v>
      </c>
      <c r="F66" s="9">
        <f t="shared" si="16"/>
        <v>0</v>
      </c>
      <c r="G66" s="9">
        <f t="shared" si="16"/>
        <v>0</v>
      </c>
      <c r="H66" s="9">
        <f t="shared" si="16"/>
        <v>0</v>
      </c>
    </row>
    <row r="67" spans="1:8" x14ac:dyDescent="0.25">
      <c r="A67" s="9"/>
      <c r="B67" s="9"/>
      <c r="C67" s="9"/>
    </row>
    <row r="69" spans="1:8" x14ac:dyDescent="0.25">
      <c r="A69" s="563"/>
      <c r="B69" s="564"/>
      <c r="C69" s="564"/>
      <c r="D69" s="564"/>
      <c r="E69" s="564"/>
      <c r="F69" s="564"/>
      <c r="G69" s="564"/>
      <c r="H69" s="565"/>
    </row>
    <row r="70" spans="1:8" x14ac:dyDescent="0.25">
      <c r="A70" s="712" t="s">
        <v>82</v>
      </c>
      <c r="B70" s="710"/>
      <c r="C70" s="710"/>
      <c r="D70" s="710"/>
      <c r="E70" s="710"/>
      <c r="F70" s="710"/>
      <c r="G70" s="710"/>
      <c r="H70" s="711"/>
    </row>
    <row r="71" spans="1:8" x14ac:dyDescent="0.25">
      <c r="A71" s="293" t="s">
        <v>27</v>
      </c>
      <c r="B71" s="293">
        <f t="shared" ref="B71:G71" si="17">+B58</f>
        <v>2019</v>
      </c>
      <c r="C71" s="293">
        <f t="shared" si="17"/>
        <v>2020</v>
      </c>
      <c r="D71" s="293">
        <f t="shared" si="17"/>
        <v>2021</v>
      </c>
      <c r="E71" s="293">
        <f t="shared" si="17"/>
        <v>2022</v>
      </c>
      <c r="F71" s="293">
        <f t="shared" si="17"/>
        <v>2023</v>
      </c>
      <c r="G71" s="293">
        <f t="shared" si="17"/>
        <v>2024</v>
      </c>
      <c r="H71" s="293">
        <f t="shared" ref="H71" si="18">+H58</f>
        <v>2025</v>
      </c>
    </row>
    <row r="72" spans="1:8" x14ac:dyDescent="0.25">
      <c r="A72" s="34" t="s">
        <v>36</v>
      </c>
      <c r="B72" s="20">
        <v>586660</v>
      </c>
      <c r="C72" s="20">
        <v>663914</v>
      </c>
      <c r="D72" s="20">
        <v>779638</v>
      </c>
      <c r="E72" s="20">
        <v>970800</v>
      </c>
      <c r="F72" s="20">
        <v>1057100</v>
      </c>
      <c r="G72" s="20">
        <v>1104600</v>
      </c>
      <c r="H72" s="20">
        <v>1154200</v>
      </c>
    </row>
    <row r="73" spans="1:8" x14ac:dyDescent="0.25">
      <c r="A73" s="34" t="s">
        <v>37</v>
      </c>
      <c r="B73" s="34">
        <v>224463</v>
      </c>
      <c r="C73" s="34">
        <v>227495</v>
      </c>
      <c r="D73" s="34">
        <v>234717</v>
      </c>
      <c r="E73" s="34">
        <v>236600</v>
      </c>
      <c r="F73" s="34">
        <v>242600</v>
      </c>
      <c r="G73" s="34">
        <v>248600</v>
      </c>
      <c r="H73" s="34">
        <v>254800</v>
      </c>
    </row>
    <row r="74" spans="1:8" x14ac:dyDescent="0.25">
      <c r="A74" s="34" t="s">
        <v>38</v>
      </c>
      <c r="B74" s="34">
        <v>17021</v>
      </c>
      <c r="C74" s="34">
        <v>13325</v>
      </c>
      <c r="D74" s="34">
        <v>5327</v>
      </c>
      <c r="E74" s="34">
        <v>20300</v>
      </c>
      <c r="F74" s="34">
        <v>30600</v>
      </c>
      <c r="G74" s="34">
        <v>31300</v>
      </c>
      <c r="H74" s="34">
        <v>32100</v>
      </c>
    </row>
    <row r="75" spans="1:8" x14ac:dyDescent="0.25">
      <c r="A75" s="97" t="s">
        <v>5</v>
      </c>
      <c r="B75" s="102">
        <f t="shared" ref="B75:G75" si="19">SUM(B72:B74)</f>
        <v>828144</v>
      </c>
      <c r="C75" s="102">
        <f t="shared" si="19"/>
        <v>904734</v>
      </c>
      <c r="D75" s="102">
        <f t="shared" si="19"/>
        <v>1019682</v>
      </c>
      <c r="E75" s="102">
        <f t="shared" si="19"/>
        <v>1227700</v>
      </c>
      <c r="F75" s="102">
        <f t="shared" si="19"/>
        <v>1330300</v>
      </c>
      <c r="G75" s="102">
        <f t="shared" si="19"/>
        <v>1384500</v>
      </c>
      <c r="H75" s="102">
        <f t="shared" ref="H75" si="20">SUM(H72:H74)</f>
        <v>1441100</v>
      </c>
    </row>
    <row r="77" spans="1:8" ht="15" hidden="1" customHeight="1" x14ac:dyDescent="0.25">
      <c r="A77" s="10" t="s">
        <v>0</v>
      </c>
      <c r="B77" s="9">
        <v>374757</v>
      </c>
      <c r="C77" s="9">
        <v>372866</v>
      </c>
      <c r="D77" s="9">
        <v>762918</v>
      </c>
      <c r="E77" s="9"/>
      <c r="F77" s="9"/>
      <c r="G77" s="9">
        <v>637800</v>
      </c>
      <c r="H77" s="9">
        <v>581200</v>
      </c>
    </row>
    <row r="78" spans="1:8" x14ac:dyDescent="0.25">
      <c r="A78" s="9"/>
      <c r="B78" s="9"/>
      <c r="C78" s="9"/>
    </row>
    <row r="79" spans="1:8" x14ac:dyDescent="0.25">
      <c r="A79" s="9" t="s">
        <v>160</v>
      </c>
      <c r="B79" s="9">
        <f t="shared" ref="B79:H79" si="21">+B18-B39</f>
        <v>0</v>
      </c>
      <c r="C79" s="9">
        <f t="shared" si="21"/>
        <v>0</v>
      </c>
      <c r="D79" s="9">
        <f t="shared" si="21"/>
        <v>0</v>
      </c>
      <c r="E79" s="9">
        <f t="shared" si="21"/>
        <v>0</v>
      </c>
      <c r="F79" s="9">
        <f t="shared" si="21"/>
        <v>0</v>
      </c>
      <c r="G79" s="9">
        <f t="shared" si="21"/>
        <v>0</v>
      </c>
      <c r="H79" s="9">
        <f t="shared" si="21"/>
        <v>0</v>
      </c>
    </row>
    <row r="80" spans="1:8" x14ac:dyDescent="0.25">
      <c r="A80" s="9"/>
      <c r="B80" s="9">
        <f t="shared" ref="B80:H80" si="22">+B19-B51</f>
        <v>0</v>
      </c>
      <c r="C80" s="9">
        <f t="shared" si="22"/>
        <v>0</v>
      </c>
      <c r="D80" s="9">
        <f t="shared" si="22"/>
        <v>0</v>
      </c>
      <c r="E80" s="9">
        <f t="shared" si="22"/>
        <v>0</v>
      </c>
      <c r="F80" s="9">
        <f t="shared" si="22"/>
        <v>0</v>
      </c>
      <c r="G80" s="9">
        <f t="shared" si="22"/>
        <v>0</v>
      </c>
      <c r="H80" s="9">
        <f t="shared" si="22"/>
        <v>0</v>
      </c>
    </row>
    <row r="81" spans="1:9" hidden="1" x14ac:dyDescent="0.25">
      <c r="A81" s="259" t="s">
        <v>155</v>
      </c>
      <c r="B81" s="282"/>
      <c r="C81" s="282"/>
      <c r="D81" s="282"/>
      <c r="E81" s="282"/>
      <c r="F81" s="282"/>
      <c r="G81" s="282"/>
      <c r="H81" s="282"/>
    </row>
    <row r="82" spans="1:9" hidden="1" x14ac:dyDescent="0.25">
      <c r="A82" s="289" t="s">
        <v>153</v>
      </c>
      <c r="B82" s="283">
        <f>+B26</f>
        <v>127020671</v>
      </c>
      <c r="C82" s="283">
        <f>+C26</f>
        <v>129519543</v>
      </c>
      <c r="D82" s="283">
        <f>+D26</f>
        <v>138545152.93000001</v>
      </c>
      <c r="E82" s="283">
        <f>+E26</f>
        <v>146028300</v>
      </c>
      <c r="F82" s="283"/>
      <c r="G82" s="283">
        <f>+G26</f>
        <v>155484100</v>
      </c>
      <c r="H82" s="283">
        <f>+H26</f>
        <v>158798100</v>
      </c>
    </row>
    <row r="83" spans="1:9" hidden="1" x14ac:dyDescent="0.25">
      <c r="A83" s="91" t="s">
        <v>2</v>
      </c>
      <c r="B83" s="99">
        <f>-'Other Revenue &amp; Costs'!B34</f>
        <v>-23587836</v>
      </c>
      <c r="C83" s="99">
        <f>-'Other Revenue &amp; Costs'!C34</f>
        <v>-29444828</v>
      </c>
      <c r="D83" s="99">
        <f>-'Other Revenue &amp; Costs'!D34</f>
        <v>-26602261</v>
      </c>
      <c r="E83" s="99">
        <f>-'Other Revenue &amp; Costs'!E34</f>
        <v>-24209100</v>
      </c>
      <c r="F83" s="99"/>
      <c r="G83" s="99">
        <f>-'Other Revenue &amp; Costs'!G34</f>
        <v>-30785200</v>
      </c>
      <c r="H83" s="99">
        <f>-'Other Revenue &amp; Costs'!H34</f>
        <v>-32815900</v>
      </c>
    </row>
    <row r="84" spans="1:9" hidden="1" x14ac:dyDescent="0.25">
      <c r="A84" s="91" t="s">
        <v>154</v>
      </c>
      <c r="B84" s="99">
        <f>+B75</f>
        <v>828144</v>
      </c>
      <c r="C84" s="99">
        <f>+C75</f>
        <v>904734</v>
      </c>
      <c r="D84" s="99">
        <f>+D75</f>
        <v>1019682</v>
      </c>
      <c r="E84" s="99">
        <f>+E75</f>
        <v>1227700</v>
      </c>
      <c r="F84" s="99"/>
      <c r="G84" s="99">
        <f>+G75</f>
        <v>1384500</v>
      </c>
      <c r="H84" s="99">
        <f>+H75</f>
        <v>1441100</v>
      </c>
    </row>
    <row r="85" spans="1:9" hidden="1" x14ac:dyDescent="0.25">
      <c r="A85" s="91" t="s">
        <v>39</v>
      </c>
      <c r="B85" s="99">
        <f>SUM(B82:B84)</f>
        <v>104260979</v>
      </c>
      <c r="C85" s="99">
        <f>SUM(C82:C84)</f>
        <v>100979449</v>
      </c>
      <c r="D85" s="99">
        <f>SUM(D82:D84)</f>
        <v>112962573.93000001</v>
      </c>
      <c r="E85" s="99">
        <f>SUM(E82:E84)</f>
        <v>123046900</v>
      </c>
      <c r="F85" s="99"/>
      <c r="G85" s="99">
        <f>SUM(G82:G84)</f>
        <v>126083400</v>
      </c>
      <c r="H85" s="99">
        <f>SUM(H82:H84)</f>
        <v>127423300</v>
      </c>
    </row>
    <row r="86" spans="1:9" x14ac:dyDescent="0.25">
      <c r="B86" s="284">
        <f t="shared" ref="B86:H86" si="23">+B20-B64</f>
        <v>0</v>
      </c>
      <c r="C86" s="284">
        <f t="shared" si="23"/>
        <v>0</v>
      </c>
      <c r="D86" s="281">
        <f t="shared" si="23"/>
        <v>2.0000000018626451E-2</v>
      </c>
      <c r="E86" s="284">
        <f t="shared" si="23"/>
        <v>0</v>
      </c>
      <c r="F86" s="284">
        <f t="shared" si="23"/>
        <v>0</v>
      </c>
      <c r="G86" s="284">
        <f t="shared" si="23"/>
        <v>0</v>
      </c>
      <c r="H86" s="284">
        <f t="shared" si="23"/>
        <v>0</v>
      </c>
    </row>
    <row r="87" spans="1:9" x14ac:dyDescent="0.25">
      <c r="B87" s="9"/>
    </row>
    <row r="88" spans="1:9" x14ac:dyDescent="0.25">
      <c r="A88" s="9"/>
      <c r="B88" s="9"/>
      <c r="C88" s="9"/>
      <c r="D88" s="9"/>
      <c r="E88" s="9"/>
      <c r="F88" s="9"/>
      <c r="G88" s="9"/>
      <c r="H88" s="9"/>
    </row>
    <row r="89" spans="1:9" x14ac:dyDescent="0.25">
      <c r="A89" s="9"/>
      <c r="B89" s="281"/>
      <c r="C89" s="9"/>
      <c r="D89" s="9"/>
      <c r="E89" s="9"/>
      <c r="F89" s="9"/>
      <c r="G89" s="9"/>
      <c r="H89" s="9"/>
    </row>
    <row r="90" spans="1:9" x14ac:dyDescent="0.25">
      <c r="B90" s="285"/>
      <c r="C90" s="285"/>
      <c r="D90" s="285"/>
      <c r="E90" s="285"/>
      <c r="F90" s="285"/>
      <c r="G90" s="285"/>
      <c r="H90" s="285"/>
    </row>
    <row r="92" spans="1:9" x14ac:dyDescent="0.25">
      <c r="B92" s="285"/>
      <c r="C92" s="285"/>
      <c r="D92" s="285"/>
      <c r="E92" s="285"/>
      <c r="F92" s="285"/>
      <c r="G92" s="285"/>
      <c r="H92" s="285"/>
    </row>
    <row r="95" spans="1:9" x14ac:dyDescent="0.25">
      <c r="A95" s="705" t="s">
        <v>627</v>
      </c>
      <c r="B95" s="706"/>
      <c r="C95" s="706"/>
      <c r="D95" s="706"/>
      <c r="E95" s="706"/>
      <c r="F95" s="706"/>
      <c r="G95" s="706"/>
      <c r="H95" s="706"/>
      <c r="I95" s="707"/>
    </row>
    <row r="96" spans="1:9" x14ac:dyDescent="0.25">
      <c r="A96" s="708"/>
      <c r="B96" s="709"/>
      <c r="C96" s="709"/>
      <c r="D96" s="710"/>
      <c r="E96" s="710"/>
      <c r="F96" s="710"/>
      <c r="G96" s="710"/>
      <c r="H96" s="710"/>
      <c r="I96" s="711"/>
    </row>
    <row r="97" spans="1:9" x14ac:dyDescent="0.25">
      <c r="A97" s="484" t="s">
        <v>27</v>
      </c>
      <c r="B97" s="494"/>
      <c r="C97" s="485"/>
      <c r="D97" s="483" t="s">
        <v>582</v>
      </c>
      <c r="E97" s="293">
        <v>2021</v>
      </c>
      <c r="F97" s="293">
        <v>2022</v>
      </c>
      <c r="G97" s="293">
        <f>+F71</f>
        <v>2023</v>
      </c>
      <c r="H97" s="293">
        <f>+G71</f>
        <v>2024</v>
      </c>
      <c r="I97" s="293">
        <f>+H71</f>
        <v>2025</v>
      </c>
    </row>
    <row r="98" spans="1:9" x14ac:dyDescent="0.25">
      <c r="A98" s="495" t="s">
        <v>583</v>
      </c>
      <c r="B98" s="494"/>
      <c r="C98" s="485"/>
      <c r="D98" s="492">
        <v>7040</v>
      </c>
      <c r="E98" s="293"/>
      <c r="F98" s="293"/>
      <c r="G98" s="490">
        <v>170400</v>
      </c>
      <c r="H98" s="490">
        <v>208000</v>
      </c>
      <c r="I98" s="490">
        <v>218600</v>
      </c>
    </row>
    <row r="99" spans="1:9" x14ac:dyDescent="0.25">
      <c r="A99" s="495" t="s">
        <v>584</v>
      </c>
      <c r="B99" s="494"/>
      <c r="C99" s="485"/>
      <c r="D99" s="492">
        <v>7041</v>
      </c>
      <c r="E99" s="293"/>
      <c r="F99" s="293"/>
      <c r="G99" s="490">
        <v>150200</v>
      </c>
      <c r="H99" s="490">
        <v>183300</v>
      </c>
      <c r="I99" s="490">
        <v>192700</v>
      </c>
    </row>
    <row r="100" spans="1:9" x14ac:dyDescent="0.25">
      <c r="A100" s="495" t="s">
        <v>585</v>
      </c>
      <c r="B100" s="494"/>
      <c r="C100" s="485"/>
      <c r="D100" s="492">
        <v>7042</v>
      </c>
      <c r="E100" s="293"/>
      <c r="F100" s="293"/>
      <c r="G100" s="490">
        <v>138600</v>
      </c>
      <c r="H100" s="490">
        <v>186300</v>
      </c>
      <c r="I100" s="490">
        <v>186300</v>
      </c>
    </row>
    <row r="101" spans="1:9" x14ac:dyDescent="0.25">
      <c r="A101" s="495" t="s">
        <v>586</v>
      </c>
      <c r="B101" s="494"/>
      <c r="C101" s="485"/>
      <c r="D101" s="492">
        <v>7052</v>
      </c>
      <c r="E101" s="293"/>
      <c r="F101" s="293"/>
      <c r="G101" s="488">
        <v>0</v>
      </c>
      <c r="H101" s="488">
        <v>0</v>
      </c>
      <c r="I101" s="488">
        <v>0</v>
      </c>
    </row>
    <row r="102" spans="1:9" x14ac:dyDescent="0.25">
      <c r="A102" s="495" t="s">
        <v>587</v>
      </c>
      <c r="B102" s="494"/>
      <c r="C102" s="485"/>
      <c r="D102" s="492">
        <v>7055</v>
      </c>
      <c r="E102" s="293"/>
      <c r="F102" s="293"/>
      <c r="G102" s="488">
        <v>0</v>
      </c>
      <c r="H102" s="488">
        <v>0</v>
      </c>
      <c r="I102" s="488">
        <v>0</v>
      </c>
    </row>
    <row r="103" spans="1:9" x14ac:dyDescent="0.25">
      <c r="A103" s="495" t="s">
        <v>588</v>
      </c>
      <c r="B103" s="494"/>
      <c r="C103" s="485"/>
      <c r="D103" s="492">
        <v>7056</v>
      </c>
      <c r="E103" s="293"/>
      <c r="F103" s="293"/>
      <c r="G103" s="488">
        <v>6700</v>
      </c>
      <c r="H103" s="488">
        <v>8200</v>
      </c>
      <c r="I103" s="488">
        <v>8400</v>
      </c>
    </row>
    <row r="104" spans="1:9" x14ac:dyDescent="0.25">
      <c r="A104" s="495" t="s">
        <v>589</v>
      </c>
      <c r="B104" s="494"/>
      <c r="C104" s="485"/>
      <c r="D104" s="492">
        <v>7058</v>
      </c>
      <c r="E104" s="293"/>
      <c r="F104" s="293"/>
      <c r="G104" s="488">
        <v>979500</v>
      </c>
      <c r="H104" s="488">
        <v>1175400</v>
      </c>
      <c r="I104" s="488">
        <v>1187000</v>
      </c>
    </row>
    <row r="105" spans="1:9" x14ac:dyDescent="0.25">
      <c r="A105" s="495" t="s">
        <v>590</v>
      </c>
      <c r="B105" s="494"/>
      <c r="C105" s="485"/>
      <c r="D105" s="492">
        <v>7102</v>
      </c>
      <c r="E105" s="293"/>
      <c r="F105" s="293"/>
      <c r="G105" s="488">
        <v>0</v>
      </c>
      <c r="H105" s="488">
        <v>0</v>
      </c>
      <c r="I105" s="488">
        <v>0</v>
      </c>
    </row>
    <row r="106" spans="1:9" x14ac:dyDescent="0.25">
      <c r="A106" s="495" t="s">
        <v>591</v>
      </c>
      <c r="B106" s="494"/>
      <c r="C106" s="485"/>
      <c r="D106" s="492">
        <v>7103</v>
      </c>
      <c r="E106" s="293"/>
      <c r="F106" s="293"/>
      <c r="G106" s="488">
        <v>0</v>
      </c>
      <c r="H106" s="488">
        <v>0</v>
      </c>
      <c r="I106" s="488">
        <v>0</v>
      </c>
    </row>
    <row r="107" spans="1:9" x14ac:dyDescent="0.25">
      <c r="A107" s="495" t="s">
        <v>592</v>
      </c>
      <c r="B107" s="494"/>
      <c r="C107" s="485"/>
      <c r="D107" s="492">
        <v>7105</v>
      </c>
      <c r="E107" s="293"/>
      <c r="F107" s="293"/>
      <c r="G107" s="488">
        <v>0</v>
      </c>
      <c r="H107" s="488">
        <v>0</v>
      </c>
      <c r="I107" s="488">
        <v>0</v>
      </c>
    </row>
    <row r="108" spans="1:9" x14ac:dyDescent="0.25">
      <c r="A108" s="495" t="s">
        <v>593</v>
      </c>
      <c r="B108" s="494"/>
      <c r="C108" s="485"/>
      <c r="D108" s="492">
        <v>7116</v>
      </c>
      <c r="E108" s="293"/>
      <c r="F108" s="293"/>
      <c r="G108" s="488">
        <v>0</v>
      </c>
      <c r="H108" s="488">
        <v>0</v>
      </c>
      <c r="I108" s="488">
        <v>0</v>
      </c>
    </row>
    <row r="109" spans="1:9" x14ac:dyDescent="0.25">
      <c r="A109" s="495" t="s">
        <v>594</v>
      </c>
      <c r="B109" s="494"/>
      <c r="C109" s="485"/>
      <c r="D109" s="492">
        <v>7117</v>
      </c>
      <c r="E109" s="293"/>
      <c r="F109" s="293"/>
      <c r="G109" s="488">
        <v>0</v>
      </c>
      <c r="H109" s="488">
        <v>0</v>
      </c>
      <c r="I109" s="488">
        <v>0</v>
      </c>
    </row>
    <row r="110" spans="1:9" x14ac:dyDescent="0.25">
      <c r="A110" s="495" t="s">
        <v>595</v>
      </c>
      <c r="B110" s="494"/>
      <c r="C110" s="485"/>
      <c r="D110" s="492">
        <v>7150</v>
      </c>
      <c r="E110" s="293"/>
      <c r="F110" s="293"/>
      <c r="G110" s="488">
        <v>863400</v>
      </c>
      <c r="H110" s="488">
        <v>1154000</v>
      </c>
      <c r="I110" s="488">
        <v>1205800</v>
      </c>
    </row>
    <row r="111" spans="1:9" x14ac:dyDescent="0.25">
      <c r="A111" s="495" t="s">
        <v>167</v>
      </c>
      <c r="B111" s="494"/>
      <c r="C111" s="485"/>
      <c r="D111" s="492">
        <v>7180</v>
      </c>
      <c r="E111" s="491">
        <f>+D74</f>
        <v>5327</v>
      </c>
      <c r="F111" s="491">
        <f>+E74</f>
        <v>20300</v>
      </c>
      <c r="G111" s="488">
        <v>30600</v>
      </c>
      <c r="H111" s="488">
        <v>31300</v>
      </c>
      <c r="I111" s="488">
        <v>32100</v>
      </c>
    </row>
    <row r="112" spans="1:9" x14ac:dyDescent="0.25">
      <c r="A112" s="495" t="s">
        <v>596</v>
      </c>
      <c r="B112" s="494"/>
      <c r="C112" s="485"/>
      <c r="D112" s="492">
        <v>7202</v>
      </c>
      <c r="E112" s="293"/>
      <c r="F112" s="293"/>
      <c r="G112" s="488">
        <v>4700</v>
      </c>
      <c r="H112" s="488">
        <v>6200</v>
      </c>
      <c r="I112" s="488">
        <v>6400</v>
      </c>
    </row>
    <row r="113" spans="1:9" x14ac:dyDescent="0.25">
      <c r="A113" s="495" t="s">
        <v>597</v>
      </c>
      <c r="B113" s="494"/>
      <c r="C113" s="485"/>
      <c r="D113" s="492">
        <v>7209</v>
      </c>
      <c r="E113" s="293"/>
      <c r="F113" s="293"/>
      <c r="G113" s="488">
        <v>14100</v>
      </c>
      <c r="H113" s="488">
        <v>15500</v>
      </c>
      <c r="I113" s="488">
        <v>24500</v>
      </c>
    </row>
    <row r="114" spans="1:9" x14ac:dyDescent="0.25">
      <c r="A114" s="495" t="s">
        <v>598</v>
      </c>
      <c r="B114" s="494"/>
      <c r="C114" s="485"/>
      <c r="D114" s="492">
        <v>7210</v>
      </c>
      <c r="E114" s="293"/>
      <c r="F114" s="293"/>
      <c r="G114" s="488">
        <v>204500</v>
      </c>
      <c r="H114" s="488">
        <v>227100</v>
      </c>
      <c r="I114" s="488">
        <v>351100</v>
      </c>
    </row>
    <row r="115" spans="1:9" x14ac:dyDescent="0.25">
      <c r="A115" s="495" t="s">
        <v>599</v>
      </c>
      <c r="B115" s="494"/>
      <c r="C115" s="485"/>
      <c r="D115" s="492">
        <v>7216</v>
      </c>
      <c r="E115" s="293"/>
      <c r="F115" s="293"/>
      <c r="G115" s="488">
        <v>31300</v>
      </c>
      <c r="H115" s="488">
        <v>57900</v>
      </c>
      <c r="I115" s="488">
        <v>106100</v>
      </c>
    </row>
    <row r="116" spans="1:9" x14ac:dyDescent="0.25">
      <c r="A116" s="495" t="s">
        <v>600</v>
      </c>
      <c r="B116" s="494"/>
      <c r="C116" s="485"/>
      <c r="D116" s="492">
        <v>7302</v>
      </c>
      <c r="E116" s="293"/>
      <c r="F116" s="293"/>
      <c r="G116" s="488">
        <v>40800</v>
      </c>
      <c r="H116" s="488">
        <v>51600</v>
      </c>
      <c r="I116" s="488">
        <v>58900</v>
      </c>
    </row>
    <row r="117" spans="1:9" x14ac:dyDescent="0.25">
      <c r="A117" s="495" t="s">
        <v>601</v>
      </c>
      <c r="B117" s="494"/>
      <c r="C117" s="485"/>
      <c r="D117" s="492">
        <v>7303</v>
      </c>
      <c r="E117" s="293"/>
      <c r="F117" s="293"/>
      <c r="G117" s="488">
        <v>205400</v>
      </c>
      <c r="H117" s="488">
        <v>249500</v>
      </c>
      <c r="I117" s="488">
        <v>317200</v>
      </c>
    </row>
    <row r="118" spans="1:9" x14ac:dyDescent="0.25">
      <c r="A118" s="495" t="s">
        <v>602</v>
      </c>
      <c r="B118" s="494"/>
      <c r="C118" s="485"/>
      <c r="D118" s="492">
        <v>7305</v>
      </c>
      <c r="E118" s="293"/>
      <c r="F118" s="293"/>
      <c r="G118" s="488">
        <v>56300</v>
      </c>
      <c r="H118" s="488">
        <v>67800</v>
      </c>
      <c r="I118" s="488">
        <v>87000</v>
      </c>
    </row>
    <row r="119" spans="1:9" x14ac:dyDescent="0.25">
      <c r="A119" s="495" t="s">
        <v>603</v>
      </c>
      <c r="B119" s="494"/>
      <c r="C119" s="485"/>
      <c r="D119" s="492">
        <v>7316</v>
      </c>
      <c r="E119" s="293"/>
      <c r="F119" s="293"/>
      <c r="G119" s="488">
        <v>63500</v>
      </c>
      <c r="H119" s="488">
        <v>96200</v>
      </c>
      <c r="I119" s="488">
        <v>150900</v>
      </c>
    </row>
    <row r="120" spans="1:9" x14ac:dyDescent="0.25">
      <c r="A120" s="495" t="s">
        <v>604</v>
      </c>
      <c r="B120" s="494"/>
      <c r="C120" s="485"/>
      <c r="D120" s="492">
        <v>7350</v>
      </c>
      <c r="E120" s="488">
        <f>+D72</f>
        <v>779638</v>
      </c>
      <c r="F120" s="488">
        <f>+E72</f>
        <v>970800</v>
      </c>
      <c r="G120" s="488">
        <v>1057100</v>
      </c>
      <c r="H120" s="488">
        <v>1104500</v>
      </c>
      <c r="I120" s="488">
        <v>1154200</v>
      </c>
    </row>
    <row r="121" spans="1:9" x14ac:dyDescent="0.25">
      <c r="A121" s="495" t="s">
        <v>605</v>
      </c>
      <c r="B121" s="494"/>
      <c r="C121" s="485"/>
      <c r="D121" s="492">
        <v>7355</v>
      </c>
      <c r="E121" s="488">
        <f>+D73</f>
        <v>234717</v>
      </c>
      <c r="F121" s="488">
        <f>+E73</f>
        <v>236600</v>
      </c>
      <c r="G121" s="488">
        <v>242600</v>
      </c>
      <c r="H121" s="488">
        <v>248600</v>
      </c>
      <c r="I121" s="488">
        <v>254800</v>
      </c>
    </row>
    <row r="122" spans="1:9" x14ac:dyDescent="0.25">
      <c r="A122" s="495" t="s">
        <v>606</v>
      </c>
      <c r="B122" s="494"/>
      <c r="C122" s="485"/>
      <c r="D122" s="492">
        <v>7450</v>
      </c>
      <c r="E122" s="20"/>
      <c r="F122" s="20"/>
      <c r="G122" s="488">
        <v>0</v>
      </c>
      <c r="H122" s="488">
        <v>0</v>
      </c>
      <c r="I122" s="488">
        <v>0</v>
      </c>
    </row>
    <row r="123" spans="1:9" x14ac:dyDescent="0.25">
      <c r="A123" s="495" t="s">
        <v>607</v>
      </c>
      <c r="B123" s="494"/>
      <c r="C123" s="485"/>
      <c r="D123" s="492">
        <v>9415</v>
      </c>
      <c r="E123" s="34">
        <f>-'Other Revenue &amp; Costs'!D32</f>
        <v>-93600</v>
      </c>
      <c r="F123" s="34">
        <f>-'Other Revenue &amp; Costs'!E32</f>
        <v>-93400</v>
      </c>
      <c r="G123" s="34">
        <f>ROUND(-'Other Revenue &amp; Costs'!F32*2/12,-2)</f>
        <v>-15600</v>
      </c>
      <c r="H123" s="34">
        <v>0</v>
      </c>
      <c r="I123" s="34">
        <v>0</v>
      </c>
    </row>
    <row r="124" spans="1:9" x14ac:dyDescent="0.25">
      <c r="A124" s="495" t="s">
        <v>608</v>
      </c>
      <c r="B124" s="494"/>
      <c r="C124" s="485"/>
      <c r="D124" s="492">
        <v>9420</v>
      </c>
      <c r="E124" s="34">
        <f>-'Other Revenue &amp; Costs'!D33</f>
        <v>-149307</v>
      </c>
      <c r="F124" s="34">
        <f>-'Other Revenue &amp; Costs'!E33</f>
        <v>0</v>
      </c>
      <c r="G124" s="34">
        <f>-'Other Revenue &amp; Costs'!F33</f>
        <v>0</v>
      </c>
      <c r="H124" s="34">
        <f>-'Other Revenue &amp; Costs'!G33</f>
        <v>0</v>
      </c>
      <c r="I124" s="34">
        <f>-'Other Revenue &amp; Costs'!H33</f>
        <v>0</v>
      </c>
    </row>
    <row r="125" spans="1:9" x14ac:dyDescent="0.25">
      <c r="A125" s="495" t="str">
        <f>+A24</f>
        <v>PEI Energy Corporation Debt Repayment</v>
      </c>
      <c r="B125" s="494"/>
      <c r="C125" s="485"/>
      <c r="D125" s="493" t="s">
        <v>609</v>
      </c>
      <c r="E125" s="34"/>
      <c r="F125" s="34"/>
      <c r="G125" s="34">
        <v>4102800</v>
      </c>
      <c r="H125" s="34">
        <v>5411200</v>
      </c>
      <c r="I125" s="34">
        <v>5456900</v>
      </c>
    </row>
    <row r="126" spans="1:9" x14ac:dyDescent="0.25">
      <c r="A126" s="495" t="s">
        <v>356</v>
      </c>
      <c r="B126" s="494"/>
      <c r="C126" s="485"/>
      <c r="D126" s="489"/>
      <c r="E126" s="102">
        <f t="shared" ref="E126:F126" si="24">SUM(E98:E125)</f>
        <v>776775</v>
      </c>
      <c r="F126" s="102">
        <f t="shared" si="24"/>
        <v>1134300</v>
      </c>
      <c r="G126" s="102">
        <f>SUM(G98:G125)</f>
        <v>8346900</v>
      </c>
      <c r="H126" s="102">
        <f>SUM(H98:H125)</f>
        <v>10482600</v>
      </c>
      <c r="I126" s="102">
        <f>SUM(I98:I125)</f>
        <v>10998900</v>
      </c>
    </row>
  </sheetData>
  <mergeCells count="10">
    <mergeCell ref="A95:I96"/>
    <mergeCell ref="A2:H2"/>
    <mergeCell ref="A3:H3"/>
    <mergeCell ref="A70:H70"/>
    <mergeCell ref="A10:H10"/>
    <mergeCell ref="A11:H11"/>
    <mergeCell ref="A69:H69"/>
    <mergeCell ref="A43:H44"/>
    <mergeCell ref="A31:H32"/>
    <mergeCell ref="A56:H57"/>
  </mergeCells>
  <printOptions horizontalCentered="1"/>
  <pageMargins left="0.7" right="0.7" top="0.75" bottom="0.75" header="0.3" footer="0.3"/>
  <pageSetup scale="4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Chart 3-1</vt:lpstr>
      <vt:lpstr>Tables Section 3.2.2</vt:lpstr>
      <vt:lpstr>Tables Section 4</vt:lpstr>
      <vt:lpstr>Tables Section 5.1 - 5.2</vt:lpstr>
      <vt:lpstr>Section 5.3 Reg Deferrals</vt:lpstr>
      <vt:lpstr>Section 6</vt:lpstr>
      <vt:lpstr>Section 7.2 Proposed Rates</vt:lpstr>
      <vt:lpstr>Section 7.3 Customer Impact</vt:lpstr>
      <vt:lpstr>Energy Supply</vt:lpstr>
      <vt:lpstr>T &amp; D</vt:lpstr>
      <vt:lpstr>General</vt:lpstr>
      <vt:lpstr>Other Revenue &amp; Costs</vt:lpstr>
      <vt:lpstr>ROE, Capital Structure, Divds</vt:lpstr>
      <vt:lpstr>ECAM Account</vt:lpstr>
      <vt:lpstr>Other Reg Def</vt:lpstr>
      <vt:lpstr>Rate Base</vt:lpstr>
      <vt:lpstr>Energy Sales &amp; Revenue</vt:lpstr>
      <vt:lpstr>'Tables Section 3.2.2'!_ftn1</vt:lpstr>
      <vt:lpstr>'Tables Section 3.2.2'!_ftn2</vt:lpstr>
      <vt:lpstr>'Tables Section 3.2.2'!_ftn3</vt:lpstr>
      <vt:lpstr>'Tables Section 3.2.2'!_ftn4</vt:lpstr>
      <vt:lpstr>'Tables Section 3.2.2'!_ftnref1</vt:lpstr>
      <vt:lpstr>'Tables Section 3.2.2'!_ftnref2</vt:lpstr>
      <vt:lpstr>'Tables Section 3.2.2'!_ftnref3</vt:lpstr>
      <vt:lpstr>'Tables Section 3.2.2'!_ftnref4</vt:lpstr>
    </vt:vector>
  </TitlesOfParts>
  <Company>Maritime Electric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Crockett, Gloria</dc:creator>
  <cp:lastModifiedBy>Crockett, Gloria</cp:lastModifiedBy>
  <cp:lastPrinted>2022-05-20T16:46:49Z</cp:lastPrinted>
  <dcterms:created xsi:type="dcterms:W3CDTF">2015-08-26T11:33:38Z</dcterms:created>
  <dcterms:modified xsi:type="dcterms:W3CDTF">2022-08-04T14:23:47Z</dcterms:modified>
</cp:coreProperties>
</file>