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defaultThemeVersion="124226"/>
  <xr:revisionPtr revIDLastSave="0" documentId="13_ncr:1_{EDDC538D-BA49-476E-BE7F-57395BE9485C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WNRA" sheetId="8" r:id="rId1"/>
    <sheet name="APPENDIX C -S1" sheetId="3" state="hidden" r:id="rId2"/>
  </sheets>
  <definedNames>
    <definedName name="_xlnm.Print_Area" localSheetId="1">'APPENDIX C -S1'!$A$3:$AC$27</definedName>
    <definedName name="_xlnm.Print_Area" localSheetId="0">WNRA!$A$5:$E$89</definedName>
  </definedNames>
  <calcPr calcId="191029"/>
</workbook>
</file>

<file path=xl/calcChain.xml><?xml version="1.0" encoding="utf-8"?>
<calcChain xmlns="http://schemas.openxmlformats.org/spreadsheetml/2006/main">
  <c r="D16" i="8" l="1"/>
  <c r="D17" i="8"/>
  <c r="D18" i="8"/>
  <c r="D19" i="8"/>
  <c r="D20" i="8"/>
  <c r="D21" i="8"/>
  <c r="D22" i="8"/>
  <c r="D23" i="8"/>
  <c r="D24" i="8"/>
  <c r="D25" i="8"/>
  <c r="D26" i="8"/>
  <c r="B28" i="8"/>
  <c r="D28" i="8" s="1"/>
  <c r="B29" i="8"/>
  <c r="D29" i="8" s="1"/>
  <c r="B30" i="8"/>
  <c r="D30" i="8" s="1"/>
  <c r="B31" i="8"/>
  <c r="D31" i="8" s="1"/>
  <c r="B32" i="8"/>
  <c r="D32" i="8"/>
  <c r="B33" i="8"/>
  <c r="D33" i="8" s="1"/>
  <c r="B34" i="8"/>
  <c r="D34" i="8" s="1"/>
  <c r="B35" i="8"/>
  <c r="D35" i="8" s="1"/>
  <c r="B36" i="8"/>
  <c r="D36" i="8"/>
  <c r="B37" i="8"/>
  <c r="D37" i="8" s="1"/>
  <c r="B38" i="8"/>
  <c r="D38" i="8" s="1"/>
  <c r="B39" i="8"/>
  <c r="B40" i="8"/>
  <c r="C40" i="8"/>
  <c r="B41" i="8"/>
  <c r="B42" i="8"/>
  <c r="B43" i="8"/>
  <c r="B44" i="8"/>
  <c r="B45" i="8"/>
  <c r="B46" i="8"/>
  <c r="B47" i="8"/>
  <c r="B48" i="8"/>
  <c r="C48" i="8"/>
  <c r="B49" i="8"/>
  <c r="D49" i="8" s="1"/>
  <c r="B56" i="8"/>
  <c r="D56" i="8"/>
  <c r="B62" i="8"/>
  <c r="D62" i="8"/>
  <c r="B63" i="8"/>
  <c r="D63" i="8" s="1"/>
  <c r="B64" i="8"/>
  <c r="B65" i="8"/>
  <c r="C66" i="8"/>
  <c r="B69" i="8"/>
  <c r="B73" i="8"/>
  <c r="C74" i="8"/>
  <c r="B75" i="8"/>
  <c r="B77" i="8"/>
  <c r="B78" i="8"/>
  <c r="B79" i="8"/>
  <c r="B80" i="8"/>
  <c r="B81" i="8"/>
  <c r="B82" i="8"/>
  <c r="B83" i="8"/>
  <c r="D83" i="8" s="1"/>
  <c r="C83" i="8"/>
  <c r="B84" i="8"/>
  <c r="B85" i="8"/>
  <c r="Y24" i="3"/>
  <c r="AC12" i="3"/>
  <c r="AE15" i="3"/>
  <c r="C81" i="8" s="1"/>
  <c r="D81" i="8" s="1"/>
  <c r="AF11" i="3"/>
  <c r="AB11" i="3"/>
  <c r="AA11" i="3"/>
  <c r="AI11" i="3"/>
  <c r="AG22" i="3"/>
  <c r="AG12" i="3"/>
  <c r="AG11" i="3"/>
  <c r="AF12" i="3"/>
  <c r="C65" i="8" s="1"/>
  <c r="D65" i="8" s="1"/>
  <c r="AF13" i="3"/>
  <c r="AF14" i="3"/>
  <c r="C67" i="8" s="1"/>
  <c r="AF15" i="3"/>
  <c r="C68" i="8" s="1"/>
  <c r="AF16" i="3"/>
  <c r="C69" i="8" s="1"/>
  <c r="AF17" i="3"/>
  <c r="C70" i="8" s="1"/>
  <c r="AF18" i="3"/>
  <c r="C71" i="8" s="1"/>
  <c r="AF19" i="3"/>
  <c r="C72" i="8" s="1"/>
  <c r="AF20" i="3"/>
  <c r="C73" i="8" s="1"/>
  <c r="D73" i="8" s="1"/>
  <c r="AH11" i="3"/>
  <c r="X14" i="3"/>
  <c r="B67" i="8" s="1"/>
  <c r="D67" i="8" s="1"/>
  <c r="X21" i="3"/>
  <c r="X18" i="3"/>
  <c r="B71" i="8" s="1"/>
  <c r="D71" i="8" s="1"/>
  <c r="X19" i="3"/>
  <c r="B72" i="8" s="1"/>
  <c r="D72" i="8" s="1"/>
  <c r="X17" i="3"/>
  <c r="B70" i="8" s="1"/>
  <c r="X15" i="3"/>
  <c r="B68" i="8" s="1"/>
  <c r="X13" i="3"/>
  <c r="B66" i="8" s="1"/>
  <c r="D66" i="8" s="1"/>
  <c r="W20" i="3"/>
  <c r="B61" i="8" s="1"/>
  <c r="D61" i="8" s="1"/>
  <c r="W19" i="3"/>
  <c r="B60" i="8" s="1"/>
  <c r="D60" i="8" s="1"/>
  <c r="W18" i="3"/>
  <c r="AC18" i="3" s="1"/>
  <c r="W17" i="3"/>
  <c r="AC17" i="3" s="1"/>
  <c r="AE17" i="3"/>
  <c r="W16" i="3"/>
  <c r="B57" i="8" s="1"/>
  <c r="D57" i="8" s="1"/>
  <c r="AE16" i="3"/>
  <c r="C82" i="8" s="1"/>
  <c r="D82" i="8" s="1"/>
  <c r="W14" i="3"/>
  <c r="B55" i="8" s="1"/>
  <c r="D55" i="8" s="1"/>
  <c r="W13" i="3"/>
  <c r="AE13" i="3" s="1"/>
  <c r="C79" i="8" s="1"/>
  <c r="D79" i="8" s="1"/>
  <c r="W12" i="3"/>
  <c r="B53" i="8" s="1"/>
  <c r="D53" i="8" s="1"/>
  <c r="W11" i="3"/>
  <c r="AG13" i="3"/>
  <c r="AG14" i="3"/>
  <c r="AG15" i="3"/>
  <c r="AG16" i="3"/>
  <c r="AG17" i="3"/>
  <c r="AG18" i="3"/>
  <c r="AG19" i="3"/>
  <c r="AG20" i="3"/>
  <c r="AG21" i="3"/>
  <c r="V22" i="3"/>
  <c r="B51" i="8" s="1"/>
  <c r="V21" i="3"/>
  <c r="B50" i="8" s="1"/>
  <c r="D50" i="8" s="1"/>
  <c r="AJ11" i="3"/>
  <c r="AJ23" i="3" s="1"/>
  <c r="AH12" i="3"/>
  <c r="C41" i="8" s="1"/>
  <c r="AI12" i="3"/>
  <c r="AJ12" i="3"/>
  <c r="AH13" i="3"/>
  <c r="C42" i="8" s="1"/>
  <c r="D42" i="8" s="1"/>
  <c r="AI13" i="3"/>
  <c r="AJ13" i="3"/>
  <c r="AH14" i="3"/>
  <c r="C43" i="8" s="1"/>
  <c r="AI14" i="3"/>
  <c r="AJ14" i="3"/>
  <c r="AH15" i="3"/>
  <c r="C44" i="8" s="1"/>
  <c r="AI15" i="3"/>
  <c r="AJ15" i="3"/>
  <c r="AH16" i="3"/>
  <c r="AI16" i="3"/>
  <c r="AJ16" i="3"/>
  <c r="AH17" i="3"/>
  <c r="C46" i="8" s="1"/>
  <c r="AI17" i="3"/>
  <c r="AJ17" i="3"/>
  <c r="AH18" i="3"/>
  <c r="C47" i="8" s="1"/>
  <c r="D47" i="8" s="1"/>
  <c r="AI18" i="3"/>
  <c r="AJ18" i="3"/>
  <c r="AH19" i="3"/>
  <c r="AI19" i="3"/>
  <c r="AJ19" i="3"/>
  <c r="AH20" i="3"/>
  <c r="AI20" i="3"/>
  <c r="AJ20" i="3"/>
  <c r="AH21" i="3"/>
  <c r="AI21" i="3"/>
  <c r="AJ21" i="3"/>
  <c r="AH22" i="3"/>
  <c r="AI22" i="3"/>
  <c r="C39" i="8" s="1"/>
  <c r="AJ22" i="3"/>
  <c r="U24" i="3"/>
  <c r="T24" i="3"/>
  <c r="G24" i="3"/>
  <c r="H24" i="3"/>
  <c r="I24" i="3"/>
  <c r="J24" i="3"/>
  <c r="K24" i="3"/>
  <c r="L24" i="3"/>
  <c r="M24" i="3"/>
  <c r="N24" i="3"/>
  <c r="O24" i="3"/>
  <c r="AB26" i="3" s="1"/>
  <c r="P24" i="3"/>
  <c r="Q24" i="3"/>
  <c r="R24" i="3"/>
  <c r="S24" i="3"/>
  <c r="AB12" i="3"/>
  <c r="AB24" i="3" s="1"/>
  <c r="AB13" i="3"/>
  <c r="AB14" i="3"/>
  <c r="AB15" i="3"/>
  <c r="AB16" i="3"/>
  <c r="AB17" i="3"/>
  <c r="AB18" i="3"/>
  <c r="AB19" i="3"/>
  <c r="AB20" i="3"/>
  <c r="AB21" i="3"/>
  <c r="AB22" i="3"/>
  <c r="F24" i="3"/>
  <c r="D24" i="3"/>
  <c r="B24" i="3"/>
  <c r="AA22" i="3"/>
  <c r="AA21" i="3"/>
  <c r="AA20" i="3"/>
  <c r="AA19" i="3"/>
  <c r="AA18" i="3"/>
  <c r="AA17" i="3"/>
  <c r="AA16" i="3"/>
  <c r="AA15" i="3"/>
  <c r="AA14" i="3"/>
  <c r="AA13" i="3"/>
  <c r="AA12" i="3"/>
  <c r="AC15" i="3"/>
  <c r="AF21" i="3"/>
  <c r="AE21" i="3"/>
  <c r="C87" i="8" s="1"/>
  <c r="D87" i="8" s="1"/>
  <c r="V24" i="3"/>
  <c r="AE11" i="3"/>
  <c r="AC20" i="3"/>
  <c r="AA24" i="3"/>
  <c r="AE22" i="3"/>
  <c r="C88" i="8" s="1"/>
  <c r="D88" i="8" s="1"/>
  <c r="AC22" i="3"/>
  <c r="AC16" i="3"/>
  <c r="AC13" i="3"/>
  <c r="AE14" i="3"/>
  <c r="C80" i="8" s="1"/>
  <c r="D80" i="8" s="1"/>
  <c r="AC14" i="3"/>
  <c r="AF22" i="3"/>
  <c r="C75" i="8" s="1"/>
  <c r="D39" i="8" l="1"/>
  <c r="D46" i="8"/>
  <c r="D75" i="8"/>
  <c r="D40" i="8"/>
  <c r="AC21" i="3"/>
  <c r="B74" i="8"/>
  <c r="D74" i="8" s="1"/>
  <c r="X24" i="3"/>
  <c r="D44" i="8"/>
  <c r="C96" i="8" s="1"/>
  <c r="D43" i="8"/>
  <c r="H16" i="8"/>
  <c r="AI23" i="3"/>
  <c r="C64" i="8"/>
  <c r="D64" i="8" s="1"/>
  <c r="AF23" i="3"/>
  <c r="D48" i="8"/>
  <c r="D41" i="8"/>
  <c r="C95" i="8"/>
  <c r="D68" i="8"/>
  <c r="AG23" i="3"/>
  <c r="D69" i="8"/>
  <c r="C27" i="8"/>
  <c r="D27" i="8" s="1"/>
  <c r="C51" i="8"/>
  <c r="D51" i="8" s="1"/>
  <c r="D70" i="8"/>
  <c r="C77" i="8"/>
  <c r="D77" i="8" s="1"/>
  <c r="AA26" i="3"/>
  <c r="B52" i="8"/>
  <c r="D52" i="8" s="1"/>
  <c r="W24" i="3"/>
  <c r="AC26" i="3" s="1"/>
  <c r="AC11" i="3"/>
  <c r="AC24" i="3" s="1"/>
  <c r="C45" i="8"/>
  <c r="D45" i="8" s="1"/>
  <c r="AH23" i="3"/>
  <c r="AE20" i="3"/>
  <c r="C86" i="8" s="1"/>
  <c r="D86" i="8" s="1"/>
  <c r="B59" i="8"/>
  <c r="D59" i="8" s="1"/>
  <c r="AE19" i="3"/>
  <c r="C85" i="8" s="1"/>
  <c r="D85" i="8" s="1"/>
  <c r="AE18" i="3"/>
  <c r="C84" i="8" s="1"/>
  <c r="D84" i="8" s="1"/>
  <c r="B58" i="8"/>
  <c r="D58" i="8" s="1"/>
  <c r="B54" i="8"/>
  <c r="D54" i="8" s="1"/>
  <c r="AC19" i="3"/>
  <c r="AE12" i="3"/>
  <c r="C78" i="8" s="1"/>
  <c r="D78" i="8" s="1"/>
  <c r="C99" i="8" l="1"/>
  <c r="C98" i="8"/>
  <c r="C94" i="8"/>
  <c r="H17" i="8"/>
  <c r="AE23" i="3"/>
  <c r="D91" i="8"/>
  <c r="C97" i="8"/>
  <c r="H18" i="8" l="1"/>
  <c r="H19" i="8" l="1"/>
  <c r="H20" i="8" l="1"/>
  <c r="H21" i="8" l="1"/>
  <c r="H22" i="8" l="1"/>
  <c r="H23" i="8" l="1"/>
  <c r="H24" i="8" l="1"/>
  <c r="H25" i="8" l="1"/>
  <c r="H26" i="8" l="1"/>
  <c r="H27" i="8" l="1"/>
  <c r="H28" i="8" l="1"/>
  <c r="H29" i="8" l="1"/>
  <c r="H30" i="8" l="1"/>
  <c r="H31" i="8" l="1"/>
  <c r="H32" i="8" l="1"/>
  <c r="H33" i="8" l="1"/>
  <c r="H34" i="8" l="1"/>
  <c r="H35" i="8" l="1"/>
  <c r="H36" i="8" l="1"/>
  <c r="H37" i="8" l="1"/>
  <c r="H38" i="8" l="1"/>
  <c r="H39" i="8" l="1"/>
  <c r="H40" i="8" l="1"/>
  <c r="H41" i="8" l="1"/>
  <c r="H42" i="8" l="1"/>
  <c r="H43" i="8" l="1"/>
  <c r="H44" i="8" l="1"/>
  <c r="H45" i="8" l="1"/>
  <c r="H46" i="8" l="1"/>
  <c r="H47" i="8" l="1"/>
  <c r="H48" i="8" l="1"/>
  <c r="H49" i="8" l="1"/>
  <c r="H50" i="8" l="1"/>
  <c r="H51" i="8" l="1"/>
  <c r="H52" i="8" l="1"/>
  <c r="H53" i="8" l="1"/>
  <c r="H54" i="8" l="1"/>
  <c r="H55" i="8" l="1"/>
  <c r="H56" i="8" l="1"/>
  <c r="H57" i="8" l="1"/>
  <c r="H58" i="8" l="1"/>
  <c r="H59" i="8" l="1"/>
  <c r="H60" i="8" l="1"/>
  <c r="H61" i="8" l="1"/>
  <c r="H62" i="8" l="1"/>
  <c r="H63" i="8" l="1"/>
  <c r="H64" i="8" l="1"/>
  <c r="H65" i="8" l="1"/>
  <c r="H66" i="8" l="1"/>
  <c r="H67" i="8" l="1"/>
  <c r="H68" i="8" l="1"/>
  <c r="H69" i="8" l="1"/>
  <c r="H70" i="8" l="1"/>
  <c r="H71" i="8" l="1"/>
  <c r="H72" i="8" l="1"/>
  <c r="H73" i="8" l="1"/>
  <c r="H74" i="8" l="1"/>
  <c r="H7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sb 626 but filed as 608 last year…
</t>
        </r>
        <r>
          <rPr>
            <b/>
            <sz val="9"/>
            <color indexed="81"/>
            <rFont val="Tahoma"/>
            <family val="2"/>
          </rPr>
          <t xml:space="preserve">Updated 12/11/2019 </t>
        </r>
        <r>
          <rPr>
            <sz val="9"/>
            <color indexed="81"/>
            <rFont val="Tahoma"/>
            <family val="2"/>
          </rPr>
          <t>to latest daily data from Environment Canada</t>
        </r>
      </text>
    </comment>
    <comment ref="C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to reflect change in daily data for December 2013 from 750 to 744 HDDs</t>
        </r>
      </text>
    </comment>
    <comment ref="C5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to reflect change in daily data for February 2016 from 608 to 628 HDDs reported by Environment Canada on 12/11/2019.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Y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info is entered from the monthly calc spreadsheet + independent verification to the website:
https://climate.weather.gc.ca/historical_data/search_historic_data_stations_e.html?searchType=stnProv&amp;timeframe=1&amp;lstProvince=PE&amp;StartYear=2018&amp;EndYear=2018&amp;optLimit=specDate&amp;Year=2018&amp;Month=10&amp;Day=1&amp;selRowPerPage=25</t>
        </r>
      </text>
    </comment>
    <comment ref="T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Fin'l Rpting had 628.2 in their records compared to actual reported to IRAC 628.0, part of $315 adjustment to bring to actual at Sept 30/21</t>
        </r>
      </text>
    </comment>
    <comment ref="W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Stanhope data for Mar 25 as no data for Chtown or Harrington</t>
        </r>
      </text>
    </comment>
    <comment ref="X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Mr 4 ChTwn, used Harrington</t>
        </r>
      </text>
    </comment>
    <comment ref="Y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Fin' Rpting recorded as 599.4. Confirmed website, actual is 599.3. Adjustment required to bring WNRA to actual at Sept 30/21 of $315 as per Appendix A</t>
        </r>
      </text>
    </comment>
    <comment ref="X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Apr 8 Chtwn, used Harrington</t>
        </r>
      </text>
    </comment>
    <comment ref="X1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May 16 ChTwn, used Harrington</t>
        </r>
      </text>
    </comment>
    <comment ref="Y1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51.1 Ch'Twn Airport + missing 15th (used Harrington) = 0.8</t>
        </r>
      </text>
    </comment>
    <comment ref="X1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 Jul 24 Chtwn, used Harrington</t>
        </r>
      </text>
    </comment>
    <comment ref="X1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Aug 18 Chtwn, used Harrington</t>
        </r>
      </text>
    </comment>
    <comment ref="X1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Aug 25-28 Chtwn, used Harrington</t>
        </r>
      </text>
    </comment>
    <comment ref="X2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Nov 24 Chtwn, used Harrington</t>
        </r>
      </text>
    </comment>
  </commentList>
</comments>
</file>

<file path=xl/sharedStrings.xml><?xml version="1.0" encoding="utf-8"?>
<sst xmlns="http://schemas.openxmlformats.org/spreadsheetml/2006/main" count="140" uniqueCount="135">
  <si>
    <t>Average</t>
  </si>
  <si>
    <t>HDD</t>
  </si>
  <si>
    <t>May</t>
  </si>
  <si>
    <t>Actual</t>
  </si>
  <si>
    <t>Year</t>
  </si>
  <si>
    <t>Month</t>
  </si>
  <si>
    <t>Weather Normalization Reserve</t>
  </si>
  <si>
    <t xml:space="preserve"> 15-09-07</t>
  </si>
  <si>
    <t>CHARLOTTETOWN HDD</t>
  </si>
  <si>
    <t>10 year</t>
  </si>
  <si>
    <t>average</t>
  </si>
  <si>
    <t>2003 to</t>
  </si>
  <si>
    <t>Normal</t>
  </si>
  <si>
    <t>Heating Degree Days</t>
  </si>
  <si>
    <t>Variation</t>
  </si>
  <si>
    <t>( below 18 deg C )</t>
  </si>
  <si>
    <t>11 year</t>
  </si>
  <si>
    <t>2004 to</t>
  </si>
  <si>
    <t>Calculation of 10-Year Average HDD</t>
  </si>
  <si>
    <t>Standard Deviation</t>
  </si>
  <si>
    <t>environment canada - chtwn airport data</t>
  </si>
  <si>
    <t>harrington used a few times when not available</t>
  </si>
  <si>
    <t>from 10 Year</t>
  </si>
  <si>
    <t>Average HDD</t>
  </si>
  <si>
    <t>10 Year</t>
  </si>
  <si>
    <t>Monthly HDD</t>
  </si>
  <si>
    <t>MM/YY</t>
  </si>
  <si>
    <t>January, 2016</t>
  </si>
  <si>
    <t>February, 2016</t>
  </si>
  <si>
    <t>March, 2016</t>
  </si>
  <si>
    <t>April,2016</t>
  </si>
  <si>
    <t>May, 2016</t>
  </si>
  <si>
    <t>June, 2016</t>
  </si>
  <si>
    <t>July, 2016</t>
  </si>
  <si>
    <t>September, 2016</t>
  </si>
  <si>
    <t>August, 2016</t>
  </si>
  <si>
    <t>October, 2016</t>
  </si>
  <si>
    <t>November, 2016</t>
  </si>
  <si>
    <t>December, 2016</t>
  </si>
  <si>
    <t>January, 2017</t>
  </si>
  <si>
    <t>February, 2017</t>
  </si>
  <si>
    <t>March, 2017</t>
  </si>
  <si>
    <t>April,2017</t>
  </si>
  <si>
    <t>May, 2017</t>
  </si>
  <si>
    <t>June, 2017</t>
  </si>
  <si>
    <t>July, 2017</t>
  </si>
  <si>
    <t>August, 2017</t>
  </si>
  <si>
    <t>September, 2017</t>
  </si>
  <si>
    <t>October, 2017</t>
  </si>
  <si>
    <t>November, 2017</t>
  </si>
  <si>
    <t>December, 2017</t>
  </si>
  <si>
    <t>2006-2015</t>
  </si>
  <si>
    <t>2005-2014</t>
  </si>
  <si>
    <t>2007-2016</t>
  </si>
  <si>
    <t>January, 2018</t>
  </si>
  <si>
    <t>February, 2018</t>
  </si>
  <si>
    <t>March, 2018</t>
  </si>
  <si>
    <t>April,2018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</si>
  <si>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</si>
  <si>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</si>
  <si>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</si>
  <si>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</si>
  <si>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</si>
  <si>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</si>
  <si>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</si>
  <si>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</si>
  <si>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>January, 2019</t>
  </si>
  <si>
    <t>February, 2019</t>
  </si>
  <si>
    <t>March, 2019</t>
  </si>
  <si>
    <t>April,2019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</si>
  <si>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</si>
  <si>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</si>
  <si>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</si>
  <si>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</si>
  <si>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</si>
  <si>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</si>
  <si>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</si>
  <si>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</si>
  <si>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2008-2017</t>
  </si>
  <si>
    <t>December, 2020</t>
  </si>
  <si>
    <t>January, 2020</t>
  </si>
  <si>
    <t>2009-2018</t>
  </si>
  <si>
    <t>February, 2020</t>
  </si>
  <si>
    <t>March, 2020</t>
  </si>
  <si>
    <t>April, 2020</t>
  </si>
  <si>
    <t>May, 2020</t>
  </si>
  <si>
    <t>June, 2020</t>
  </si>
  <si>
    <t>July, 2020</t>
  </si>
  <si>
    <t>August, 2020</t>
  </si>
  <si>
    <t>September, 2020</t>
  </si>
  <si>
    <t>October, 2020</t>
  </si>
  <si>
    <t>November, 2020</t>
  </si>
  <si>
    <t>December 2019 Balance to RORA per UE20-06</t>
  </si>
  <si>
    <t>Difference</t>
  </si>
  <si>
    <t>GL Adjustment Required to 2020 WNRA in 2021</t>
  </si>
  <si>
    <t>2020 Adjustments were based on 2019 variables until UE20-06 was approved in December</t>
  </si>
  <si>
    <t>Previous</t>
  </si>
  <si>
    <t>Balance</t>
  </si>
  <si>
    <t>Per GT Report October 14, 2020</t>
  </si>
  <si>
    <t>Schedule 1</t>
  </si>
  <si>
    <t>January</t>
  </si>
  <si>
    <t>February</t>
  </si>
  <si>
    <t>March</t>
  </si>
  <si>
    <t>April</t>
  </si>
  <si>
    <t>June*</t>
  </si>
  <si>
    <t>July</t>
  </si>
  <si>
    <t>August</t>
  </si>
  <si>
    <t>September*</t>
  </si>
  <si>
    <t>October*</t>
  </si>
  <si>
    <t>November</t>
  </si>
  <si>
    <t>December</t>
  </si>
  <si>
    <t>* 2018 Data updated to reflect HDD per Grant Thornton Review of 2019 Variables.</t>
  </si>
  <si>
    <t>A</t>
  </si>
  <si>
    <t>B</t>
  </si>
  <si>
    <t>C = A - B</t>
  </si>
  <si>
    <t>(2011 - 2020)</t>
  </si>
  <si>
    <t>2010-2019</t>
  </si>
  <si>
    <t>January, 2021</t>
  </si>
  <si>
    <t>February, 2021</t>
  </si>
  <si>
    <t>March, 2021</t>
  </si>
  <si>
    <t>April, 2021</t>
  </si>
  <si>
    <t>May, 2021</t>
  </si>
  <si>
    <t>June, 2021</t>
  </si>
  <si>
    <t>July, 2021</t>
  </si>
  <si>
    <t>August, 2021</t>
  </si>
  <si>
    <t>September, 2021</t>
  </si>
  <si>
    <t>October, 2021</t>
  </si>
  <si>
    <t>November, 2021</t>
  </si>
  <si>
    <t>December, 2021</t>
  </si>
  <si>
    <t>Appendix C
Schedule 1</t>
  </si>
  <si>
    <t>Diff of $315 from BS (see note in cell Y13 Appendix C - Sch 1)</t>
  </si>
  <si>
    <t>Total HDD Variation from 10 Year Average</t>
  </si>
  <si>
    <t>Annual Variation</t>
  </si>
  <si>
    <t>10-Year Average HDD</t>
  </si>
  <si>
    <t>Annual Variation of HDDs -  Weather Normalization Mechanism and Reserve Account to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</si>
</sst>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0" fontId="5" fillId="0" borderId="8" xfId="0" applyFont="1" applyBorder="1"/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/>
    <xf numFmtId="0" fontId="5" fillId="0" borderId="6" xfId="0" applyFont="1" applyBorder="1" applyAlignment="1">
      <alignment horizontal="left"/>
    </xf>
    <xf numFmtId="164" fontId="5" fillId="0" borderId="0" xfId="1" applyNumberFormat="1" applyFont="1" applyFill="1" applyBorder="1"/>
    <xf numFmtId="164" fontId="5" fillId="0" borderId="0" xfId="1" applyNumberFormat="1" applyFont="1" applyBorder="1"/>
    <xf numFmtId="165" fontId="5" fillId="0" borderId="0" xfId="1" applyNumberFormat="1" applyFont="1" applyBorder="1"/>
    <xf numFmtId="165" fontId="5" fillId="0" borderId="7" xfId="1" applyNumberFormat="1" applyFont="1" applyBorder="1"/>
    <xf numFmtId="165" fontId="5" fillId="4" borderId="0" xfId="1" applyNumberFormat="1" applyFont="1" applyFill="1"/>
    <xf numFmtId="165" fontId="5" fillId="0" borderId="0" xfId="0" applyNumberFormat="1" applyFont="1"/>
    <xf numFmtId="164" fontId="7" fillId="0" borderId="0" xfId="1" applyNumberFormat="1" applyFont="1" applyFill="1" applyBorder="1"/>
    <xf numFmtId="165" fontId="5" fillId="0" borderId="0" xfId="1" applyNumberFormat="1" applyFont="1" applyFill="1" applyBorder="1"/>
    <xf numFmtId="0" fontId="5" fillId="0" borderId="6" xfId="0" applyFont="1" applyFill="1" applyBorder="1" applyAlignment="1">
      <alignment horizontal="left"/>
    </xf>
    <xf numFmtId="165" fontId="7" fillId="0" borderId="0" xfId="1" applyNumberFormat="1" applyFont="1" applyFill="1"/>
    <xf numFmtId="0" fontId="8" fillId="0" borderId="0" xfId="0" applyFont="1"/>
    <xf numFmtId="165" fontId="7" fillId="0" borderId="0" xfId="1" applyNumberFormat="1" applyFont="1"/>
    <xf numFmtId="0" fontId="5" fillId="2" borderId="0" xfId="0" applyFont="1" applyFill="1"/>
    <xf numFmtId="0" fontId="5" fillId="0" borderId="10" xfId="0" applyFont="1" applyBorder="1"/>
    <xf numFmtId="0" fontId="5" fillId="0" borderId="1" xfId="0" applyFont="1" applyBorder="1"/>
    <xf numFmtId="164" fontId="5" fillId="0" borderId="0" xfId="0" applyNumberFormat="1" applyFont="1"/>
    <xf numFmtId="43" fontId="5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Fill="1" applyBorder="1"/>
    <xf numFmtId="0" fontId="9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/>
    <xf numFmtId="0" fontId="6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1" fontId="5" fillId="0" borderId="0" xfId="0" applyNumberFormat="1" applyFont="1" applyFill="1" applyBorder="1"/>
    <xf numFmtId="164" fontId="5" fillId="0" borderId="11" xfId="1" applyNumberFormat="1" applyFont="1" applyBorder="1"/>
    <xf numFmtId="164" fontId="5" fillId="0" borderId="5" xfId="1" applyNumberFormat="1" applyFont="1" applyBorder="1"/>
    <xf numFmtId="164" fontId="5" fillId="0" borderId="12" xfId="1" applyNumberFormat="1" applyFont="1" applyBorder="1"/>
    <xf numFmtId="164" fontId="5" fillId="0" borderId="7" xfId="1" applyNumberFormat="1" applyFont="1" applyBorder="1"/>
    <xf numFmtId="1" fontId="5" fillId="0" borderId="0" xfId="0" applyNumberFormat="1" applyFont="1" applyFill="1"/>
    <xf numFmtId="0" fontId="5" fillId="0" borderId="1" xfId="0" applyFont="1" applyFill="1" applyBorder="1"/>
    <xf numFmtId="1" fontId="5" fillId="0" borderId="1" xfId="0" applyNumberFormat="1" applyFont="1" applyFill="1" applyBorder="1"/>
    <xf numFmtId="1" fontId="5" fillId="0" borderId="1" xfId="0" applyNumberFormat="1" applyFont="1" applyBorder="1"/>
    <xf numFmtId="165" fontId="5" fillId="0" borderId="1" xfId="1" applyNumberFormat="1" applyFont="1" applyBorder="1"/>
    <xf numFmtId="165" fontId="5" fillId="0" borderId="8" xfId="1" applyNumberFormat="1" applyFont="1" applyBorder="1"/>
    <xf numFmtId="164" fontId="5" fillId="0" borderId="13" xfId="1" applyNumberFormat="1" applyFont="1" applyBorder="1"/>
    <xf numFmtId="164" fontId="5" fillId="0" borderId="8" xfId="1" applyNumberFormat="1" applyFont="1" applyBorder="1"/>
    <xf numFmtId="1" fontId="5" fillId="0" borderId="0" xfId="0" applyNumberFormat="1" applyFont="1" applyBorder="1"/>
    <xf numFmtId="0" fontId="6" fillId="0" borderId="7" xfId="0" applyFont="1" applyBorder="1"/>
    <xf numFmtId="165" fontId="6" fillId="0" borderId="0" xfId="1" applyNumberFormat="1" applyFont="1"/>
    <xf numFmtId="3" fontId="5" fillId="0" borderId="0" xfId="0" applyNumberFormat="1" applyFont="1" applyBorder="1"/>
    <xf numFmtId="165" fontId="6" fillId="0" borderId="7" xfId="1" applyNumberFormat="1" applyFont="1" applyBorder="1"/>
    <xf numFmtId="165" fontId="6" fillId="0" borderId="0" xfId="1" applyNumberFormat="1" applyFont="1" applyBorder="1"/>
    <xf numFmtId="165" fontId="5" fillId="2" borderId="0" xfId="1" applyNumberFormat="1" applyFont="1" applyFill="1"/>
    <xf numFmtId="165" fontId="5" fillId="2" borderId="0" xfId="0" applyNumberFormat="1" applyFont="1" applyFill="1"/>
    <xf numFmtId="0" fontId="5" fillId="0" borderId="13" xfId="0" applyFont="1" applyBorder="1"/>
    <xf numFmtId="165" fontId="5" fillId="0" borderId="0" xfId="1" applyNumberFormat="1" applyFont="1" applyFill="1"/>
    <xf numFmtId="165" fontId="5" fillId="0" borderId="0" xfId="0" applyNumberFormat="1" applyFont="1" applyFill="1"/>
    <xf numFmtId="0" fontId="5" fillId="0" borderId="0" xfId="0" applyFont="1" applyFill="1"/>
    <xf numFmtId="1" fontId="5" fillId="0" borderId="0" xfId="1" applyNumberFormat="1" applyFont="1" applyFill="1" applyBorder="1" applyAlignment="1">
      <alignment horizontal="right"/>
    </xf>
    <xf numFmtId="1" fontId="5" fillId="0" borderId="1" xfId="1" applyNumberFormat="1" applyFont="1" applyBorder="1" applyAlignment="1">
      <alignment horizontal="right"/>
    </xf>
    <xf numFmtId="43" fontId="5" fillId="0" borderId="12" xfId="1" applyNumberFormat="1" applyFont="1" applyBorder="1"/>
    <xf numFmtId="43" fontId="5" fillId="0" borderId="13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center" wrapText="1"/>
    </xf>
    <xf numFmtId="43" fontId="5" fillId="0" borderId="0" xfId="0" applyNumberFormat="1" applyFont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164" fontId="5" fillId="0" borderId="15" xfId="0" applyNumberFormat="1" applyFont="1" applyBorder="1"/>
    <xf numFmtId="164" fontId="5" fillId="0" borderId="0" xfId="1" applyNumberFormat="1" applyFont="1"/>
    <xf numFmtId="0" fontId="5" fillId="0" borderId="0" xfId="0" applyFont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omma 3" xfId="7" xr:uid="{00000000-0005-0000-0000-000002000000}"/>
    <cellStyle name="Currency 2" xfId="6" xr:uid="{00000000-0005-0000-0000-000004000000}"/>
    <cellStyle name="Currency 3" xfId="3" xr:uid="{00000000-0005-0000-0000-000005000000}"/>
    <cellStyle name="Normal" xfId="0" builtinId="0"/>
    <cellStyle name="Normal 2" xfId="4" xr:uid="{00000000-0005-0000-0000-000007000000}"/>
    <cellStyle name="Normal 3" xfId="2" xr:uid="{00000000-0005-0000-0000-000008000000}"/>
  </cellStyles>
  <dxfs count="0"/>
  <tableStyles count="0" defaultTableStyle="TableStyleMedium2" defaultPivotStyle="PivotStyleMedium9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tx1"/>
                </a:solidFill>
              </a:rPr>
              <a:t>Chart 5-1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n-US" sz="1000">
                <a:solidFill>
                  <a:schemeClr val="tx1"/>
                </a:solidFill>
              </a:rPr>
              <a:t>2016 to</a:t>
            </a:r>
            <a:r>
              <a:rPr lang="en-US" sz="1000" baseline="0">
                <a:solidFill>
                  <a:schemeClr val="tx1"/>
                </a:solidFill>
              </a:rPr>
              <a:t> </a:t>
            </a:r>
            <a:r>
              <a:rPr lang="en-US" sz="1000">
                <a:solidFill>
                  <a:schemeClr val="tx1"/>
                </a:solidFill>
              </a:rPr>
              <a:t>2021 Variation</a:t>
            </a:r>
            <a:r>
              <a:rPr lang="en-US" sz="1000" baseline="0">
                <a:solidFill>
                  <a:schemeClr val="tx1"/>
                </a:solidFill>
              </a:rPr>
              <a:t> of HDDs</a:t>
            </a:r>
            <a:endParaRPr lang="en-US" sz="10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WNRA!$C$93</c:f>
              <c:strCache>
                <c:ptCount val="1"/>
                <c:pt idx="0">
                  <c:v> Annual Variation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WNRA!$B$94:$B$99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WNRA!$C$94:$C$99</c:f>
              <c:numCache>
                <c:formatCode>_(* #,##0.0_);_(* \(#,##0.0\);_(* "-"??_);_(@_)</c:formatCode>
                <c:ptCount val="6"/>
                <c:pt idx="0">
                  <c:v>-12.099999999999952</c:v>
                </c:pt>
                <c:pt idx="1">
                  <c:v>-49.300000000000125</c:v>
                </c:pt>
                <c:pt idx="2">
                  <c:v>194.99999999999977</c:v>
                </c:pt>
                <c:pt idx="3">
                  <c:v>273.10999999999996</c:v>
                </c:pt>
                <c:pt idx="4">
                  <c:v>-98.200000000000131</c:v>
                </c:pt>
                <c:pt idx="5">
                  <c:v>-364.03999999999996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E-4415-B757-8480859B2D2C}"/>
            </c:ext>
          </c:extLst>
        </c:ser>
        <c:ser>
          <c:idx val="1"/>
          <c:order val="1"/>
          <c:tx>
            <c:strRef>
              <c:f>WNRA!$D$93</c:f>
              <c:strCache>
                <c:ptCount val="1"/>
                <c:pt idx="0">
                  <c:v>10-Year Average HDD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WNRA!$B$94:$B$99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WNRA!$D$94:$D$99</c:f>
              <c:numCache>
                <c:formatCode>_(* #,##0.0_);_(* \(#,##0.0\);_(*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CC-49E7-83BA-8717028B1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373144"/>
        <c:axId val="326376752"/>
      </c:lineChart>
      <c:catAx>
        <c:axId val="32637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376752"/>
        <c:crosses val="autoZero"/>
        <c:auto val="1"/>
        <c:lblAlgn val="ctr"/>
        <c:lblOffset val="100"/>
        <c:noMultiLvlLbl val="0"/>
      </c:catAx>
      <c:valAx>
        <c:axId val="3263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Variation of Actual HDD from 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10-Year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37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033295131959271"/>
          <c:y val="0.9055053455561457"/>
          <c:w val="0.75903538233333667"/>
          <c:h val="7.10342438866695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93</xdr:row>
      <xdr:rowOff>38099</xdr:rowOff>
    </xdr:from>
    <xdr:to>
      <xdr:col>21</xdr:col>
      <xdr:colOff>314325</xdr:colOff>
      <xdr:row>111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topLeftCell="A4" zoomScaleNormal="100" workbookViewId="0">
      <pane ySplit="10" topLeftCell="A83" activePane="bottomLeft" state="frozen"/>
      <selection activeCell="I84" sqref="I84"/>
      <selection pane="bottomLeft" activeCell="D93" sqref="D93"/>
    </sheetView>
  </sheetViews>
  <sheetFormatPr defaultRowHeight="14.25" x14ac:dyDescent="0.2"/>
  <cols>
    <col min="1" max="1" width="46.7109375" style="1" bestFit="1" customWidth="1"/>
    <col min="2" max="4" width="22.28515625" style="1" customWidth="1"/>
    <col min="5" max="5" width="1.140625" style="1" customWidth="1"/>
    <col min="6" max="6" width="11.28515625" style="1" bestFit="1" customWidth="1"/>
    <col min="7" max="7" width="13.28515625" style="1" hidden="1" customWidth="1"/>
    <col min="8" max="8" width="10.42578125" style="1" hidden="1" customWidth="1"/>
    <col min="9" max="9" width="0" style="1" hidden="1" customWidth="1"/>
    <col min="10" max="10" width="10.5703125" style="1" hidden="1" customWidth="1"/>
    <col min="11" max="13" width="0" style="1" hidden="1" customWidth="1"/>
    <col min="14" max="16384" width="9.140625" style="1"/>
  </cols>
  <sheetData>
    <row r="1" spans="1:10" hidden="1" x14ac:dyDescent="0.2">
      <c r="A1" s="1" t="s">
        <v>6</v>
      </c>
    </row>
    <row r="2" spans="1:10" hidden="1" x14ac:dyDescent="0.2">
      <c r="A2" s="1" t="s">
        <v>7</v>
      </c>
    </row>
    <row r="3" spans="1:10" hidden="1" x14ac:dyDescent="0.2"/>
    <row r="5" spans="1:10" ht="15" customHeight="1" x14ac:dyDescent="0.25">
      <c r="A5" s="85"/>
      <c r="B5" s="86"/>
      <c r="C5" s="86"/>
      <c r="D5" s="86"/>
      <c r="E5" s="86"/>
    </row>
    <row r="6" spans="1:10" ht="15" hidden="1" customHeight="1" x14ac:dyDescent="0.25">
      <c r="A6" s="93" t="s">
        <v>99</v>
      </c>
      <c r="B6" s="94"/>
      <c r="C6" s="94"/>
      <c r="D6" s="94"/>
      <c r="E6" s="94"/>
    </row>
    <row r="7" spans="1:10" ht="15" x14ac:dyDescent="0.25">
      <c r="A7" s="88" t="s">
        <v>134</v>
      </c>
      <c r="B7" s="89"/>
      <c r="C7" s="89"/>
      <c r="D7" s="89"/>
      <c r="E7" s="89"/>
    </row>
    <row r="8" spans="1:10" x14ac:dyDescent="0.2">
      <c r="A8" s="3"/>
      <c r="B8" s="4"/>
      <c r="C8" s="4"/>
      <c r="D8" s="4"/>
      <c r="E8" s="4"/>
    </row>
    <row r="9" spans="1:10" x14ac:dyDescent="0.2">
      <c r="A9" s="3"/>
      <c r="B9" s="91" t="s">
        <v>13</v>
      </c>
      <c r="C9" s="91"/>
      <c r="D9" s="91"/>
      <c r="E9" s="4"/>
    </row>
    <row r="10" spans="1:10" x14ac:dyDescent="0.2">
      <c r="A10" s="6"/>
      <c r="B10" s="92" t="s">
        <v>15</v>
      </c>
      <c r="C10" s="92"/>
      <c r="D10" s="92"/>
      <c r="E10" s="7"/>
    </row>
    <row r="11" spans="1:10" x14ac:dyDescent="0.2">
      <c r="A11" s="6"/>
      <c r="B11" s="7"/>
      <c r="C11" s="7" t="s">
        <v>24</v>
      </c>
      <c r="D11" s="7" t="s">
        <v>14</v>
      </c>
      <c r="E11" s="7"/>
    </row>
    <row r="12" spans="1:10" x14ac:dyDescent="0.2">
      <c r="A12" s="6"/>
      <c r="B12" s="7" t="s">
        <v>3</v>
      </c>
      <c r="C12" s="7" t="s">
        <v>0</v>
      </c>
      <c r="D12" s="7" t="s">
        <v>22</v>
      </c>
      <c r="E12" s="7"/>
      <c r="G12" s="8" t="s">
        <v>96</v>
      </c>
      <c r="H12" s="9"/>
    </row>
    <row r="13" spans="1:10" ht="15" thickBot="1" x14ac:dyDescent="0.25">
      <c r="A13" s="10" t="s">
        <v>26</v>
      </c>
      <c r="B13" s="11" t="s">
        <v>1</v>
      </c>
      <c r="C13" s="11" t="s">
        <v>25</v>
      </c>
      <c r="D13" s="11" t="s">
        <v>23</v>
      </c>
      <c r="E13" s="11"/>
      <c r="G13" s="12" t="s">
        <v>97</v>
      </c>
      <c r="H13" s="13" t="s">
        <v>93</v>
      </c>
    </row>
    <row r="14" spans="1:10" x14ac:dyDescent="0.2">
      <c r="A14" s="6"/>
      <c r="B14" s="7" t="s">
        <v>112</v>
      </c>
      <c r="C14" s="7" t="s">
        <v>113</v>
      </c>
      <c r="D14" s="7" t="s">
        <v>114</v>
      </c>
      <c r="E14" s="7"/>
      <c r="I14" s="14"/>
      <c r="J14" s="4"/>
    </row>
    <row r="15" spans="1:10" x14ac:dyDescent="0.2">
      <c r="A15" s="3"/>
      <c r="B15" s="4"/>
      <c r="C15" s="4"/>
      <c r="D15" s="4"/>
      <c r="E15" s="4"/>
      <c r="I15" s="15"/>
    </row>
    <row r="16" spans="1:10" x14ac:dyDescent="0.2">
      <c r="A16" s="16" t="s">
        <v>27</v>
      </c>
      <c r="B16" s="17">
        <v>713</v>
      </c>
      <c r="C16" s="17">
        <v>753.9</v>
      </c>
      <c r="D16" s="18">
        <f>+B16-C16</f>
        <v>-40.899999999999977</v>
      </c>
      <c r="E16" s="19"/>
      <c r="G16" s="21">
        <v>-86054.687939999945</v>
      </c>
      <c r="H16" s="22" t="e">
        <f>#REF!-G16</f>
        <v>#REF!</v>
      </c>
    </row>
    <row r="17" spans="1:8" x14ac:dyDescent="0.2">
      <c r="A17" s="16" t="s">
        <v>28</v>
      </c>
      <c r="B17" s="17">
        <v>628.20000000000016</v>
      </c>
      <c r="C17" s="17">
        <v>688.2</v>
      </c>
      <c r="D17" s="18">
        <f t="shared" ref="D17:D35" si="0">+B17-C17</f>
        <v>-59.999999999999886</v>
      </c>
      <c r="E17" s="19"/>
      <c r="F17" s="15"/>
      <c r="G17" s="21">
        <v>-212296.2839399997</v>
      </c>
      <c r="H17" s="22" t="e">
        <f>#REF!-G17</f>
        <v>#REF!</v>
      </c>
    </row>
    <row r="18" spans="1:8" x14ac:dyDescent="0.2">
      <c r="A18" s="16" t="s">
        <v>29</v>
      </c>
      <c r="B18" s="17">
        <v>654</v>
      </c>
      <c r="C18" s="17">
        <v>637.20000000000005</v>
      </c>
      <c r="D18" s="18">
        <f t="shared" si="0"/>
        <v>16.799999999999955</v>
      </c>
      <c r="E18" s="19"/>
      <c r="G18" s="21">
        <v>-176948.6370599998</v>
      </c>
      <c r="H18" s="22" t="e">
        <f>#REF!-G18</f>
        <v>#REF!</v>
      </c>
    </row>
    <row r="19" spans="1:8" x14ac:dyDescent="0.2">
      <c r="A19" s="16" t="s">
        <v>30</v>
      </c>
      <c r="B19" s="17">
        <v>475</v>
      </c>
      <c r="C19" s="17">
        <v>420.6</v>
      </c>
      <c r="D19" s="18">
        <f t="shared" si="0"/>
        <v>54.399999999999977</v>
      </c>
      <c r="E19" s="19"/>
      <c r="G19" s="21">
        <v>-62489.590019999872</v>
      </c>
      <c r="H19" s="22" t="e">
        <f>#REF!-G19</f>
        <v>#REF!</v>
      </c>
    </row>
    <row r="20" spans="1:8" x14ac:dyDescent="0.2">
      <c r="A20" s="16" t="s">
        <v>31</v>
      </c>
      <c r="B20" s="17">
        <v>259</v>
      </c>
      <c r="C20" s="17">
        <v>264.5</v>
      </c>
      <c r="D20" s="18">
        <f t="shared" si="0"/>
        <v>-5.5</v>
      </c>
      <c r="E20" s="19"/>
      <c r="G20" s="21">
        <v>-74061.73631999988</v>
      </c>
      <c r="H20" s="22" t="e">
        <f>#REF!-G20</f>
        <v>#REF!</v>
      </c>
    </row>
    <row r="21" spans="1:8" x14ac:dyDescent="0.2">
      <c r="A21" s="16" t="s">
        <v>32</v>
      </c>
      <c r="B21" s="17">
        <v>121</v>
      </c>
      <c r="C21" s="17">
        <v>110</v>
      </c>
      <c r="D21" s="18">
        <f t="shared" si="0"/>
        <v>11</v>
      </c>
      <c r="E21" s="19"/>
      <c r="G21" s="21">
        <v>-50917.443719999879</v>
      </c>
      <c r="H21" s="22" t="e">
        <f>#REF!-G21</f>
        <v>#REF!</v>
      </c>
    </row>
    <row r="22" spans="1:8" x14ac:dyDescent="0.2">
      <c r="A22" s="16" t="s">
        <v>33</v>
      </c>
      <c r="B22" s="17">
        <v>30</v>
      </c>
      <c r="C22" s="17">
        <v>16.5</v>
      </c>
      <c r="D22" s="18">
        <f t="shared" si="0"/>
        <v>13.5</v>
      </c>
      <c r="E22" s="19"/>
      <c r="G22" s="21">
        <v>-22513.084619999881</v>
      </c>
      <c r="H22" s="22" t="e">
        <f>#REF!-G22</f>
        <v>#REF!</v>
      </c>
    </row>
    <row r="23" spans="1:8" x14ac:dyDescent="0.2">
      <c r="A23" s="16" t="s">
        <v>35</v>
      </c>
      <c r="B23" s="17">
        <v>23</v>
      </c>
      <c r="C23" s="17">
        <v>24.2</v>
      </c>
      <c r="D23" s="18">
        <f t="shared" si="0"/>
        <v>-1.1999999999999993</v>
      </c>
      <c r="E23" s="19"/>
      <c r="G23" s="21">
        <v>-25037.916539999878</v>
      </c>
      <c r="H23" s="22" t="e">
        <f>#REF!-G23</f>
        <v>#REF!</v>
      </c>
    </row>
    <row r="24" spans="1:8" x14ac:dyDescent="0.2">
      <c r="A24" s="16" t="s">
        <v>34</v>
      </c>
      <c r="B24" s="17">
        <v>101</v>
      </c>
      <c r="C24" s="17">
        <v>107.1</v>
      </c>
      <c r="D24" s="18">
        <f t="shared" si="0"/>
        <v>-6.0999999999999943</v>
      </c>
      <c r="E24" s="19"/>
      <c r="G24" s="21">
        <v>-37872.478799999866</v>
      </c>
      <c r="H24" s="22" t="e">
        <f>#REF!-G24</f>
        <v>#REF!</v>
      </c>
    </row>
    <row r="25" spans="1:8" x14ac:dyDescent="0.2">
      <c r="A25" s="16" t="s">
        <v>36</v>
      </c>
      <c r="B25" s="17">
        <v>255</v>
      </c>
      <c r="C25" s="17">
        <v>272.8</v>
      </c>
      <c r="D25" s="18">
        <f t="shared" si="0"/>
        <v>-17.800000000000011</v>
      </c>
      <c r="E25" s="19"/>
      <c r="G25" s="21">
        <v>-75324.152279999893</v>
      </c>
      <c r="H25" s="22" t="e">
        <f>#REF!-G25</f>
        <v>#REF!</v>
      </c>
    </row>
    <row r="26" spans="1:8" x14ac:dyDescent="0.2">
      <c r="A26" s="16" t="s">
        <v>37</v>
      </c>
      <c r="B26" s="17">
        <v>401</v>
      </c>
      <c r="C26" s="17">
        <v>421.8</v>
      </c>
      <c r="D26" s="18">
        <f t="shared" si="0"/>
        <v>-20.800000000000011</v>
      </c>
      <c r="E26" s="19"/>
      <c r="G26" s="21">
        <v>-119087.90555999991</v>
      </c>
      <c r="H26" s="22" t="e">
        <f>#REF!-G26</f>
        <v>#REF!</v>
      </c>
    </row>
    <row r="27" spans="1:8" x14ac:dyDescent="0.2">
      <c r="A27" s="16" t="s">
        <v>38</v>
      </c>
      <c r="B27" s="17">
        <v>665</v>
      </c>
      <c r="C27" s="17">
        <f>'APPENDIX C -S1'!AH22</f>
        <v>620.5</v>
      </c>
      <c r="D27" s="18">
        <f t="shared" si="0"/>
        <v>44.5</v>
      </c>
      <c r="E27" s="19"/>
      <c r="G27" s="21">
        <v>-25458.721859999918</v>
      </c>
      <c r="H27" s="22" t="e">
        <f>#REF!-G27</f>
        <v>#REF!</v>
      </c>
    </row>
    <row r="28" spans="1:8" x14ac:dyDescent="0.2">
      <c r="A28" s="16" t="s">
        <v>39</v>
      </c>
      <c r="B28" s="17">
        <f>+'APPENDIX C -S1'!U11</f>
        <v>712</v>
      </c>
      <c r="C28" s="23">
        <v>751.4</v>
      </c>
      <c r="D28" s="18">
        <f t="shared" si="0"/>
        <v>-39.399999999999977</v>
      </c>
      <c r="E28" s="19"/>
      <c r="G28" s="21">
        <v>-109833.33329999987</v>
      </c>
      <c r="H28" s="22" t="e">
        <f>#REF!-G28</f>
        <v>#REF!</v>
      </c>
    </row>
    <row r="29" spans="1:8" x14ac:dyDescent="0.2">
      <c r="A29" s="16" t="s">
        <v>40</v>
      </c>
      <c r="B29" s="17">
        <f>+'APPENDIX C -S1'!U12</f>
        <v>657</v>
      </c>
      <c r="C29" s="17">
        <v>704.2</v>
      </c>
      <c r="D29" s="18">
        <f t="shared" si="0"/>
        <v>-47.200000000000045</v>
      </c>
      <c r="E29" s="19"/>
      <c r="G29" s="21">
        <v>-210911.54801999999</v>
      </c>
      <c r="H29" s="22" t="e">
        <f>#REF!-G29</f>
        <v>#REF!</v>
      </c>
    </row>
    <row r="30" spans="1:8" x14ac:dyDescent="0.2">
      <c r="A30" s="16" t="s">
        <v>41</v>
      </c>
      <c r="B30" s="17">
        <f>+'APPENDIX C -S1'!U13</f>
        <v>690</v>
      </c>
      <c r="C30" s="17">
        <v>646.1</v>
      </c>
      <c r="D30" s="18">
        <f t="shared" si="0"/>
        <v>43.899999999999977</v>
      </c>
      <c r="E30" s="19"/>
      <c r="G30" s="21">
        <v>-116900.24238000004</v>
      </c>
      <c r="H30" s="22" t="e">
        <f>#REF!-G30</f>
        <v>#REF!</v>
      </c>
    </row>
    <row r="31" spans="1:8" x14ac:dyDescent="0.2">
      <c r="A31" s="16" t="s">
        <v>42</v>
      </c>
      <c r="B31" s="17">
        <f>+'APPENDIX C -S1'!U14</f>
        <v>416</v>
      </c>
      <c r="C31" s="17">
        <v>433.7</v>
      </c>
      <c r="D31" s="18">
        <f t="shared" si="0"/>
        <v>-17.699999999999989</v>
      </c>
      <c r="E31" s="19"/>
      <c r="G31" s="21">
        <v>-154804.57290000003</v>
      </c>
      <c r="H31" s="22" t="e">
        <f>#REF!-G31</f>
        <v>#REF!</v>
      </c>
    </row>
    <row r="32" spans="1:8" x14ac:dyDescent="0.2">
      <c r="A32" s="16" t="s">
        <v>43</v>
      </c>
      <c r="B32" s="17">
        <f>+'APPENDIX C -S1'!U15</f>
        <v>264</v>
      </c>
      <c r="C32" s="17">
        <v>256.39999999999998</v>
      </c>
      <c r="D32" s="18">
        <f t="shared" si="0"/>
        <v>7.6000000000000227</v>
      </c>
      <c r="E32" s="19"/>
      <c r="G32" s="21">
        <v>-138529.26713999998</v>
      </c>
      <c r="H32" s="22" t="e">
        <f>#REF!-G32</f>
        <v>#REF!</v>
      </c>
    </row>
    <row r="33" spans="1:8" x14ac:dyDescent="0.2">
      <c r="A33" s="16" t="s">
        <v>44</v>
      </c>
      <c r="B33" s="17">
        <f>+'APPENDIX C -S1'!U16</f>
        <v>94</v>
      </c>
      <c r="C33" s="17">
        <v>114.6</v>
      </c>
      <c r="D33" s="18">
        <f t="shared" si="0"/>
        <v>-20.599999999999994</v>
      </c>
      <c r="E33" s="19"/>
      <c r="G33" s="21">
        <v>-182643.91169999997</v>
      </c>
      <c r="H33" s="22" t="e">
        <f>#REF!-G33</f>
        <v>#REF!</v>
      </c>
    </row>
    <row r="34" spans="1:8" x14ac:dyDescent="0.2">
      <c r="A34" s="16" t="s">
        <v>45</v>
      </c>
      <c r="B34" s="17">
        <f>+'APPENDIX C -S1'!U17</f>
        <v>27</v>
      </c>
      <c r="C34" s="17">
        <v>16.399999999999999</v>
      </c>
      <c r="D34" s="18">
        <f t="shared" si="0"/>
        <v>10.600000000000001</v>
      </c>
      <c r="E34" s="19"/>
      <c r="G34" s="21">
        <v>-159944.14313999997</v>
      </c>
      <c r="H34" s="22" t="e">
        <f>#REF!-G34</f>
        <v>#REF!</v>
      </c>
    </row>
    <row r="35" spans="1:8" x14ac:dyDescent="0.2">
      <c r="A35" s="16" t="s">
        <v>46</v>
      </c>
      <c r="B35" s="17">
        <f>+'APPENDIX C -S1'!U18</f>
        <v>29</v>
      </c>
      <c r="C35" s="17">
        <v>22.8</v>
      </c>
      <c r="D35" s="18">
        <f t="shared" si="0"/>
        <v>6.1999999999999993</v>
      </c>
      <c r="E35" s="19"/>
      <c r="G35" s="21">
        <v>-146666.92001999996</v>
      </c>
      <c r="H35" s="22" t="e">
        <f>#REF!-G35</f>
        <v>#REF!</v>
      </c>
    </row>
    <row r="36" spans="1:8" x14ac:dyDescent="0.2">
      <c r="A36" s="16" t="s">
        <v>47</v>
      </c>
      <c r="B36" s="17">
        <f>+'APPENDIX C -S1'!U19</f>
        <v>92</v>
      </c>
      <c r="C36" s="17">
        <v>106.2</v>
      </c>
      <c r="D36" s="18">
        <f>+B36-C36</f>
        <v>-14.200000000000003</v>
      </c>
      <c r="E36" s="19"/>
      <c r="G36" s="21">
        <v>-177076.04393999997</v>
      </c>
      <c r="H36" s="22" t="e">
        <f>#REF!-G36</f>
        <v>#REF!</v>
      </c>
    </row>
    <row r="37" spans="1:8" x14ac:dyDescent="0.2">
      <c r="A37" s="16" t="s">
        <v>48</v>
      </c>
      <c r="B37" s="17">
        <f>+'APPENDIX C -S1'!U20</f>
        <v>202.8</v>
      </c>
      <c r="C37" s="17">
        <v>279.60000000000002</v>
      </c>
      <c r="D37" s="18">
        <f t="shared" ref="D37:D63" si="1">+B37-C37</f>
        <v>-76.800000000000011</v>
      </c>
      <c r="E37" s="19"/>
      <c r="G37" s="21">
        <v>-341542.29162000003</v>
      </c>
      <c r="H37" s="22" t="e">
        <f>#REF!-G37</f>
        <v>#REF!</v>
      </c>
    </row>
    <row r="38" spans="1:8" x14ac:dyDescent="0.2">
      <c r="A38" s="16" t="s">
        <v>49</v>
      </c>
      <c r="B38" s="17">
        <f>+'APPENDIX C -S1'!U21</f>
        <v>439.7</v>
      </c>
      <c r="C38" s="17">
        <v>423.6</v>
      </c>
      <c r="D38" s="18">
        <f t="shared" si="1"/>
        <v>16.099999999999966</v>
      </c>
      <c r="E38" s="19"/>
      <c r="G38" s="21">
        <v>-307064.34126000013</v>
      </c>
      <c r="H38" s="22" t="e">
        <f>#REF!-G38</f>
        <v>#REF!</v>
      </c>
    </row>
    <row r="39" spans="1:8" x14ac:dyDescent="0.2">
      <c r="A39" s="16" t="s">
        <v>50</v>
      </c>
      <c r="B39" s="17">
        <f>+'APPENDIX C -S1'!U22</f>
        <v>695.4</v>
      </c>
      <c r="C39" s="17">
        <f>'APPENDIX C -S1'!AI22</f>
        <v>613.20000000000005</v>
      </c>
      <c r="D39" s="18">
        <f t="shared" si="1"/>
        <v>82.199999999999932</v>
      </c>
      <c r="E39" s="19"/>
      <c r="G39" s="21">
        <v>-131034.06054000027</v>
      </c>
      <c r="H39" s="22" t="e">
        <f>#REF!-G39</f>
        <v>#REF!</v>
      </c>
    </row>
    <row r="40" spans="1:8" x14ac:dyDescent="0.2">
      <c r="A40" s="16" t="s">
        <v>54</v>
      </c>
      <c r="B40" s="17">
        <f>'APPENDIX C -S1'!V11</f>
        <v>764.4</v>
      </c>
      <c r="C40" s="17">
        <f>'APPENDIX C -S1'!AH11</f>
        <v>760.1</v>
      </c>
      <c r="D40" s="18">
        <f t="shared" si="1"/>
        <v>4.2999999999999545</v>
      </c>
      <c r="E40" s="19"/>
      <c r="G40" s="21">
        <v>-120725.28010000038</v>
      </c>
      <c r="H40" s="22" t="e">
        <f>#REF!-G40</f>
        <v>#REF!</v>
      </c>
    </row>
    <row r="41" spans="1:8" x14ac:dyDescent="0.2">
      <c r="A41" s="16" t="s">
        <v>55</v>
      </c>
      <c r="B41" s="17">
        <f>'APPENDIX C -S1'!V12</f>
        <v>620.79999999999995</v>
      </c>
      <c r="C41" s="17">
        <f>'APPENDIX C -S1'!AH12</f>
        <v>699.3</v>
      </c>
      <c r="D41" s="18">
        <f t="shared" si="1"/>
        <v>-78.5</v>
      </c>
      <c r="E41" s="19"/>
      <c r="G41" s="21">
        <v>-308920.45790000039</v>
      </c>
      <c r="H41" s="22" t="e">
        <f>#REF!-G41</f>
        <v>#REF!</v>
      </c>
    </row>
    <row r="42" spans="1:8" x14ac:dyDescent="0.2">
      <c r="A42" s="16" t="s">
        <v>56</v>
      </c>
      <c r="B42" s="17">
        <f>'APPENDIX C -S1'!V13</f>
        <v>602</v>
      </c>
      <c r="C42" s="17">
        <f>'APPENDIX C -S1'!AH13</f>
        <v>652.1</v>
      </c>
      <c r="D42" s="18">
        <f t="shared" si="1"/>
        <v>-50.100000000000023</v>
      </c>
      <c r="E42" s="19"/>
      <c r="G42" s="21">
        <v>-429029.73698000045</v>
      </c>
      <c r="H42" s="22" t="e">
        <f>#REF!-G42</f>
        <v>#REF!</v>
      </c>
    </row>
    <row r="43" spans="1:8" x14ac:dyDescent="0.2">
      <c r="A43" s="16" t="s">
        <v>57</v>
      </c>
      <c r="B43" s="17">
        <f>'APPENDIX C -S1'!V14</f>
        <v>445.1</v>
      </c>
      <c r="C43" s="17">
        <f>'APPENDIX C -S1'!AH14</f>
        <v>440.1</v>
      </c>
      <c r="D43" s="18">
        <f t="shared" si="1"/>
        <v>5</v>
      </c>
      <c r="E43" s="19"/>
      <c r="G43" s="21">
        <v>-417042.78298000043</v>
      </c>
      <c r="H43" s="22" t="e">
        <f>#REF!-G43</f>
        <v>#REF!</v>
      </c>
    </row>
    <row r="44" spans="1:8" x14ac:dyDescent="0.2">
      <c r="A44" s="16" t="s">
        <v>58</v>
      </c>
      <c r="B44" s="17">
        <f>'APPENDIX C -S1'!V15</f>
        <v>279.89999999999998</v>
      </c>
      <c r="C44" s="17">
        <f>'APPENDIX C -S1'!AH15</f>
        <v>261.89999999999998</v>
      </c>
      <c r="D44" s="18">
        <f t="shared" si="1"/>
        <v>18</v>
      </c>
      <c r="E44" s="19"/>
      <c r="G44" s="21">
        <v>-373889.74858000042</v>
      </c>
      <c r="H44" s="22" t="e">
        <f>#REF!-G44</f>
        <v>#REF!</v>
      </c>
    </row>
    <row r="45" spans="1:8" x14ac:dyDescent="0.2">
      <c r="A45" s="16" t="s">
        <v>59</v>
      </c>
      <c r="B45" s="17">
        <f>'APPENDIX C -S1'!V16</f>
        <v>167.6</v>
      </c>
      <c r="C45" s="17">
        <f>'APPENDIX C -S1'!AH16</f>
        <v>121.2</v>
      </c>
      <c r="D45" s="18">
        <f t="shared" si="1"/>
        <v>46.399999999999991</v>
      </c>
      <c r="E45" s="19"/>
      <c r="G45" s="21">
        <v>-260732.90282000042</v>
      </c>
      <c r="H45" s="22" t="e">
        <f>#REF!-G45</f>
        <v>#REF!</v>
      </c>
    </row>
    <row r="46" spans="1:8" x14ac:dyDescent="0.2">
      <c r="A46" s="16" t="s">
        <v>60</v>
      </c>
      <c r="B46" s="17">
        <f>'APPENDIX C -S1'!V17</f>
        <v>14</v>
      </c>
      <c r="C46" s="17">
        <f>'APPENDIX C -S1'!AH17</f>
        <v>18.899999999999999</v>
      </c>
      <c r="D46" s="18">
        <f t="shared" si="1"/>
        <v>-4.8999999999999986</v>
      </c>
      <c r="E46" s="19"/>
      <c r="G46" s="21">
        <v>-272480.11774000042</v>
      </c>
      <c r="H46" s="22" t="e">
        <f>#REF!-G46</f>
        <v>#REF!</v>
      </c>
    </row>
    <row r="47" spans="1:8" x14ac:dyDescent="0.2">
      <c r="A47" s="16" t="s">
        <v>61</v>
      </c>
      <c r="B47" s="17">
        <f>'APPENDIX C -S1'!V18</f>
        <v>9.4</v>
      </c>
      <c r="C47" s="17">
        <f>'APPENDIX C -S1'!AH18</f>
        <v>19.899999999999999</v>
      </c>
      <c r="D47" s="18">
        <f t="shared" si="1"/>
        <v>-10.499999999999998</v>
      </c>
      <c r="E47" s="19"/>
      <c r="G47" s="21">
        <v>-297652.72114000045</v>
      </c>
      <c r="H47" s="22" t="e">
        <f>#REF!-G47</f>
        <v>#REF!</v>
      </c>
    </row>
    <row r="48" spans="1:8" x14ac:dyDescent="0.2">
      <c r="A48" s="16" t="s">
        <v>62</v>
      </c>
      <c r="B48" s="17">
        <f>'APPENDIX C -S1'!V19</f>
        <v>125.7</v>
      </c>
      <c r="C48" s="17">
        <f>'APPENDIX C -S1'!AH19</f>
        <v>104.7</v>
      </c>
      <c r="D48" s="17">
        <f t="shared" si="1"/>
        <v>21</v>
      </c>
      <c r="E48" s="24"/>
      <c r="G48" s="21">
        <v>-249704.90514000045</v>
      </c>
      <c r="H48" s="22" t="e">
        <f>#REF!-G48</f>
        <v>#REF!</v>
      </c>
    </row>
    <row r="49" spans="1:11" x14ac:dyDescent="0.2">
      <c r="A49" s="16" t="s">
        <v>63</v>
      </c>
      <c r="B49" s="17">
        <f>'APPENDIX C -S1'!V20</f>
        <v>338.7</v>
      </c>
      <c r="C49" s="17">
        <v>276.10000000000002</v>
      </c>
      <c r="D49" s="17">
        <f t="shared" si="1"/>
        <v>62.599999999999966</v>
      </c>
      <c r="E49" s="24"/>
      <c r="G49" s="21">
        <v>-99628.241060000524</v>
      </c>
      <c r="H49" s="22" t="e">
        <f>#REF!-G49</f>
        <v>#REF!</v>
      </c>
    </row>
    <row r="50" spans="1:11" x14ac:dyDescent="0.2">
      <c r="A50" s="16" t="s">
        <v>64</v>
      </c>
      <c r="B50" s="17">
        <f>'APPENDIX C -S1'!V21</f>
        <v>519.5</v>
      </c>
      <c r="C50" s="17">
        <v>426.3</v>
      </c>
      <c r="D50" s="17">
        <f t="shared" si="1"/>
        <v>93.199999999999989</v>
      </c>
      <c r="E50" s="24"/>
      <c r="G50" s="21">
        <v>123808.58149999948</v>
      </c>
      <c r="H50" s="22" t="e">
        <f>#REF!-G50</f>
        <v>#REF!</v>
      </c>
    </row>
    <row r="51" spans="1:11" x14ac:dyDescent="0.2">
      <c r="A51" s="16" t="s">
        <v>65</v>
      </c>
      <c r="B51" s="17">
        <f>'APPENDIX C -S1'!V22</f>
        <v>708.99999999999989</v>
      </c>
      <c r="C51" s="17">
        <f>'APPENDIX C -S1'!AH22</f>
        <v>620.5</v>
      </c>
      <c r="D51" s="17">
        <f t="shared" si="1"/>
        <v>88.499999999999886</v>
      </c>
      <c r="E51" s="24"/>
      <c r="G51" s="21">
        <v>335977.66729999951</v>
      </c>
      <c r="H51" s="22" t="e">
        <f>#REF!-G51</f>
        <v>#REF!</v>
      </c>
    </row>
    <row r="52" spans="1:11" x14ac:dyDescent="0.2">
      <c r="A52" s="16" t="s">
        <v>66</v>
      </c>
      <c r="B52" s="17">
        <f>'APPENDIX C -S1'!W11</f>
        <v>756.5</v>
      </c>
      <c r="C52" s="17">
        <v>757.6</v>
      </c>
      <c r="D52" s="18">
        <f t="shared" si="1"/>
        <v>-1.1000000000000227</v>
      </c>
      <c r="E52" s="19"/>
      <c r="G52" s="21">
        <v>333101.88744970935</v>
      </c>
      <c r="H52" s="22" t="e">
        <f>#REF!-G52</f>
        <v>#REF!</v>
      </c>
    </row>
    <row r="53" spans="1:11" x14ac:dyDescent="0.2">
      <c r="A53" s="16" t="s">
        <v>67</v>
      </c>
      <c r="B53" s="17">
        <f>'APPENDIX C -S1'!W12</f>
        <v>736.80000000000007</v>
      </c>
      <c r="C53" s="17">
        <v>688.7</v>
      </c>
      <c r="D53" s="18">
        <f t="shared" si="1"/>
        <v>48.100000000000023</v>
      </c>
      <c r="E53" s="19"/>
      <c r="G53" s="21">
        <v>458851.89726693905</v>
      </c>
      <c r="H53" s="22" t="e">
        <f>#REF!-G53</f>
        <v>#REF!</v>
      </c>
    </row>
    <row r="54" spans="1:11" x14ac:dyDescent="0.2">
      <c r="A54" s="16" t="s">
        <v>68</v>
      </c>
      <c r="B54" s="17">
        <f>'APPENDIX C -S1'!W13</f>
        <v>637.5</v>
      </c>
      <c r="C54" s="17">
        <v>656.8</v>
      </c>
      <c r="D54" s="18">
        <f>+B54-C54</f>
        <v>-19.299999999999955</v>
      </c>
      <c r="E54" s="19"/>
      <c r="G54" s="21">
        <v>408395.03262094047</v>
      </c>
      <c r="H54" s="22" t="e">
        <f>#REF!-G54</f>
        <v>#REF!</v>
      </c>
    </row>
    <row r="55" spans="1:11" x14ac:dyDescent="0.2">
      <c r="A55" s="16" t="s">
        <v>69</v>
      </c>
      <c r="B55" s="17">
        <f>'APPENDIX C -S1'!W14</f>
        <v>448.8</v>
      </c>
      <c r="C55" s="18">
        <v>432.6</v>
      </c>
      <c r="D55" s="18">
        <f t="shared" si="1"/>
        <v>16.199999999999989</v>
      </c>
      <c r="E55" s="19"/>
      <c r="G55" s="21">
        <v>450747.42677975801</v>
      </c>
      <c r="H55" s="22" t="e">
        <f>#REF!-G55</f>
        <v>#REF!</v>
      </c>
    </row>
    <row r="56" spans="1:11" x14ac:dyDescent="0.2">
      <c r="A56" s="16" t="s">
        <v>70</v>
      </c>
      <c r="B56" s="17">
        <f>'APPENDIX C -S1'!W15</f>
        <v>351.6</v>
      </c>
      <c r="C56" s="18">
        <v>257.5</v>
      </c>
      <c r="D56" s="18">
        <f t="shared" si="1"/>
        <v>94.100000000000023</v>
      </c>
      <c r="E56" s="19"/>
      <c r="G56" s="21">
        <v>696757.32124548242</v>
      </c>
      <c r="H56" s="22" t="e">
        <f>#REF!-G56</f>
        <v>#REF!</v>
      </c>
    </row>
    <row r="57" spans="1:11" x14ac:dyDescent="0.2">
      <c r="A57" s="16" t="s">
        <v>71</v>
      </c>
      <c r="B57" s="17">
        <f>'APPENDIX C -S1'!W16</f>
        <v>105.9</v>
      </c>
      <c r="C57" s="18">
        <v>118.5</v>
      </c>
      <c r="D57" s="18">
        <f t="shared" si="1"/>
        <v>-12.599999999999994</v>
      </c>
      <c r="E57" s="19"/>
      <c r="G57" s="21">
        <v>663816.57023306878</v>
      </c>
      <c r="H57" s="22" t="e">
        <f>#REF!-G57</f>
        <v>#REF!</v>
      </c>
    </row>
    <row r="58" spans="1:11" x14ac:dyDescent="0.2">
      <c r="A58" s="16" t="s">
        <v>72</v>
      </c>
      <c r="B58" s="17">
        <f>'APPENDIX C -S1'!W17</f>
        <v>25.5</v>
      </c>
      <c r="C58" s="18">
        <v>18.7</v>
      </c>
      <c r="D58" s="18">
        <f t="shared" si="1"/>
        <v>6.8000000000000007</v>
      </c>
      <c r="E58" s="19"/>
      <c r="G58" s="21">
        <v>681594.11839849839</v>
      </c>
      <c r="H58" s="22" t="e">
        <f>#REF!-G58</f>
        <v>#REF!</v>
      </c>
    </row>
    <row r="59" spans="1:11" x14ac:dyDescent="0.2">
      <c r="A59" s="16" t="s">
        <v>73</v>
      </c>
      <c r="B59" s="17">
        <f>'APPENDIX C -S1'!W18</f>
        <v>17.3</v>
      </c>
      <c r="C59" s="18">
        <v>19</v>
      </c>
      <c r="D59" s="18">
        <f t="shared" si="1"/>
        <v>-1.6999999999999993</v>
      </c>
      <c r="E59" s="19"/>
      <c r="G59" s="21">
        <v>677149.73135714105</v>
      </c>
      <c r="H59" s="22" t="e">
        <f>#REF!-G59</f>
        <v>#REF!</v>
      </c>
    </row>
    <row r="60" spans="1:11" x14ac:dyDescent="0.2">
      <c r="A60" s="16" t="s">
        <v>74</v>
      </c>
      <c r="B60" s="17">
        <f>'APPENDIX C -S1'!W19</f>
        <v>142.60000000000002</v>
      </c>
      <c r="C60" s="18">
        <v>101.9</v>
      </c>
      <c r="D60" s="18">
        <f t="shared" si="1"/>
        <v>40.700000000000017</v>
      </c>
      <c r="E60" s="19"/>
      <c r="G60" s="21">
        <v>783553.58581787406</v>
      </c>
      <c r="H60" s="22" t="e">
        <f>#REF!-G60</f>
        <v>#REF!</v>
      </c>
    </row>
    <row r="61" spans="1:11" x14ac:dyDescent="0.2">
      <c r="A61" s="16" t="s">
        <v>75</v>
      </c>
      <c r="B61" s="17">
        <f>'APPENDIX C -S1'!W20</f>
        <v>298.89999999999998</v>
      </c>
      <c r="C61" s="17">
        <v>271.58000000000004</v>
      </c>
      <c r="D61" s="17">
        <f t="shared" si="1"/>
        <v>27.319999999999936</v>
      </c>
      <c r="E61" s="24"/>
      <c r="G61" s="21">
        <v>854977.49991780578</v>
      </c>
      <c r="H61" s="22" t="e">
        <f>#REF!-G61</f>
        <v>#REF!</v>
      </c>
      <c r="I61" s="1" t="s">
        <v>98</v>
      </c>
    </row>
    <row r="62" spans="1:11" x14ac:dyDescent="0.2">
      <c r="A62" s="16" t="s">
        <v>76</v>
      </c>
      <c r="B62" s="17">
        <f>'APPENDIX C -S1'!W21</f>
        <v>478.7</v>
      </c>
      <c r="C62" s="17">
        <v>425.67</v>
      </c>
      <c r="D62" s="17">
        <f t="shared" si="1"/>
        <v>53.029999999999973</v>
      </c>
      <c r="E62" s="24"/>
      <c r="G62" s="15">
        <v>958694</v>
      </c>
      <c r="H62" s="22" t="e">
        <f>#REF!-G62</f>
        <v>#REF!</v>
      </c>
    </row>
    <row r="63" spans="1:11" x14ac:dyDescent="0.2">
      <c r="A63" s="16" t="s">
        <v>77</v>
      </c>
      <c r="B63" s="17">
        <f>'APPENDIX C -S1'!W22</f>
        <v>638.29999999999995</v>
      </c>
      <c r="C63" s="17">
        <v>616.74</v>
      </c>
      <c r="D63" s="17">
        <f t="shared" si="1"/>
        <v>21.559999999999945</v>
      </c>
      <c r="E63" s="24"/>
      <c r="G63" s="15">
        <v>1057328</v>
      </c>
      <c r="H63" s="22" t="e">
        <f>#REF!-G63</f>
        <v>#REF!</v>
      </c>
      <c r="I63" s="1">
        <v>7320</v>
      </c>
    </row>
    <row r="64" spans="1:11" x14ac:dyDescent="0.2">
      <c r="A64" s="25" t="s">
        <v>80</v>
      </c>
      <c r="B64" s="17">
        <f>'APPENDIX C -S1'!X11</f>
        <v>732.7</v>
      </c>
      <c r="C64" s="17">
        <f>'APPENDIX C -S1'!AF11</f>
        <v>761.24</v>
      </c>
      <c r="D64" s="17">
        <f>+B64-C64</f>
        <v>-28.539999999999964</v>
      </c>
      <c r="E64" s="24"/>
      <c r="G64" s="15">
        <v>975394.24461156456</v>
      </c>
      <c r="H64" s="22" t="e">
        <f>#REF!-G64</f>
        <v>#REF!</v>
      </c>
      <c r="I64" s="1" t="s">
        <v>95</v>
      </c>
      <c r="K64" s="22"/>
    </row>
    <row r="65" spans="1:13" x14ac:dyDescent="0.2">
      <c r="A65" s="25" t="s">
        <v>82</v>
      </c>
      <c r="B65" s="17">
        <f>'APPENDIX C -S1'!X12</f>
        <v>687</v>
      </c>
      <c r="C65" s="17">
        <f>'APPENDIX C -S1'!AF12</f>
        <v>682.18000000000006</v>
      </c>
      <c r="D65" s="17">
        <f t="shared" ref="D65:D74" si="2">+B65-C65</f>
        <v>4.8199999999999363</v>
      </c>
      <c r="E65" s="24"/>
      <c r="G65" s="15">
        <v>987995.38904647215</v>
      </c>
      <c r="H65" s="22" t="e">
        <f>#REF!-G65</f>
        <v>#REF!</v>
      </c>
      <c r="K65" s="22"/>
    </row>
    <row r="66" spans="1:13" x14ac:dyDescent="0.2">
      <c r="A66" s="25" t="s">
        <v>83</v>
      </c>
      <c r="B66" s="17">
        <f>'APPENDIX C -S1'!X13</f>
        <v>645.79999999999995</v>
      </c>
      <c r="C66" s="17">
        <f>'APPENDIX C -S1'!AF13</f>
        <v>647.6</v>
      </c>
      <c r="D66" s="17">
        <f t="shared" si="2"/>
        <v>-1.8000000000000682</v>
      </c>
      <c r="E66" s="24"/>
      <c r="G66" s="15">
        <v>983289.56747327</v>
      </c>
      <c r="H66" s="22" t="e">
        <f>#REF!-G66</f>
        <v>#REF!</v>
      </c>
      <c r="K66" s="22"/>
    </row>
    <row r="67" spans="1:13" x14ac:dyDescent="0.2">
      <c r="A67" s="25" t="s">
        <v>84</v>
      </c>
      <c r="B67" s="17">
        <f>'APPENDIX C -S1'!X14</f>
        <v>457.59999999999997</v>
      </c>
      <c r="C67" s="17">
        <f>'APPENDIX C -S1'!AF14</f>
        <v>435.31000000000006</v>
      </c>
      <c r="D67" s="17">
        <f t="shared" si="2"/>
        <v>22.289999999999907</v>
      </c>
      <c r="E67" s="24"/>
      <c r="G67" s="15">
        <v>1041563.3246214209</v>
      </c>
      <c r="H67" s="22" t="e">
        <f>#REF!-G67</f>
        <v>#REF!</v>
      </c>
      <c r="K67" s="22"/>
    </row>
    <row r="68" spans="1:13" x14ac:dyDescent="0.2">
      <c r="A68" s="25" t="s">
        <v>85</v>
      </c>
      <c r="B68" s="17">
        <f>'APPENDIX C -S1'!X15</f>
        <v>288.2</v>
      </c>
      <c r="C68" s="17">
        <f>'APPENDIX C -S1'!AF15</f>
        <v>256.89</v>
      </c>
      <c r="D68" s="17">
        <f t="shared" si="2"/>
        <v>31.310000000000002</v>
      </c>
      <c r="E68" s="24"/>
      <c r="G68" s="15">
        <v>1128647.1671788415</v>
      </c>
      <c r="H68" s="22" t="e">
        <f>#REF!-G68</f>
        <v>#REF!</v>
      </c>
      <c r="K68" s="22"/>
    </row>
    <row r="69" spans="1:13" x14ac:dyDescent="0.2">
      <c r="A69" s="25" t="s">
        <v>86</v>
      </c>
      <c r="B69" s="17">
        <f>'APPENDIX C -S1'!X16</f>
        <v>102.6</v>
      </c>
      <c r="C69" s="17">
        <f>'APPENDIX C -S1'!AF16</f>
        <v>125.75999999999999</v>
      </c>
      <c r="D69" s="17">
        <f t="shared" si="2"/>
        <v>-23.159999999999997</v>
      </c>
      <c r="E69" s="24"/>
      <c r="G69" s="15">
        <v>1067889.7819781674</v>
      </c>
      <c r="H69" s="22" t="e">
        <f>#REF!-G69</f>
        <v>#REF!</v>
      </c>
      <c r="K69" s="22"/>
    </row>
    <row r="70" spans="1:13" x14ac:dyDescent="0.2">
      <c r="A70" s="25" t="s">
        <v>87</v>
      </c>
      <c r="B70" s="17">
        <f>'APPENDIX C -S1'!X17</f>
        <v>31.7</v>
      </c>
      <c r="C70" s="17">
        <f>'APPENDIX C -S1'!AF17</f>
        <v>20.100000000000001</v>
      </c>
      <c r="D70" s="17">
        <f t="shared" si="2"/>
        <v>11.599999999999998</v>
      </c>
      <c r="E70" s="24"/>
      <c r="G70" s="26">
        <v>1098216.1876721354</v>
      </c>
      <c r="H70" s="22" t="e">
        <f>#REF!-G70</f>
        <v>#REF!</v>
      </c>
      <c r="I70" s="27"/>
      <c r="J70" s="27"/>
      <c r="K70" s="22"/>
      <c r="L70" s="27"/>
      <c r="M70" s="27"/>
    </row>
    <row r="71" spans="1:13" x14ac:dyDescent="0.2">
      <c r="A71" s="25" t="s">
        <v>88</v>
      </c>
      <c r="B71" s="17">
        <f>'APPENDIX C -S1'!X18</f>
        <v>24.5</v>
      </c>
      <c r="C71" s="17">
        <f>'APPENDIX C -S1'!AF18</f>
        <v>17.940000000000001</v>
      </c>
      <c r="D71" s="17">
        <f t="shared" si="2"/>
        <v>6.5599999999999987</v>
      </c>
      <c r="E71" s="24"/>
      <c r="G71" s="15">
        <v>1115366.2929611381</v>
      </c>
      <c r="H71" s="22" t="e">
        <f>#REF!-G71</f>
        <v>#REF!</v>
      </c>
      <c r="I71" s="27"/>
      <c r="J71" s="27"/>
      <c r="K71" s="22"/>
      <c r="L71" s="27"/>
      <c r="M71" s="27"/>
    </row>
    <row r="72" spans="1:13" x14ac:dyDescent="0.2">
      <c r="A72" s="25" t="s">
        <v>89</v>
      </c>
      <c r="B72" s="17">
        <f>'APPENDIX C -S1'!X19</f>
        <v>113.4</v>
      </c>
      <c r="C72" s="17">
        <f>'APPENDIX C -S1'!AF19</f>
        <v>102.37</v>
      </c>
      <c r="D72" s="17">
        <f t="shared" si="2"/>
        <v>11.030000000000001</v>
      </c>
      <c r="E72" s="24"/>
      <c r="G72" s="15">
        <v>1144463.9563554369</v>
      </c>
      <c r="H72" s="22" t="e">
        <f>#REF!-G72</f>
        <v>#REF!</v>
      </c>
      <c r="K72" s="22"/>
    </row>
    <row r="73" spans="1:13" x14ac:dyDescent="0.2">
      <c r="A73" s="25" t="s">
        <v>90</v>
      </c>
      <c r="B73" s="17">
        <f>'APPENDIX C -S1'!X20</f>
        <v>281.5</v>
      </c>
      <c r="C73" s="17">
        <f>'APPENDIX C -S1'!AF20</f>
        <v>275.45</v>
      </c>
      <c r="D73" s="17">
        <f t="shared" si="2"/>
        <v>6.0500000000000114</v>
      </c>
      <c r="E73" s="24"/>
      <c r="G73" s="28">
        <v>1159601.0157492366</v>
      </c>
      <c r="H73" s="22" t="e">
        <f>#REF!-G73</f>
        <v>#REF!</v>
      </c>
      <c r="K73" s="22"/>
    </row>
    <row r="74" spans="1:13" x14ac:dyDescent="0.2">
      <c r="A74" s="25" t="s">
        <v>91</v>
      </c>
      <c r="B74" s="17">
        <f>'APPENDIX C -S1'!X21</f>
        <v>397.2</v>
      </c>
      <c r="C74" s="17">
        <f>'APPENDIX C -S1'!AF21</f>
        <v>435.52</v>
      </c>
      <c r="D74" s="17">
        <f t="shared" si="2"/>
        <v>-38.319999999999993</v>
      </c>
      <c r="E74" s="24"/>
      <c r="G74" s="15">
        <v>1059419.303146404</v>
      </c>
      <c r="H74" s="22" t="e">
        <f>#REF!-G74</f>
        <v>#REF!</v>
      </c>
      <c r="K74" s="22"/>
    </row>
    <row r="75" spans="1:13" x14ac:dyDescent="0.2">
      <c r="A75" s="25" t="s">
        <v>79</v>
      </c>
      <c r="B75" s="17">
        <f>'APPENDIX C -S1'!X22</f>
        <v>525.6</v>
      </c>
      <c r="C75" s="17">
        <f>'APPENDIX C -S1'!AF22</f>
        <v>625.64</v>
      </c>
      <c r="D75" s="17">
        <f>+B75-C75</f>
        <v>-100.03999999999996</v>
      </c>
      <c r="E75" s="24"/>
      <c r="H75" s="22"/>
      <c r="K75" s="22"/>
    </row>
    <row r="76" spans="1:13" x14ac:dyDescent="0.2">
      <c r="A76" s="25" t="s">
        <v>92</v>
      </c>
      <c r="B76" s="17"/>
      <c r="D76" s="17"/>
      <c r="E76" s="24"/>
      <c r="G76" s="67">
        <v>-362731</v>
      </c>
      <c r="H76" s="68" t="e">
        <f>#REF!-G76</f>
        <v>#REF!</v>
      </c>
      <c r="I76" s="29" t="s">
        <v>94</v>
      </c>
      <c r="J76" s="29"/>
      <c r="K76" s="29"/>
      <c r="L76" s="29"/>
      <c r="M76" s="29"/>
    </row>
    <row r="77" spans="1:13" x14ac:dyDescent="0.2">
      <c r="A77" s="25" t="s">
        <v>117</v>
      </c>
      <c r="B77" s="17">
        <f>'APPENDIX C -S1'!Y11</f>
        <v>659.4</v>
      </c>
      <c r="C77" s="17">
        <f>'APPENDIX C -S1'!AE11</f>
        <v>750.29</v>
      </c>
      <c r="D77" s="17">
        <f t="shared" ref="D77:D88" si="3">+B77-C77</f>
        <v>-90.889999999999986</v>
      </c>
      <c r="E77" s="24"/>
      <c r="G77" s="70"/>
      <c r="H77" s="71"/>
      <c r="I77" s="72"/>
      <c r="J77" s="72"/>
      <c r="K77" s="72"/>
      <c r="L77" s="72"/>
      <c r="M77" s="72"/>
    </row>
    <row r="78" spans="1:13" x14ac:dyDescent="0.2">
      <c r="A78" s="25" t="s">
        <v>118</v>
      </c>
      <c r="B78" s="17">
        <f>'APPENDIX C -S1'!Y12</f>
        <v>652.5</v>
      </c>
      <c r="C78" s="23">
        <f>'APPENDIX C -S1'!AE12</f>
        <v>689.46</v>
      </c>
      <c r="D78" s="17">
        <f>+B78-C78</f>
        <v>-36.960000000000036</v>
      </c>
      <c r="E78" s="24"/>
      <c r="G78" s="70"/>
      <c r="H78" s="71"/>
      <c r="I78" s="72"/>
      <c r="J78" s="72"/>
      <c r="K78" s="72"/>
      <c r="L78" s="72"/>
      <c r="M78" s="72"/>
    </row>
    <row r="79" spans="1:13" x14ac:dyDescent="0.2">
      <c r="A79" s="25" t="s">
        <v>119</v>
      </c>
      <c r="B79" s="23">
        <f>'APPENDIX C -S1'!Y13</f>
        <v>599.29999999999995</v>
      </c>
      <c r="C79" s="17">
        <f>'APPENDIX C -S1'!AE13</f>
        <v>643.85</v>
      </c>
      <c r="D79" s="17">
        <f t="shared" si="3"/>
        <v>-44.550000000000068</v>
      </c>
      <c r="E79" s="24"/>
      <c r="G79" s="70"/>
      <c r="H79" s="71"/>
      <c r="I79" s="72"/>
      <c r="J79" s="72"/>
      <c r="K79" s="72"/>
      <c r="L79" s="72"/>
      <c r="M79" s="72"/>
    </row>
    <row r="80" spans="1:13" x14ac:dyDescent="0.2">
      <c r="A80" s="25" t="s">
        <v>120</v>
      </c>
      <c r="B80" s="17">
        <f>'APPENDIX C -S1'!Y14</f>
        <v>405.5</v>
      </c>
      <c r="C80" s="17">
        <f>'APPENDIX C -S1'!AE14</f>
        <v>438.18999999999994</v>
      </c>
      <c r="D80" s="17">
        <f t="shared" si="3"/>
        <v>-32.689999999999941</v>
      </c>
      <c r="E80" s="24"/>
      <c r="G80" s="70"/>
      <c r="H80" s="71"/>
      <c r="I80" s="72"/>
      <c r="J80" s="72"/>
      <c r="K80" s="72"/>
      <c r="L80" s="72"/>
      <c r="M80" s="72"/>
    </row>
    <row r="81" spans="1:13" x14ac:dyDescent="0.2">
      <c r="A81" s="25" t="s">
        <v>121</v>
      </c>
      <c r="B81" s="17">
        <f>'APPENDIX C -S1'!Y15</f>
        <v>295.7</v>
      </c>
      <c r="C81" s="17">
        <f>'APPENDIX C -S1'!AE15</f>
        <v>267.55</v>
      </c>
      <c r="D81" s="17">
        <f t="shared" si="3"/>
        <v>28.149999999999977</v>
      </c>
      <c r="E81" s="24"/>
      <c r="G81" s="70"/>
      <c r="H81" s="71"/>
      <c r="I81" s="72"/>
      <c r="J81" s="72"/>
      <c r="K81" s="72"/>
      <c r="L81" s="72"/>
      <c r="M81" s="72"/>
    </row>
    <row r="82" spans="1:13" x14ac:dyDescent="0.2">
      <c r="A82" s="25" t="s">
        <v>122</v>
      </c>
      <c r="B82" s="17">
        <f>'APPENDIX C -S1'!Y16</f>
        <v>51.9</v>
      </c>
      <c r="C82" s="17">
        <f>'APPENDIX C -S1'!AE16</f>
        <v>126.15</v>
      </c>
      <c r="D82" s="17">
        <f t="shared" si="3"/>
        <v>-74.25</v>
      </c>
      <c r="E82" s="24"/>
      <c r="G82" s="70"/>
      <c r="H82" s="71"/>
      <c r="I82" s="72"/>
      <c r="J82" s="72"/>
      <c r="K82" s="72"/>
      <c r="L82" s="72"/>
      <c r="M82" s="72"/>
    </row>
    <row r="83" spans="1:13" x14ac:dyDescent="0.2">
      <c r="A83" s="25" t="s">
        <v>123</v>
      </c>
      <c r="B83" s="17">
        <f>'APPENDIX C -S1'!Y17</f>
        <v>40.6</v>
      </c>
      <c r="C83" s="17">
        <f>'APPENDIX C -S1'!AE17</f>
        <v>18.45</v>
      </c>
      <c r="D83" s="17">
        <f t="shared" si="3"/>
        <v>22.150000000000002</v>
      </c>
      <c r="E83" s="24"/>
      <c r="G83" s="70"/>
      <c r="H83" s="71"/>
      <c r="I83" s="72"/>
      <c r="J83" s="72"/>
      <c r="K83" s="72"/>
      <c r="L83" s="72"/>
      <c r="M83" s="72"/>
    </row>
    <row r="84" spans="1:13" x14ac:dyDescent="0.2">
      <c r="A84" s="25" t="s">
        <v>124</v>
      </c>
      <c r="B84" s="17">
        <f>'APPENDIX C -S1'!Y18</f>
        <v>12.2</v>
      </c>
      <c r="C84" s="17">
        <f>'APPENDIX C -S1'!AE18</f>
        <v>16.670000000000002</v>
      </c>
      <c r="D84" s="17">
        <f t="shared" si="3"/>
        <v>-4.4700000000000024</v>
      </c>
      <c r="E84" s="24"/>
      <c r="G84" s="70"/>
      <c r="H84" s="71"/>
      <c r="I84" s="72"/>
      <c r="J84" s="72"/>
      <c r="K84" s="72"/>
      <c r="L84" s="72"/>
      <c r="M84" s="72"/>
    </row>
    <row r="85" spans="1:13" x14ac:dyDescent="0.2">
      <c r="A85" s="25" t="s">
        <v>125</v>
      </c>
      <c r="B85" s="17">
        <f>'APPENDIX C -S1'!Y19</f>
        <v>68.599999999999994</v>
      </c>
      <c r="C85" s="17">
        <f>'APPENDIX C -S1'!AE19</f>
        <v>103.13000000000002</v>
      </c>
      <c r="D85" s="17">
        <f t="shared" si="3"/>
        <v>-34.53000000000003</v>
      </c>
      <c r="E85" s="24"/>
      <c r="F85" s="27" t="s">
        <v>130</v>
      </c>
      <c r="G85" s="70"/>
      <c r="H85" s="71"/>
      <c r="I85" s="72"/>
      <c r="J85" s="72"/>
      <c r="K85" s="72"/>
      <c r="L85" s="72"/>
      <c r="M85" s="72"/>
    </row>
    <row r="86" spans="1:13" x14ac:dyDescent="0.2">
      <c r="A86" s="25" t="s">
        <v>126</v>
      </c>
      <c r="B86" s="17">
        <v>235.2</v>
      </c>
      <c r="C86" s="17">
        <f>'APPENDIX C -S1'!AE20</f>
        <v>270.84000000000003</v>
      </c>
      <c r="D86" s="17">
        <f t="shared" si="3"/>
        <v>-35.640000000000043</v>
      </c>
      <c r="E86" s="24"/>
      <c r="G86" s="70"/>
      <c r="H86" s="71"/>
      <c r="I86" s="72"/>
      <c r="J86" s="72"/>
      <c r="K86" s="72"/>
      <c r="L86" s="72"/>
      <c r="M86" s="72"/>
    </row>
    <row r="87" spans="1:13" x14ac:dyDescent="0.2">
      <c r="A87" s="25" t="s">
        <v>127</v>
      </c>
      <c r="B87" s="17">
        <v>404.3</v>
      </c>
      <c r="C87" s="17">
        <f>'APPENDIX C -S1'!AE21</f>
        <v>444.18999999999994</v>
      </c>
      <c r="D87" s="17">
        <f t="shared" si="3"/>
        <v>-39.88999999999993</v>
      </c>
      <c r="E87" s="24"/>
      <c r="G87" s="70"/>
      <c r="H87" s="71"/>
      <c r="I87" s="72"/>
      <c r="J87" s="72"/>
      <c r="K87" s="72"/>
      <c r="L87" s="72"/>
      <c r="M87" s="72"/>
    </row>
    <row r="88" spans="1:13" x14ac:dyDescent="0.2">
      <c r="A88" s="25" t="s">
        <v>128</v>
      </c>
      <c r="B88" s="17">
        <v>604.70000000000005</v>
      </c>
      <c r="C88" s="17">
        <f>'APPENDIX C -S1'!AE22</f>
        <v>625.16999999999996</v>
      </c>
      <c r="D88" s="17">
        <f t="shared" si="3"/>
        <v>-20.469999999999914</v>
      </c>
      <c r="E88" s="24"/>
      <c r="G88" s="70"/>
      <c r="H88" s="71"/>
      <c r="I88" s="72"/>
      <c r="J88" s="72"/>
      <c r="K88" s="72"/>
      <c r="L88" s="72"/>
      <c r="M88" s="72"/>
    </row>
    <row r="89" spans="1:13" x14ac:dyDescent="0.2">
      <c r="A89" s="30"/>
      <c r="B89" s="31"/>
      <c r="C89" s="31"/>
      <c r="D89" s="31"/>
      <c r="E89" s="31"/>
    </row>
    <row r="90" spans="1:13" x14ac:dyDescent="0.2">
      <c r="D90" s="18"/>
    </row>
    <row r="91" spans="1:13" x14ac:dyDescent="0.2">
      <c r="A91" s="80" t="s">
        <v>131</v>
      </c>
      <c r="B91" s="81"/>
      <c r="C91" s="81"/>
      <c r="D91" s="82">
        <f>SUM(D16:D88)</f>
        <v>-55.530000000000314</v>
      </c>
      <c r="E91" s="81"/>
    </row>
    <row r="92" spans="1:13" x14ac:dyDescent="0.2">
      <c r="D92" s="77"/>
      <c r="E92" s="4"/>
    </row>
    <row r="93" spans="1:13" ht="28.5" x14ac:dyDescent="0.2">
      <c r="B93" s="79" t="s">
        <v>4</v>
      </c>
      <c r="C93" s="78" t="s">
        <v>132</v>
      </c>
      <c r="D93" s="84" t="s">
        <v>133</v>
      </c>
      <c r="E93" s="19"/>
    </row>
    <row r="94" spans="1:13" x14ac:dyDescent="0.2">
      <c r="B94" s="2">
        <v>2016</v>
      </c>
      <c r="C94" s="32">
        <f>SUM(D16:D27)</f>
        <v>-12.099999999999952</v>
      </c>
      <c r="D94" s="32">
        <v>0</v>
      </c>
      <c r="F94" s="4"/>
    </row>
    <row r="95" spans="1:13" x14ac:dyDescent="0.2">
      <c r="B95" s="2">
        <v>2017</v>
      </c>
      <c r="C95" s="32">
        <f>SUM(D28:D39)</f>
        <v>-49.300000000000125</v>
      </c>
      <c r="D95" s="83">
        <v>0</v>
      </c>
    </row>
    <row r="96" spans="1:13" x14ac:dyDescent="0.2">
      <c r="B96" s="2">
        <v>2018</v>
      </c>
      <c r="C96" s="32">
        <f>SUM(D40:D51)</f>
        <v>194.99999999999977</v>
      </c>
      <c r="D96" s="83">
        <v>0</v>
      </c>
    </row>
    <row r="97" spans="2:4" x14ac:dyDescent="0.2">
      <c r="B97" s="2">
        <v>2019</v>
      </c>
      <c r="C97" s="32">
        <f>SUM(D52:D63)</f>
        <v>273.10999999999996</v>
      </c>
      <c r="D97" s="83">
        <v>0</v>
      </c>
    </row>
    <row r="98" spans="2:4" x14ac:dyDescent="0.2">
      <c r="B98" s="2">
        <v>2020</v>
      </c>
      <c r="C98" s="32">
        <f>SUM(D64:D75)</f>
        <v>-98.200000000000131</v>
      </c>
      <c r="D98" s="83">
        <v>0</v>
      </c>
    </row>
    <row r="99" spans="2:4" x14ac:dyDescent="0.2">
      <c r="B99" s="2">
        <v>2021</v>
      </c>
      <c r="C99" s="32">
        <f>SUM(D77:D88)</f>
        <v>-364.03999999999996</v>
      </c>
      <c r="D99" s="83">
        <v>0</v>
      </c>
    </row>
  </sheetData>
  <mergeCells count="5">
    <mergeCell ref="A5:E5"/>
    <mergeCell ref="A7:E7"/>
    <mergeCell ref="B9:D9"/>
    <mergeCell ref="B10:D10"/>
    <mergeCell ref="A6:E6"/>
  </mergeCells>
  <printOptions horizontalCentered="1"/>
  <pageMargins left="0.5" right="0.5" top="0.75" bottom="0.75" header="0.3" footer="0.3"/>
  <pageSetup scale="5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1"/>
  <sheetViews>
    <sheetView topLeftCell="A3" workbookViewId="0">
      <selection activeCell="C66" sqref="C66"/>
    </sheetView>
  </sheetViews>
  <sheetFormatPr defaultRowHeight="14.25" x14ac:dyDescent="0.2"/>
  <cols>
    <col min="1" max="1" width="30" style="1" bestFit="1" customWidth="1"/>
    <col min="2" max="2" width="7.5703125" style="1" hidden="1" customWidth="1"/>
    <col min="3" max="3" width="1.7109375" style="1" hidden="1" customWidth="1"/>
    <col min="4" max="4" width="5.5703125" style="1" hidden="1" customWidth="1"/>
    <col min="5" max="5" width="7.7109375" style="1" hidden="1" customWidth="1"/>
    <col min="6" max="10" width="5.5703125" style="1" hidden="1" customWidth="1"/>
    <col min="11" max="11" width="6.140625" style="1" hidden="1" customWidth="1"/>
    <col min="12" max="12" width="5.5703125" style="1" hidden="1" customWidth="1"/>
    <col min="13" max="14" width="7.7109375" style="1" hidden="1" customWidth="1"/>
    <col min="15" max="22" width="7.7109375" style="1" customWidth="1"/>
    <col min="23" max="23" width="6.5703125" style="1" bestFit="1" customWidth="1"/>
    <col min="24" max="24" width="7.5703125" style="1" bestFit="1" customWidth="1"/>
    <col min="25" max="25" width="7.5703125" style="1" customWidth="1"/>
    <col min="26" max="26" width="2.42578125" style="1" customWidth="1"/>
    <col min="27" max="28" width="9.140625" style="1" hidden="1" customWidth="1"/>
    <col min="29" max="29" width="12.7109375" style="1" customWidth="1"/>
    <col min="30" max="30" width="12.42578125" style="1" customWidth="1"/>
    <col min="31" max="36" width="10.85546875" style="1" hidden="1" customWidth="1"/>
    <col min="37" max="16384" width="9.140625" style="1"/>
  </cols>
  <sheetData>
    <row r="1" spans="1:39" hidden="1" x14ac:dyDescent="0.2">
      <c r="A1" s="1" t="s">
        <v>6</v>
      </c>
      <c r="N1" s="2" t="s">
        <v>8</v>
      </c>
    </row>
    <row r="2" spans="1:39" hidden="1" x14ac:dyDescent="0.2">
      <c r="A2" s="1" t="s">
        <v>7</v>
      </c>
    </row>
    <row r="4" spans="1:39" ht="28.15" customHeight="1" x14ac:dyDescent="0.25">
      <c r="A4" s="95" t="s">
        <v>129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7"/>
      <c r="AD4" s="37"/>
      <c r="AE4" s="37"/>
      <c r="AF4" s="37"/>
      <c r="AH4" s="41"/>
    </row>
    <row r="5" spans="1:39" ht="15" x14ac:dyDescent="0.25">
      <c r="A5" s="88" t="s">
        <v>18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  <c r="AD5" s="37"/>
      <c r="AE5" s="37"/>
      <c r="AF5" s="37"/>
    </row>
    <row r="6" spans="1:39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7" t="s">
        <v>9</v>
      </c>
      <c r="AB6" s="7" t="s">
        <v>16</v>
      </c>
      <c r="AC6" s="5"/>
      <c r="AD6" s="4"/>
      <c r="AE6" s="4"/>
      <c r="AF6" s="4"/>
      <c r="AL6" s="27"/>
    </row>
    <row r="7" spans="1:39" ht="15" x14ac:dyDescent="0.25">
      <c r="A7" s="3"/>
      <c r="B7" s="4"/>
      <c r="C7" s="4"/>
      <c r="D7" s="4"/>
      <c r="E7" s="4"/>
      <c r="F7" s="4"/>
      <c r="G7" s="4"/>
      <c r="H7" s="7"/>
      <c r="I7" s="4"/>
      <c r="J7" s="4"/>
      <c r="K7" s="4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7" t="s">
        <v>10</v>
      </c>
      <c r="AB7" s="7" t="s">
        <v>10</v>
      </c>
      <c r="AC7" s="42" t="s">
        <v>9</v>
      </c>
      <c r="AD7" s="34"/>
      <c r="AE7" s="34"/>
      <c r="AF7" s="34"/>
    </row>
    <row r="8" spans="1:39" ht="15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7" t="s">
        <v>11</v>
      </c>
      <c r="AB8" s="7" t="s">
        <v>17</v>
      </c>
      <c r="AC8" s="42" t="s">
        <v>10</v>
      </c>
      <c r="AD8" s="34"/>
      <c r="AE8" s="34"/>
      <c r="AF8" s="34"/>
      <c r="AH8" s="96"/>
      <c r="AI8" s="96"/>
      <c r="AJ8" s="96"/>
    </row>
    <row r="9" spans="1:39" ht="15" x14ac:dyDescent="0.25">
      <c r="A9" s="38" t="s">
        <v>5</v>
      </c>
      <c r="B9" s="35" t="s">
        <v>12</v>
      </c>
      <c r="C9" s="35"/>
      <c r="D9" s="35">
        <v>1990</v>
      </c>
      <c r="E9" s="35"/>
      <c r="F9" s="43">
        <v>2002</v>
      </c>
      <c r="G9" s="39">
        <v>2003</v>
      </c>
      <c r="H9" s="39">
        <v>2004</v>
      </c>
      <c r="I9" s="39">
        <v>2005</v>
      </c>
      <c r="J9" s="39">
        <v>2006</v>
      </c>
      <c r="K9" s="44">
        <v>2007</v>
      </c>
      <c r="L9" s="39">
        <v>2008</v>
      </c>
      <c r="M9" s="39">
        <v>2009</v>
      </c>
      <c r="N9" s="39">
        <v>2010</v>
      </c>
      <c r="O9" s="39">
        <v>2011</v>
      </c>
      <c r="P9" s="39">
        <v>2012</v>
      </c>
      <c r="Q9" s="39">
        <v>2013</v>
      </c>
      <c r="R9" s="39">
        <v>2014</v>
      </c>
      <c r="S9" s="39">
        <v>2015</v>
      </c>
      <c r="T9" s="39">
        <v>2016</v>
      </c>
      <c r="U9" s="39">
        <v>2017</v>
      </c>
      <c r="V9" s="44">
        <v>2018</v>
      </c>
      <c r="W9" s="44">
        <v>2019</v>
      </c>
      <c r="X9" s="44">
        <v>2020</v>
      </c>
      <c r="Y9" s="44">
        <v>2021</v>
      </c>
      <c r="Z9" s="39"/>
      <c r="AA9" s="35">
        <v>2012</v>
      </c>
      <c r="AB9" s="35">
        <v>2013</v>
      </c>
      <c r="AC9" s="45" t="s">
        <v>115</v>
      </c>
      <c r="AD9" s="34"/>
      <c r="AE9" s="46" t="s">
        <v>116</v>
      </c>
      <c r="AF9" s="46" t="s">
        <v>81</v>
      </c>
      <c r="AG9" s="46" t="s">
        <v>78</v>
      </c>
      <c r="AH9" s="46" t="s">
        <v>53</v>
      </c>
      <c r="AI9" s="46" t="s">
        <v>51</v>
      </c>
      <c r="AJ9" s="46" t="s">
        <v>52</v>
      </c>
    </row>
    <row r="10" spans="1:39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Z10" s="4"/>
      <c r="AA10" s="4"/>
      <c r="AB10" s="4"/>
      <c r="AC10" s="5"/>
      <c r="AD10" s="4"/>
      <c r="AE10" s="69"/>
      <c r="AF10" s="47"/>
      <c r="AG10" s="47"/>
      <c r="AH10" s="47"/>
      <c r="AI10" s="47"/>
      <c r="AJ10" s="47"/>
    </row>
    <row r="11" spans="1:39" x14ac:dyDescent="0.2">
      <c r="A11" s="6" t="s">
        <v>100</v>
      </c>
      <c r="B11" s="4">
        <v>805</v>
      </c>
      <c r="C11" s="4"/>
      <c r="D11" s="4">
        <v>728</v>
      </c>
      <c r="E11" s="4"/>
      <c r="F11" s="4">
        <v>745</v>
      </c>
      <c r="G11" s="4">
        <v>864</v>
      </c>
      <c r="H11" s="4">
        <v>898</v>
      </c>
      <c r="I11" s="4">
        <v>854</v>
      </c>
      <c r="J11" s="4">
        <v>626</v>
      </c>
      <c r="K11" s="4">
        <v>737</v>
      </c>
      <c r="L11" s="4">
        <v>728</v>
      </c>
      <c r="M11" s="4">
        <v>866</v>
      </c>
      <c r="N11" s="4">
        <v>686</v>
      </c>
      <c r="O11" s="4">
        <v>744</v>
      </c>
      <c r="P11" s="4">
        <v>715</v>
      </c>
      <c r="Q11" s="4">
        <v>812</v>
      </c>
      <c r="R11" s="4">
        <v>771</v>
      </c>
      <c r="S11" s="4">
        <v>829</v>
      </c>
      <c r="T11" s="40">
        <v>713</v>
      </c>
      <c r="U11" s="48">
        <v>712</v>
      </c>
      <c r="V11" s="48">
        <v>764.4</v>
      </c>
      <c r="W11" s="48">
        <f>738.2+18.3</f>
        <v>756.5</v>
      </c>
      <c r="X11" s="48">
        <v>732.7</v>
      </c>
      <c r="Y11" s="48">
        <v>659.4</v>
      </c>
      <c r="Z11" s="4"/>
      <c r="AA11" s="19">
        <f>AVERAGE(G11:P11)</f>
        <v>771.8</v>
      </c>
      <c r="AB11" s="19">
        <f>AVERAGE(H11:Q11)</f>
        <v>766.6</v>
      </c>
      <c r="AC11" s="20">
        <f>AVERAGE(O11:X11)</f>
        <v>754.95999999999992</v>
      </c>
      <c r="AD11" s="19"/>
      <c r="AE11" s="75">
        <f>AVERAGE(N11:W11)</f>
        <v>750.29</v>
      </c>
      <c r="AF11" s="49">
        <f>AVERAGE(M11:V11)</f>
        <v>761.24</v>
      </c>
      <c r="AG11" s="50">
        <f>AVERAGE(L11:U11)</f>
        <v>757.6</v>
      </c>
      <c r="AH11" s="50">
        <f>AVERAGE(K11:T11)</f>
        <v>760.1</v>
      </c>
      <c r="AI11" s="50">
        <f>AVERAGE(J11:S11)</f>
        <v>751.4</v>
      </c>
      <c r="AJ11" s="50">
        <f t="shared" ref="AJ11:AJ22" si="0">AVERAGE(I11:R11)</f>
        <v>753.9</v>
      </c>
      <c r="AM11" s="33"/>
    </row>
    <row r="12" spans="1:39" x14ac:dyDescent="0.2">
      <c r="A12" s="6" t="s">
        <v>101</v>
      </c>
      <c r="B12" s="4">
        <v>730</v>
      </c>
      <c r="C12" s="4"/>
      <c r="D12" s="4">
        <v>764</v>
      </c>
      <c r="E12" s="4"/>
      <c r="F12" s="4">
        <v>679</v>
      </c>
      <c r="G12" s="4">
        <v>761</v>
      </c>
      <c r="H12" s="4">
        <v>731</v>
      </c>
      <c r="I12" s="4">
        <v>698</v>
      </c>
      <c r="J12" s="4">
        <v>677</v>
      </c>
      <c r="K12" s="4">
        <v>763</v>
      </c>
      <c r="L12" s="4">
        <v>686</v>
      </c>
      <c r="M12" s="4">
        <v>664</v>
      </c>
      <c r="N12" s="4">
        <v>608</v>
      </c>
      <c r="O12" s="4">
        <v>697</v>
      </c>
      <c r="P12" s="4">
        <v>700</v>
      </c>
      <c r="Q12" s="4">
        <v>672</v>
      </c>
      <c r="R12" s="4">
        <v>717</v>
      </c>
      <c r="S12" s="4">
        <v>858</v>
      </c>
      <c r="T12" s="48">
        <v>628</v>
      </c>
      <c r="U12" s="48">
        <v>657</v>
      </c>
      <c r="V12" s="48">
        <v>620.79999999999995</v>
      </c>
      <c r="W12" s="48">
        <f>709.2+27.6</f>
        <v>736.80000000000007</v>
      </c>
      <c r="X12" s="48">
        <v>687</v>
      </c>
      <c r="Y12" s="48">
        <v>652.5</v>
      </c>
      <c r="Z12" s="4"/>
      <c r="AA12" s="19">
        <f t="shared" ref="AA12:AA22" si="1">AVERAGE(G12:P12)</f>
        <v>698.5</v>
      </c>
      <c r="AB12" s="19">
        <f t="shared" ref="AB12:AB22" si="2">AVERAGE(H12:Q12)</f>
        <v>689.6</v>
      </c>
      <c r="AC12" s="20">
        <f t="shared" ref="AC12:AC22" si="3">AVERAGE(O12:X12)</f>
        <v>697.36</v>
      </c>
      <c r="AD12" s="19"/>
      <c r="AE12" s="75">
        <f t="shared" ref="AE12:AE22" si="4">AVERAGE(N12:W12)</f>
        <v>689.46</v>
      </c>
      <c r="AF12" s="51">
        <f t="shared" ref="AF12:AF22" si="5">AVERAGE(M12:V12)</f>
        <v>682.18000000000006</v>
      </c>
      <c r="AG12" s="52">
        <f>AVERAGE(L12:U12)</f>
        <v>688.7</v>
      </c>
      <c r="AH12" s="52">
        <f t="shared" ref="AH12:AH22" si="6">AVERAGE(K12:T12)</f>
        <v>699.3</v>
      </c>
      <c r="AI12" s="52">
        <f t="shared" ref="AI12:AI22" si="7">AVERAGE(J12:S12)</f>
        <v>704.2</v>
      </c>
      <c r="AJ12" s="52">
        <f t="shared" si="0"/>
        <v>688.2</v>
      </c>
      <c r="AM12" s="33"/>
    </row>
    <row r="13" spans="1:39" x14ac:dyDescent="0.2">
      <c r="A13" s="6" t="s">
        <v>102</v>
      </c>
      <c r="B13" s="4">
        <v>655</v>
      </c>
      <c r="C13" s="4"/>
      <c r="D13" s="4">
        <v>683</v>
      </c>
      <c r="E13" s="4"/>
      <c r="F13" s="4">
        <v>633</v>
      </c>
      <c r="G13" s="4">
        <v>695</v>
      </c>
      <c r="H13" s="4">
        <v>656</v>
      </c>
      <c r="I13" s="4">
        <v>654</v>
      </c>
      <c r="J13" s="4">
        <v>594</v>
      </c>
      <c r="K13" s="4">
        <v>643</v>
      </c>
      <c r="L13" s="4">
        <v>694</v>
      </c>
      <c r="M13" s="4">
        <v>675</v>
      </c>
      <c r="N13" s="4">
        <v>556</v>
      </c>
      <c r="O13" s="4">
        <v>621</v>
      </c>
      <c r="P13" s="4">
        <v>572</v>
      </c>
      <c r="Q13" s="4">
        <v>603</v>
      </c>
      <c r="R13" s="4">
        <v>760</v>
      </c>
      <c r="S13" s="4">
        <v>743</v>
      </c>
      <c r="T13" s="40">
        <v>654</v>
      </c>
      <c r="U13" s="48">
        <v>690</v>
      </c>
      <c r="V13" s="48">
        <v>602</v>
      </c>
      <c r="W13" s="48">
        <f>615.4+22.1</f>
        <v>637.5</v>
      </c>
      <c r="X13" s="48">
        <f>630+15.8</f>
        <v>645.79999999999995</v>
      </c>
      <c r="Y13" s="48">
        <v>599.29999999999995</v>
      </c>
      <c r="Z13" s="4"/>
      <c r="AA13" s="19">
        <f t="shared" si="1"/>
        <v>636</v>
      </c>
      <c r="AB13" s="19">
        <f t="shared" si="2"/>
        <v>626.79999999999995</v>
      </c>
      <c r="AC13" s="20">
        <f t="shared" si="3"/>
        <v>652.83000000000004</v>
      </c>
      <c r="AD13" s="19"/>
      <c r="AE13" s="75">
        <f t="shared" si="4"/>
        <v>643.85</v>
      </c>
      <c r="AF13" s="51">
        <f t="shared" si="5"/>
        <v>647.6</v>
      </c>
      <c r="AG13" s="52">
        <f t="shared" ref="AG13:AG21" si="8">AVERAGE(L13:U13)</f>
        <v>656.8</v>
      </c>
      <c r="AH13" s="52">
        <f t="shared" si="6"/>
        <v>652.1</v>
      </c>
      <c r="AI13" s="52">
        <f t="shared" si="7"/>
        <v>646.1</v>
      </c>
      <c r="AJ13" s="52">
        <f t="shared" si="0"/>
        <v>637.20000000000005</v>
      </c>
      <c r="AM13" s="33"/>
    </row>
    <row r="14" spans="1:39" x14ac:dyDescent="0.2">
      <c r="A14" s="6" t="s">
        <v>103</v>
      </c>
      <c r="B14" s="4">
        <v>460</v>
      </c>
      <c r="C14" s="4"/>
      <c r="D14" s="4">
        <v>442</v>
      </c>
      <c r="E14" s="4"/>
      <c r="F14" s="4">
        <v>451</v>
      </c>
      <c r="G14" s="4">
        <v>483</v>
      </c>
      <c r="H14" s="4">
        <v>441</v>
      </c>
      <c r="I14" s="4">
        <v>406</v>
      </c>
      <c r="J14" s="4">
        <v>411</v>
      </c>
      <c r="K14" s="4">
        <v>491</v>
      </c>
      <c r="L14" s="4">
        <v>418</v>
      </c>
      <c r="M14" s="4">
        <v>420</v>
      </c>
      <c r="N14" s="4">
        <v>367</v>
      </c>
      <c r="O14" s="4">
        <v>420</v>
      </c>
      <c r="P14" s="4">
        <v>379</v>
      </c>
      <c r="Q14" s="4">
        <v>441</v>
      </c>
      <c r="R14" s="4">
        <v>453</v>
      </c>
      <c r="S14" s="4">
        <v>537</v>
      </c>
      <c r="T14" s="40">
        <v>475</v>
      </c>
      <c r="U14" s="48">
        <v>416</v>
      </c>
      <c r="V14" s="48">
        <v>445.1</v>
      </c>
      <c r="W14" s="48">
        <f>430.6+18.2</f>
        <v>448.8</v>
      </c>
      <c r="X14" s="48">
        <f>438.4+19.2</f>
        <v>457.59999999999997</v>
      </c>
      <c r="Y14" s="48">
        <v>405.5</v>
      </c>
      <c r="Z14" s="4"/>
      <c r="AA14" s="19">
        <f t="shared" si="1"/>
        <v>423.6</v>
      </c>
      <c r="AB14" s="19">
        <f t="shared" si="2"/>
        <v>419.4</v>
      </c>
      <c r="AC14" s="20">
        <f t="shared" si="3"/>
        <v>447.25</v>
      </c>
      <c r="AD14" s="19"/>
      <c r="AE14" s="75">
        <f t="shared" si="4"/>
        <v>438.18999999999994</v>
      </c>
      <c r="AF14" s="51">
        <f t="shared" si="5"/>
        <v>435.31000000000006</v>
      </c>
      <c r="AG14" s="52">
        <f t="shared" si="8"/>
        <v>432.6</v>
      </c>
      <c r="AH14" s="52">
        <f t="shared" si="6"/>
        <v>440.1</v>
      </c>
      <c r="AI14" s="52">
        <f t="shared" si="7"/>
        <v>433.7</v>
      </c>
      <c r="AJ14" s="52">
        <f t="shared" si="0"/>
        <v>420.6</v>
      </c>
      <c r="AM14" s="33"/>
    </row>
    <row r="15" spans="1:39" x14ac:dyDescent="0.2">
      <c r="A15" s="6" t="s">
        <v>2</v>
      </c>
      <c r="B15" s="4">
        <v>277</v>
      </c>
      <c r="C15" s="4"/>
      <c r="D15" s="4">
        <v>337</v>
      </c>
      <c r="E15" s="4"/>
      <c r="F15" s="4">
        <v>265</v>
      </c>
      <c r="G15" s="4">
        <v>310</v>
      </c>
      <c r="H15" s="4">
        <v>292</v>
      </c>
      <c r="I15" s="4">
        <v>314</v>
      </c>
      <c r="J15" s="4">
        <v>204</v>
      </c>
      <c r="K15" s="4">
        <v>308</v>
      </c>
      <c r="L15" s="4">
        <v>286</v>
      </c>
      <c r="M15" s="4">
        <v>245</v>
      </c>
      <c r="N15" s="4">
        <v>262</v>
      </c>
      <c r="O15" s="4">
        <v>259</v>
      </c>
      <c r="P15" s="4">
        <v>224</v>
      </c>
      <c r="Q15" s="4">
        <v>235</v>
      </c>
      <c r="R15" s="4">
        <v>308</v>
      </c>
      <c r="S15" s="4">
        <v>233</v>
      </c>
      <c r="T15" s="40">
        <v>259</v>
      </c>
      <c r="U15" s="48">
        <v>264</v>
      </c>
      <c r="V15" s="48">
        <v>279.89999999999998</v>
      </c>
      <c r="W15" s="48">
        <v>351.6</v>
      </c>
      <c r="X15" s="48">
        <f>274.3+13.9</f>
        <v>288.2</v>
      </c>
      <c r="Y15" s="48">
        <v>295.7</v>
      </c>
      <c r="Z15" s="4"/>
      <c r="AA15" s="19">
        <f t="shared" si="1"/>
        <v>270.39999999999998</v>
      </c>
      <c r="AB15" s="19">
        <f t="shared" si="2"/>
        <v>262.89999999999998</v>
      </c>
      <c r="AC15" s="20">
        <f t="shared" si="3"/>
        <v>270.16999999999996</v>
      </c>
      <c r="AD15" s="19"/>
      <c r="AE15" s="75">
        <f t="shared" si="4"/>
        <v>267.55</v>
      </c>
      <c r="AF15" s="51">
        <f t="shared" si="5"/>
        <v>256.89</v>
      </c>
      <c r="AG15" s="52">
        <f t="shared" si="8"/>
        <v>257.5</v>
      </c>
      <c r="AH15" s="52">
        <f t="shared" si="6"/>
        <v>261.89999999999998</v>
      </c>
      <c r="AI15" s="52">
        <f t="shared" si="7"/>
        <v>256.39999999999998</v>
      </c>
      <c r="AJ15" s="52">
        <f t="shared" si="0"/>
        <v>264.5</v>
      </c>
      <c r="AM15" s="33"/>
    </row>
    <row r="16" spans="1:39" x14ac:dyDescent="0.2">
      <c r="A16" s="6" t="s">
        <v>104</v>
      </c>
      <c r="B16" s="4">
        <v>114</v>
      </c>
      <c r="C16" s="4"/>
      <c r="D16" s="4">
        <v>81</v>
      </c>
      <c r="E16" s="4"/>
      <c r="F16" s="4">
        <v>161</v>
      </c>
      <c r="G16" s="4">
        <v>101</v>
      </c>
      <c r="H16" s="4">
        <v>149</v>
      </c>
      <c r="I16" s="4">
        <v>117</v>
      </c>
      <c r="J16" s="4">
        <v>55</v>
      </c>
      <c r="K16" s="4">
        <v>121</v>
      </c>
      <c r="L16" s="4">
        <v>95</v>
      </c>
      <c r="M16" s="4">
        <v>102</v>
      </c>
      <c r="N16" s="4">
        <v>114</v>
      </c>
      <c r="O16" s="4">
        <v>150</v>
      </c>
      <c r="P16" s="4">
        <v>119</v>
      </c>
      <c r="Q16" s="4">
        <v>107</v>
      </c>
      <c r="R16" s="4">
        <v>120</v>
      </c>
      <c r="S16" s="4">
        <v>163</v>
      </c>
      <c r="T16" s="40">
        <v>121</v>
      </c>
      <c r="U16" s="48">
        <v>94</v>
      </c>
      <c r="V16" s="48">
        <v>167.6</v>
      </c>
      <c r="W16" s="48">
        <f>101.5+0.2+1.8+2.4+0</f>
        <v>105.9</v>
      </c>
      <c r="X16" s="48">
        <v>102.6</v>
      </c>
      <c r="Y16" s="48">
        <v>51.9</v>
      </c>
      <c r="Z16" s="4"/>
      <c r="AA16" s="19">
        <f t="shared" si="1"/>
        <v>112.3</v>
      </c>
      <c r="AB16" s="19">
        <f t="shared" si="2"/>
        <v>112.9</v>
      </c>
      <c r="AC16" s="20">
        <f t="shared" si="3"/>
        <v>125.00999999999999</v>
      </c>
      <c r="AD16" s="19"/>
      <c r="AE16" s="75">
        <f t="shared" si="4"/>
        <v>126.15</v>
      </c>
      <c r="AF16" s="51">
        <f t="shared" si="5"/>
        <v>125.75999999999999</v>
      </c>
      <c r="AG16" s="52">
        <f t="shared" si="8"/>
        <v>118.5</v>
      </c>
      <c r="AH16" s="52">
        <f t="shared" si="6"/>
        <v>121.2</v>
      </c>
      <c r="AI16" s="52">
        <f t="shared" si="7"/>
        <v>114.6</v>
      </c>
      <c r="AJ16" s="52">
        <f t="shared" si="0"/>
        <v>110</v>
      </c>
      <c r="AM16" s="33"/>
    </row>
    <row r="17" spans="1:39" x14ac:dyDescent="0.2">
      <c r="A17" s="6" t="s">
        <v>105</v>
      </c>
      <c r="B17" s="4">
        <v>30</v>
      </c>
      <c r="C17" s="4"/>
      <c r="D17" s="4">
        <v>33</v>
      </c>
      <c r="E17" s="4"/>
      <c r="F17" s="4">
        <v>41</v>
      </c>
      <c r="G17" s="4">
        <v>6</v>
      </c>
      <c r="H17" s="4">
        <v>29</v>
      </c>
      <c r="I17" s="4">
        <v>29</v>
      </c>
      <c r="J17" s="4">
        <v>5</v>
      </c>
      <c r="K17" s="4">
        <v>29</v>
      </c>
      <c r="L17" s="4">
        <v>0</v>
      </c>
      <c r="M17" s="4">
        <v>42</v>
      </c>
      <c r="N17" s="4">
        <v>13</v>
      </c>
      <c r="O17" s="4">
        <v>21</v>
      </c>
      <c r="P17" s="4">
        <v>12</v>
      </c>
      <c r="Q17" s="4">
        <v>13</v>
      </c>
      <c r="R17" s="4">
        <v>1</v>
      </c>
      <c r="S17" s="40">
        <v>28</v>
      </c>
      <c r="T17" s="40">
        <v>30</v>
      </c>
      <c r="U17" s="48">
        <v>27</v>
      </c>
      <c r="V17" s="48">
        <v>14</v>
      </c>
      <c r="W17" s="48">
        <f>25.5</f>
        <v>25.5</v>
      </c>
      <c r="X17" s="48">
        <f>31.7+0</f>
        <v>31.7</v>
      </c>
      <c r="Y17" s="48">
        <v>40.6</v>
      </c>
      <c r="Z17" s="4"/>
      <c r="AA17" s="19">
        <f t="shared" si="1"/>
        <v>18.600000000000001</v>
      </c>
      <c r="AB17" s="19">
        <f t="shared" si="2"/>
        <v>19.3</v>
      </c>
      <c r="AC17" s="20">
        <f t="shared" si="3"/>
        <v>20.32</v>
      </c>
      <c r="AD17" s="19"/>
      <c r="AE17" s="75">
        <f t="shared" si="4"/>
        <v>18.45</v>
      </c>
      <c r="AF17" s="51">
        <f t="shared" si="5"/>
        <v>20.100000000000001</v>
      </c>
      <c r="AG17" s="52">
        <f t="shared" si="8"/>
        <v>18.7</v>
      </c>
      <c r="AH17" s="52">
        <f t="shared" si="6"/>
        <v>18.899999999999999</v>
      </c>
      <c r="AI17" s="52">
        <f t="shared" si="7"/>
        <v>16.399999999999999</v>
      </c>
      <c r="AJ17" s="52">
        <f t="shared" si="0"/>
        <v>16.5</v>
      </c>
      <c r="AM17" s="33"/>
    </row>
    <row r="18" spans="1:39" x14ac:dyDescent="0.2">
      <c r="A18" s="6" t="s">
        <v>106</v>
      </c>
      <c r="B18" s="4">
        <v>35</v>
      </c>
      <c r="C18" s="4"/>
      <c r="D18" s="4">
        <v>15</v>
      </c>
      <c r="E18" s="4"/>
      <c r="F18" s="4">
        <v>35</v>
      </c>
      <c r="G18" s="4">
        <v>33</v>
      </c>
      <c r="H18" s="4">
        <v>19</v>
      </c>
      <c r="I18" s="4">
        <v>17</v>
      </c>
      <c r="J18" s="4">
        <v>52</v>
      </c>
      <c r="K18" s="4">
        <v>38</v>
      </c>
      <c r="L18" s="4">
        <v>20</v>
      </c>
      <c r="M18" s="4">
        <v>30</v>
      </c>
      <c r="N18" s="4">
        <v>21</v>
      </c>
      <c r="O18" s="4">
        <v>14</v>
      </c>
      <c r="P18" s="4">
        <v>5</v>
      </c>
      <c r="Q18" s="4">
        <v>17</v>
      </c>
      <c r="R18" s="4">
        <v>28</v>
      </c>
      <c r="S18" s="40">
        <v>3</v>
      </c>
      <c r="T18" s="40">
        <v>23</v>
      </c>
      <c r="U18" s="48">
        <v>29</v>
      </c>
      <c r="V18" s="48">
        <v>9.4</v>
      </c>
      <c r="W18" s="48">
        <f>9.8+3.9+3.6</f>
        <v>17.3</v>
      </c>
      <c r="X18" s="48">
        <f>23.5+1</f>
        <v>24.5</v>
      </c>
      <c r="Y18" s="48">
        <v>12.2</v>
      </c>
      <c r="Z18" s="4"/>
      <c r="AA18" s="19">
        <f t="shared" si="1"/>
        <v>24.9</v>
      </c>
      <c r="AB18" s="19">
        <f t="shared" si="2"/>
        <v>23.3</v>
      </c>
      <c r="AC18" s="20">
        <f t="shared" si="3"/>
        <v>17.020000000000003</v>
      </c>
      <c r="AD18" s="19"/>
      <c r="AE18" s="75">
        <f t="shared" si="4"/>
        <v>16.670000000000002</v>
      </c>
      <c r="AF18" s="51">
        <f t="shared" si="5"/>
        <v>17.940000000000001</v>
      </c>
      <c r="AG18" s="52">
        <f t="shared" si="8"/>
        <v>19</v>
      </c>
      <c r="AH18" s="52">
        <f t="shared" si="6"/>
        <v>19.899999999999999</v>
      </c>
      <c r="AI18" s="52">
        <f t="shared" si="7"/>
        <v>22.8</v>
      </c>
      <c r="AJ18" s="52">
        <f t="shared" si="0"/>
        <v>24.2</v>
      </c>
      <c r="AM18" s="33"/>
    </row>
    <row r="19" spans="1:39" x14ac:dyDescent="0.2">
      <c r="A19" s="6" t="s">
        <v>107</v>
      </c>
      <c r="B19" s="4">
        <v>138</v>
      </c>
      <c r="C19" s="4"/>
      <c r="D19" s="4">
        <v>141</v>
      </c>
      <c r="E19" s="4"/>
      <c r="F19" s="4">
        <v>108</v>
      </c>
      <c r="G19" s="4">
        <v>68</v>
      </c>
      <c r="H19" s="4">
        <v>146</v>
      </c>
      <c r="I19" s="4">
        <v>82</v>
      </c>
      <c r="J19" s="4">
        <v>116</v>
      </c>
      <c r="K19" s="4">
        <v>120</v>
      </c>
      <c r="L19" s="4">
        <v>121</v>
      </c>
      <c r="M19" s="4">
        <v>135</v>
      </c>
      <c r="N19" s="4">
        <v>107</v>
      </c>
      <c r="O19" s="4">
        <v>90</v>
      </c>
      <c r="P19" s="4">
        <v>76</v>
      </c>
      <c r="Q19" s="4">
        <v>106</v>
      </c>
      <c r="R19" s="4">
        <v>118</v>
      </c>
      <c r="S19" s="40">
        <v>73</v>
      </c>
      <c r="T19" s="40">
        <v>101</v>
      </c>
      <c r="U19" s="48">
        <v>92</v>
      </c>
      <c r="V19" s="48">
        <v>125.7</v>
      </c>
      <c r="W19" s="48">
        <f>129.1+4.3+6.9+2.3</f>
        <v>142.60000000000002</v>
      </c>
      <c r="X19" s="48">
        <f>113.4</f>
        <v>113.4</v>
      </c>
      <c r="Y19" s="48">
        <v>68.599999999999994</v>
      </c>
      <c r="Z19" s="4"/>
      <c r="AA19" s="19">
        <f t="shared" si="1"/>
        <v>106.1</v>
      </c>
      <c r="AB19" s="19">
        <f t="shared" si="2"/>
        <v>109.9</v>
      </c>
      <c r="AC19" s="20">
        <f t="shared" si="3"/>
        <v>103.77000000000001</v>
      </c>
      <c r="AD19" s="19"/>
      <c r="AE19" s="75">
        <f t="shared" si="4"/>
        <v>103.13000000000002</v>
      </c>
      <c r="AF19" s="51">
        <f t="shared" si="5"/>
        <v>102.37</v>
      </c>
      <c r="AG19" s="52">
        <f t="shared" si="8"/>
        <v>101.9</v>
      </c>
      <c r="AH19" s="52">
        <f t="shared" si="6"/>
        <v>104.7</v>
      </c>
      <c r="AI19" s="52">
        <f t="shared" si="7"/>
        <v>106.2</v>
      </c>
      <c r="AJ19" s="52">
        <f t="shared" si="0"/>
        <v>107.1</v>
      </c>
      <c r="AM19" s="33"/>
    </row>
    <row r="20" spans="1:39" x14ac:dyDescent="0.2">
      <c r="A20" s="6" t="s">
        <v>108</v>
      </c>
      <c r="B20" s="4">
        <v>315</v>
      </c>
      <c r="C20" s="4"/>
      <c r="D20" s="4">
        <v>258</v>
      </c>
      <c r="E20" s="4"/>
      <c r="F20" s="4">
        <v>342</v>
      </c>
      <c r="G20" s="4">
        <v>258</v>
      </c>
      <c r="H20" s="4">
        <v>256</v>
      </c>
      <c r="I20" s="4">
        <v>247</v>
      </c>
      <c r="J20" s="4">
        <v>290</v>
      </c>
      <c r="K20" s="4">
        <v>248</v>
      </c>
      <c r="L20" s="4">
        <v>300</v>
      </c>
      <c r="M20" s="4">
        <v>345</v>
      </c>
      <c r="N20" s="4">
        <v>290</v>
      </c>
      <c r="O20" s="4">
        <v>249</v>
      </c>
      <c r="P20" s="4">
        <v>240</v>
      </c>
      <c r="Q20" s="4">
        <v>291</v>
      </c>
      <c r="R20" s="4">
        <v>228</v>
      </c>
      <c r="S20" s="40">
        <v>315</v>
      </c>
      <c r="T20" s="40">
        <v>255</v>
      </c>
      <c r="U20" s="48">
        <v>202.8</v>
      </c>
      <c r="V20" s="48">
        <v>338.7</v>
      </c>
      <c r="W20" s="48">
        <f>281.7+9.2+8</f>
        <v>298.89999999999998</v>
      </c>
      <c r="X20" s="48">
        <v>281.5</v>
      </c>
      <c r="Y20" s="73">
        <v>0</v>
      </c>
      <c r="Z20" s="4"/>
      <c r="AA20" s="19">
        <f t="shared" si="1"/>
        <v>272.3</v>
      </c>
      <c r="AB20" s="19">
        <f t="shared" si="2"/>
        <v>275.60000000000002</v>
      </c>
      <c r="AC20" s="20">
        <f t="shared" si="3"/>
        <v>269.99</v>
      </c>
      <c r="AD20" s="19"/>
      <c r="AE20" s="75">
        <f t="shared" si="4"/>
        <v>270.84000000000003</v>
      </c>
      <c r="AF20" s="51">
        <f t="shared" si="5"/>
        <v>275.45</v>
      </c>
      <c r="AG20" s="52">
        <f t="shared" si="8"/>
        <v>271.58000000000004</v>
      </c>
      <c r="AH20" s="52">
        <f t="shared" si="6"/>
        <v>276.10000000000002</v>
      </c>
      <c r="AI20" s="52">
        <f t="shared" si="7"/>
        <v>279.60000000000002</v>
      </c>
      <c r="AJ20" s="52">
        <f t="shared" si="0"/>
        <v>272.8</v>
      </c>
      <c r="AM20" s="33"/>
    </row>
    <row r="21" spans="1:39" x14ac:dyDescent="0.2">
      <c r="A21" s="6" t="s">
        <v>109</v>
      </c>
      <c r="B21" s="4">
        <v>471</v>
      </c>
      <c r="C21" s="4"/>
      <c r="D21" s="4">
        <v>467</v>
      </c>
      <c r="E21" s="4"/>
      <c r="F21" s="4">
        <v>486</v>
      </c>
      <c r="G21" s="4">
        <v>432</v>
      </c>
      <c r="H21" s="4">
        <v>462</v>
      </c>
      <c r="I21" s="4">
        <v>402</v>
      </c>
      <c r="J21" s="4">
        <v>374</v>
      </c>
      <c r="K21" s="4">
        <v>446</v>
      </c>
      <c r="L21" s="4">
        <v>421</v>
      </c>
      <c r="M21" s="4">
        <v>392</v>
      </c>
      <c r="N21" s="4">
        <v>429</v>
      </c>
      <c r="O21" s="4">
        <v>397</v>
      </c>
      <c r="P21" s="4">
        <v>424</v>
      </c>
      <c r="Q21" s="4">
        <v>472</v>
      </c>
      <c r="R21" s="4">
        <v>461</v>
      </c>
      <c r="S21" s="40">
        <v>420</v>
      </c>
      <c r="T21" s="40">
        <v>401</v>
      </c>
      <c r="U21" s="48">
        <v>439.7</v>
      </c>
      <c r="V21" s="53">
        <f>504.9+14.6</f>
        <v>519.5</v>
      </c>
      <c r="W21" s="48">
        <v>478.7</v>
      </c>
      <c r="X21" s="48">
        <f>380.5+16.7</f>
        <v>397.2</v>
      </c>
      <c r="Y21" s="73">
        <v>0</v>
      </c>
      <c r="Z21" s="4"/>
      <c r="AA21" s="19">
        <f t="shared" si="1"/>
        <v>417.9</v>
      </c>
      <c r="AB21" s="19">
        <f t="shared" si="2"/>
        <v>421.9</v>
      </c>
      <c r="AC21" s="20">
        <f t="shared" si="3"/>
        <v>441.00999999999993</v>
      </c>
      <c r="AD21" s="19"/>
      <c r="AE21" s="75">
        <f t="shared" si="4"/>
        <v>444.18999999999994</v>
      </c>
      <c r="AF21" s="51">
        <f t="shared" si="5"/>
        <v>435.52</v>
      </c>
      <c r="AG21" s="52">
        <f t="shared" si="8"/>
        <v>425.66999999999996</v>
      </c>
      <c r="AH21" s="52">
        <f t="shared" si="6"/>
        <v>426.3</v>
      </c>
      <c r="AI21" s="52">
        <f t="shared" si="7"/>
        <v>423.6</v>
      </c>
      <c r="AJ21" s="52">
        <f t="shared" si="0"/>
        <v>421.8</v>
      </c>
      <c r="AM21" s="33"/>
    </row>
    <row r="22" spans="1:39" x14ac:dyDescent="0.2">
      <c r="A22" s="6" t="s">
        <v>110</v>
      </c>
      <c r="B22" s="31">
        <v>685</v>
      </c>
      <c r="C22" s="4"/>
      <c r="D22" s="31">
        <v>610</v>
      </c>
      <c r="E22" s="4"/>
      <c r="F22" s="31">
        <v>677</v>
      </c>
      <c r="G22" s="31">
        <v>606</v>
      </c>
      <c r="H22" s="31">
        <v>654</v>
      </c>
      <c r="I22" s="31">
        <v>628</v>
      </c>
      <c r="J22" s="31">
        <v>592</v>
      </c>
      <c r="K22" s="31">
        <v>733</v>
      </c>
      <c r="L22" s="31">
        <v>620</v>
      </c>
      <c r="M22" s="31">
        <v>643</v>
      </c>
      <c r="N22" s="31">
        <v>515</v>
      </c>
      <c r="O22" s="31">
        <v>569</v>
      </c>
      <c r="P22" s="31">
        <v>589</v>
      </c>
      <c r="Q22" s="54">
        <v>744</v>
      </c>
      <c r="R22" s="31">
        <v>582</v>
      </c>
      <c r="S22" s="31">
        <v>545</v>
      </c>
      <c r="T22" s="54">
        <v>665</v>
      </c>
      <c r="U22" s="55">
        <v>695.4</v>
      </c>
      <c r="V22" s="55">
        <f>619.3+18.3+17.4+26+28</f>
        <v>708.99999999999989</v>
      </c>
      <c r="W22" s="56">
        <v>638.29999999999995</v>
      </c>
      <c r="X22" s="56">
        <v>525.6</v>
      </c>
      <c r="Y22" s="74">
        <v>0</v>
      </c>
      <c r="Z22" s="4"/>
      <c r="AA22" s="57">
        <f t="shared" si="1"/>
        <v>614.9</v>
      </c>
      <c r="AB22" s="57">
        <f t="shared" si="2"/>
        <v>628.70000000000005</v>
      </c>
      <c r="AC22" s="58">
        <f t="shared" si="3"/>
        <v>626.23</v>
      </c>
      <c r="AD22" s="19"/>
      <c r="AE22" s="76">
        <f t="shared" si="4"/>
        <v>625.16999999999996</v>
      </c>
      <c r="AF22" s="59">
        <f t="shared" si="5"/>
        <v>625.64</v>
      </c>
      <c r="AG22" s="60">
        <f>AVERAGE(L22:U22)</f>
        <v>616.74</v>
      </c>
      <c r="AH22" s="60">
        <f t="shared" si="6"/>
        <v>620.5</v>
      </c>
      <c r="AI22" s="60">
        <f t="shared" si="7"/>
        <v>613.20000000000005</v>
      </c>
      <c r="AJ22" s="60">
        <f t="shared" si="0"/>
        <v>621.5</v>
      </c>
      <c r="AM22" s="33"/>
    </row>
    <row r="23" spans="1:39" ht="15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1"/>
      <c r="Y23" s="61"/>
      <c r="Z23" s="4"/>
      <c r="AA23" s="4"/>
      <c r="AB23" s="4"/>
      <c r="AC23" s="62"/>
      <c r="AD23" s="36"/>
      <c r="AE23" s="63">
        <f t="shared" ref="AE23:AJ23" si="9">SUM(AE11:AE22)</f>
        <v>4393.9400000000005</v>
      </c>
      <c r="AF23" s="63">
        <f t="shared" si="9"/>
        <v>4385.9999999999991</v>
      </c>
      <c r="AG23" s="63">
        <f t="shared" si="9"/>
        <v>4365.29</v>
      </c>
      <c r="AH23" s="63">
        <f t="shared" si="9"/>
        <v>4401.1000000000004</v>
      </c>
      <c r="AI23" s="63">
        <f t="shared" si="9"/>
        <v>4368.2</v>
      </c>
      <c r="AJ23" s="63">
        <f t="shared" si="9"/>
        <v>4338.3</v>
      </c>
      <c r="AM23" s="33"/>
    </row>
    <row r="24" spans="1:39" ht="15" x14ac:dyDescent="0.25">
      <c r="A24" s="3"/>
      <c r="B24" s="64">
        <f t="shared" ref="B24:S24" si="10">SUM(B11:B22)</f>
        <v>4715</v>
      </c>
      <c r="C24" s="64"/>
      <c r="D24" s="64">
        <f t="shared" si="10"/>
        <v>4559</v>
      </c>
      <c r="E24" s="64"/>
      <c r="F24" s="64">
        <f t="shared" si="10"/>
        <v>4623</v>
      </c>
      <c r="G24" s="64">
        <f t="shared" si="10"/>
        <v>4617</v>
      </c>
      <c r="H24" s="64">
        <f t="shared" si="10"/>
        <v>4733</v>
      </c>
      <c r="I24" s="64">
        <f t="shared" si="10"/>
        <v>4448</v>
      </c>
      <c r="J24" s="64">
        <f t="shared" si="10"/>
        <v>3996</v>
      </c>
      <c r="K24" s="64">
        <f t="shared" si="10"/>
        <v>4677</v>
      </c>
      <c r="L24" s="64">
        <f t="shared" si="10"/>
        <v>4389</v>
      </c>
      <c r="M24" s="64">
        <f t="shared" si="10"/>
        <v>4559</v>
      </c>
      <c r="N24" s="64">
        <f t="shared" si="10"/>
        <v>3968</v>
      </c>
      <c r="O24" s="64">
        <f t="shared" si="10"/>
        <v>4231</v>
      </c>
      <c r="P24" s="64">
        <f t="shared" si="10"/>
        <v>4055</v>
      </c>
      <c r="Q24" s="64">
        <f t="shared" si="10"/>
        <v>4513</v>
      </c>
      <c r="R24" s="64">
        <f t="shared" si="10"/>
        <v>4547</v>
      </c>
      <c r="S24" s="64">
        <f t="shared" si="10"/>
        <v>4747</v>
      </c>
      <c r="T24" s="64">
        <f t="shared" ref="T24:Y24" si="11">SUM(T11:T22)</f>
        <v>4325</v>
      </c>
      <c r="U24" s="64">
        <f t="shared" si="11"/>
        <v>4318.8999999999996</v>
      </c>
      <c r="V24" s="64">
        <f t="shared" si="11"/>
        <v>4596.0999999999995</v>
      </c>
      <c r="W24" s="64">
        <f t="shared" si="11"/>
        <v>4638.4000000000005</v>
      </c>
      <c r="X24" s="19">
        <f t="shared" si="11"/>
        <v>4287.7999999999993</v>
      </c>
      <c r="Y24" s="19">
        <f t="shared" si="11"/>
        <v>2785.6999999999994</v>
      </c>
      <c r="Z24" s="19"/>
      <c r="AA24" s="19">
        <f>SUM(AA11:AA22)</f>
        <v>4367.3</v>
      </c>
      <c r="AB24" s="19">
        <f>SUM(AB11:AB22)</f>
        <v>4356.9000000000005</v>
      </c>
      <c r="AC24" s="65">
        <f>SUM(AC11:AC22)</f>
        <v>4425.92</v>
      </c>
      <c r="AD24" s="66"/>
      <c r="AE24" s="66"/>
      <c r="AF24" s="66"/>
      <c r="AM24" s="33"/>
    </row>
    <row r="25" spans="1:39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4"/>
      <c r="AE25" s="4"/>
      <c r="AF25" s="4"/>
      <c r="AM25" s="33"/>
    </row>
    <row r="26" spans="1:39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 t="s">
        <v>19</v>
      </c>
      <c r="W26" s="31"/>
      <c r="X26" s="31"/>
      <c r="Y26" s="31"/>
      <c r="Z26" s="31"/>
      <c r="AA26" s="57">
        <f>STDEV(G24:Q24)</f>
        <v>277.20835616422664</v>
      </c>
      <c r="AB26" s="57">
        <f>STDEV(H24:R24)</f>
        <v>271.99184479753001</v>
      </c>
      <c r="AC26" s="58">
        <f>STDEV(O24:X24)</f>
        <v>214.92514355778241</v>
      </c>
      <c r="AD26" s="19"/>
      <c r="AE26" s="19"/>
      <c r="AF26" s="19"/>
    </row>
    <row r="27" spans="1:39" x14ac:dyDescent="0.2">
      <c r="A27" s="1" t="s">
        <v>111</v>
      </c>
    </row>
    <row r="30" spans="1:39" x14ac:dyDescent="0.2">
      <c r="K30" s="1" t="s">
        <v>20</v>
      </c>
    </row>
    <row r="31" spans="1:39" x14ac:dyDescent="0.2">
      <c r="K31" s="1" t="s">
        <v>21</v>
      </c>
    </row>
  </sheetData>
  <mergeCells count="3">
    <mergeCell ref="A4:AC4"/>
    <mergeCell ref="A5:AC5"/>
    <mergeCell ref="AH8:AJ8"/>
  </mergeCells>
  <printOptions horizontalCentered="1"/>
  <pageMargins left="0.5" right="0.5" top="0.75" bottom="0.75" header="0.3" footer="0.3"/>
  <pageSetup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WNRA</vt:lpstr>
      <vt:lpstr>APPENDIX C -S1</vt:lpstr>
      <vt:lpstr>'APPENDIX C -S1'!Print_Area</vt:lpstr>
      <vt:lpstr>WNRA!Print_Area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2022-08-04T14:34:46Z</dcterms:modified>
</cp:coreProperties>
</file>