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rcury\FIN\Regulation\Applications and Filings\Storms\Fiona Sep 2022\Application for Recovery of Fiona Restoration Costs\"/>
    </mc:Choice>
  </mc:AlternateContent>
  <xr:revisionPtr revIDLastSave="0" documentId="13_ncr:1_{E12D1EEA-54BE-4A73-BD4D-378EC87535A8}" xr6:coauthVersionLast="36" xr6:coauthVersionMax="47" xr10:uidLastSave="{00000000-0000-0000-0000-000000000000}"/>
  <bookViews>
    <workbookView xWindow="-120" yWindow="-120" windowWidth="28215" windowHeight="15840" tabRatio="740" xr2:uid="{00000000-000D-0000-FFFF-FFFF00000000}"/>
  </bookViews>
  <sheets>
    <sheet name=" Depreciation" sheetId="1" r:id="rId1"/>
    <sheet name="Amortization" sheetId="11" r:id="rId2"/>
    <sheet name="Income Taxes" sheetId="3" r:id="rId3"/>
    <sheet name="Rate Base &amp; Cost Capital" sheetId="2" r:id="rId4"/>
    <sheet name="Revenue Requirement" sheetId="5" r:id="rId5"/>
    <sheet name="Proposed Distribution Rates" sheetId="13" r:id="rId6"/>
    <sheet name="Distribution Rate Impact" sheetId="6" r:id="rId7"/>
    <sheet name="Retirements" sheetId="12" state="hidden" r:id="rId8"/>
  </sheets>
  <externalReferences>
    <externalReference r:id="rId9"/>
    <externalReference r:id="rId10"/>
    <externalReference r:id="rId11"/>
  </externalReferences>
  <definedNames>
    <definedName name="_xlnm.Print_Area" localSheetId="0">' Depreciation'!$C$1:$E$35</definedName>
    <definedName name="_xlnm.Print_Area" localSheetId="1">Amortization!$C$1:$E$35</definedName>
    <definedName name="_xlnm.Print_Area" localSheetId="6">'Distribution Rate Impact'!$C$1:$E$20</definedName>
    <definedName name="_xlnm.Print_Area" localSheetId="2">'Income Taxes'!$C$1:$E$34</definedName>
    <definedName name="_xlnm.Print_Area" localSheetId="5">'Proposed Distribution Rates'!$A$1:$K$36</definedName>
    <definedName name="_xlnm.Print_Area" localSheetId="3">'Rate Base &amp; Cost Capital'!$C$1:$E$29</definedName>
    <definedName name="_xlnm.Print_Area" localSheetId="4">'Revenue Requirement'!$C$1:$E$13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E24" i="2"/>
  <c r="E8" i="11" l="1"/>
  <c r="C7" i="13" l="1"/>
  <c r="D7" i="13" s="1"/>
  <c r="E7" i="13" s="1"/>
  <c r="E5" i="11" l="1"/>
  <c r="E17" i="1"/>
  <c r="L8" i="1"/>
  <c r="K7" i="1"/>
  <c r="L7" i="1" s="1"/>
  <c r="J7" i="1"/>
  <c r="I7" i="1"/>
  <c r="K6" i="1"/>
  <c r="K9" i="1" s="1"/>
  <c r="J6" i="1"/>
  <c r="J9" i="1" s="1"/>
  <c r="I6" i="1"/>
  <c r="I9" i="1" s="1"/>
  <c r="E4" i="5" l="1"/>
  <c r="L6" i="1"/>
  <c r="L9" i="1" s="1"/>
  <c r="L10" i="1" s="1"/>
  <c r="E8" i="1" s="1"/>
  <c r="E9" i="6"/>
  <c r="E11" i="6" s="1"/>
  <c r="E4" i="6"/>
  <c r="E7" i="6" l="1"/>
  <c r="E6" i="6"/>
  <c r="G27" i="13"/>
  <c r="E23" i="13"/>
  <c r="K23" i="13" s="1"/>
  <c r="D23" i="13"/>
  <c r="J23" i="13" s="1"/>
  <c r="C23" i="13"/>
  <c r="B23" i="13"/>
  <c r="E22" i="13"/>
  <c r="K22" i="13" s="1"/>
  <c r="D22" i="13"/>
  <c r="J22" i="13" s="1"/>
  <c r="C22" i="13"/>
  <c r="B22" i="13"/>
  <c r="E21" i="13"/>
  <c r="K21" i="13" s="1"/>
  <c r="D21" i="13"/>
  <c r="J21" i="13" s="1"/>
  <c r="C21" i="13"/>
  <c r="B21" i="13"/>
  <c r="K19" i="13"/>
  <c r="E18" i="13"/>
  <c r="K18" i="13" s="1"/>
  <c r="D18" i="13"/>
  <c r="D20" i="13" s="1"/>
  <c r="C18" i="13"/>
  <c r="C20" i="13" s="1"/>
  <c r="B18" i="13"/>
  <c r="B20" i="13" s="1"/>
  <c r="K17" i="13"/>
  <c r="K27" i="13" s="1"/>
  <c r="J17" i="13"/>
  <c r="J27" i="13" s="1"/>
  <c r="F17" i="13"/>
  <c r="F27" i="13" s="1"/>
  <c r="E17" i="13"/>
  <c r="E27" i="13" s="1"/>
  <c r="D17" i="13"/>
  <c r="D27" i="13" s="1"/>
  <c r="C17" i="13"/>
  <c r="C27" i="13" s="1"/>
  <c r="B17" i="13"/>
  <c r="B27" i="13" s="1"/>
  <c r="E14" i="13"/>
  <c r="D14" i="13"/>
  <c r="C14" i="13"/>
  <c r="B14" i="13"/>
  <c r="E13" i="13"/>
  <c r="D13" i="13"/>
  <c r="C13" i="13"/>
  <c r="B13" i="13"/>
  <c r="E12" i="13"/>
  <c r="D12" i="13"/>
  <c r="C12" i="13"/>
  <c r="B12" i="13"/>
  <c r="E11" i="13"/>
  <c r="D11" i="13"/>
  <c r="C11" i="13"/>
  <c r="B11" i="13"/>
  <c r="E10" i="13"/>
  <c r="D10" i="13"/>
  <c r="C10" i="13"/>
  <c r="B10" i="13"/>
  <c r="E9" i="13"/>
  <c r="D9" i="13"/>
  <c r="C9" i="13"/>
  <c r="B9" i="13"/>
  <c r="E8" i="13"/>
  <c r="D8" i="13"/>
  <c r="C8" i="13"/>
  <c r="B8" i="13"/>
  <c r="F12" i="13" l="1"/>
  <c r="G12" i="13" s="1"/>
  <c r="F14" i="13"/>
  <c r="G14" i="13" s="1"/>
  <c r="B24" i="13"/>
  <c r="B30" i="13" s="1"/>
  <c r="F10" i="13"/>
  <c r="G10" i="13" s="1"/>
  <c r="F8" i="13"/>
  <c r="G8" i="13" s="1"/>
  <c r="K20" i="13"/>
  <c r="K24" i="13" s="1"/>
  <c r="C24" i="13"/>
  <c r="C30" i="13" s="1"/>
  <c r="D24" i="13"/>
  <c r="D31" i="13" s="1"/>
  <c r="F9" i="13"/>
  <c r="G9" i="13" s="1"/>
  <c r="F11" i="13"/>
  <c r="G11" i="13" s="1"/>
  <c r="F13" i="13"/>
  <c r="G13" i="13" s="1"/>
  <c r="J18" i="13"/>
  <c r="J20" i="13" s="1"/>
  <c r="J24" i="13" s="1"/>
  <c r="F23" i="13"/>
  <c r="F18" i="13"/>
  <c r="J8" i="13"/>
  <c r="J9" i="13"/>
  <c r="J10" i="13"/>
  <c r="J11" i="13"/>
  <c r="J12" i="13"/>
  <c r="J13" i="13"/>
  <c r="J14" i="13"/>
  <c r="K8" i="13"/>
  <c r="K10" i="13"/>
  <c r="K12" i="13"/>
  <c r="K13" i="13"/>
  <c r="K9" i="13"/>
  <c r="K11" i="13"/>
  <c r="K14" i="13"/>
  <c r="E20" i="13"/>
  <c r="E24" i="13" s="1"/>
  <c r="F24" i="13" s="1"/>
  <c r="B33" i="13" l="1"/>
  <c r="K30" i="13"/>
  <c r="B29" i="13"/>
  <c r="B32" i="13"/>
  <c r="B31" i="13"/>
  <c r="K31" i="13"/>
  <c r="K29" i="13"/>
  <c r="B28" i="13"/>
  <c r="K34" i="13"/>
  <c r="B34" i="13"/>
  <c r="K33" i="13"/>
  <c r="D29" i="13"/>
  <c r="C33" i="13"/>
  <c r="C28" i="13"/>
  <c r="D32" i="13"/>
  <c r="D34" i="13"/>
  <c r="C34" i="13"/>
  <c r="C32" i="13"/>
  <c r="C31" i="13"/>
  <c r="C29" i="13"/>
  <c r="D30" i="13"/>
  <c r="K32" i="13"/>
  <c r="D28" i="13"/>
  <c r="K28" i="13"/>
  <c r="D33" i="13"/>
  <c r="J34" i="13"/>
  <c r="J33" i="13"/>
  <c r="J32" i="13"/>
  <c r="J28" i="13"/>
  <c r="J31" i="13"/>
  <c r="E30" i="13"/>
  <c r="F30" i="13" s="1"/>
  <c r="G30" i="13" s="1"/>
  <c r="E29" i="13"/>
  <c r="E28" i="13"/>
  <c r="E33" i="13"/>
  <c r="E34" i="13"/>
  <c r="E32" i="13"/>
  <c r="F32" i="13" s="1"/>
  <c r="G32" i="13" s="1"/>
  <c r="J30" i="13"/>
  <c r="E31" i="13"/>
  <c r="F31" i="13" s="1"/>
  <c r="G31" i="13" s="1"/>
  <c r="J29" i="13"/>
  <c r="F34" i="13" l="1"/>
  <c r="G34" i="13" s="1"/>
  <c r="F29" i="13"/>
  <c r="G29" i="13" s="1"/>
  <c r="F33" i="13"/>
  <c r="G33" i="13" s="1"/>
  <c r="F28" i="13"/>
  <c r="G28" i="13" s="1"/>
  <c r="D6" i="12"/>
  <c r="C4" i="12" l="1"/>
  <c r="D4" i="12" s="1"/>
  <c r="D3" i="12" l="1"/>
  <c r="D7" i="12" s="1"/>
  <c r="E5" i="1" l="1"/>
  <c r="E19" i="11"/>
  <c r="E22" i="11" s="1"/>
  <c r="E24" i="11" l="1"/>
  <c r="E28" i="11" s="1"/>
  <c r="E10" i="11"/>
  <c r="E26" i="11" l="1"/>
  <c r="E14" i="11"/>
  <c r="E16" i="11" l="1"/>
  <c r="E4" i="2" s="1"/>
  <c r="C11" i="3"/>
  <c r="E24" i="1" l="1"/>
  <c r="E27" i="1" s="1"/>
  <c r="E12" i="1" l="1"/>
  <c r="C4" i="3" l="1"/>
  <c r="E2" i="6" l="1"/>
  <c r="E2" i="5" l="1"/>
  <c r="E2" i="3"/>
  <c r="E2" i="2"/>
  <c r="E6" i="1" l="1"/>
  <c r="E4" i="3" s="1"/>
  <c r="E6" i="3" l="1"/>
  <c r="E8" i="3"/>
  <c r="E9" i="1"/>
  <c r="E12" i="3" s="1"/>
  <c r="E28" i="3" l="1"/>
  <c r="E11" i="3"/>
  <c r="E18" i="1"/>
  <c r="E14" i="3"/>
  <c r="E19" i="1"/>
  <c r="E21" i="1" s="1"/>
  <c r="E14" i="1"/>
  <c r="E3" i="2" l="1"/>
  <c r="E29" i="1"/>
  <c r="E33" i="1" s="1"/>
  <c r="E27" i="3" s="1"/>
  <c r="E32" i="3" s="1"/>
  <c r="E31" i="1" l="1"/>
  <c r="E3" i="5"/>
  <c r="E16" i="3" l="1"/>
  <c r="E5" i="2" s="1"/>
  <c r="E6" i="2" s="1"/>
  <c r="E8" i="2" l="1"/>
  <c r="E26" i="2" l="1"/>
  <c r="E10" i="2"/>
  <c r="E11" i="2"/>
  <c r="E21" i="3" s="1"/>
  <c r="E5" i="5" l="1"/>
  <c r="E22" i="3"/>
  <c r="E12" i="2"/>
  <c r="E19" i="3" s="1"/>
  <c r="E23" i="3" s="1"/>
  <c r="E6" i="5"/>
  <c r="E26" i="3" l="1"/>
  <c r="E29" i="3" s="1"/>
  <c r="E31" i="3" s="1"/>
  <c r="E33" i="3" s="1"/>
  <c r="E7" i="5" l="1"/>
  <c r="E8" i="5" s="1"/>
  <c r="E10" i="5" l="1"/>
</calcChain>
</file>

<file path=xl/sharedStrings.xml><?xml version="1.0" encoding="utf-8"?>
<sst xmlns="http://schemas.openxmlformats.org/spreadsheetml/2006/main" count="392" uniqueCount="261">
  <si>
    <t>Ref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</si>
  <si>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</si>
  <si>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</si>
  <si>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</si>
  <si>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</si>
  <si>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</si>
  <si>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</si>
  <si>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</si>
  <si>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</si>
  <si>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</si>
  <si>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</si>
  <si>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Depreciation Expense</t>
  </si>
  <si>
    <t>12</t>
  </si>
  <si>
    <t>13</t>
  </si>
  <si>
    <t>14</t>
  </si>
  <si>
    <t>15</t>
  </si>
  <si>
    <t>16</t>
  </si>
  <si>
    <t>Accumulated Depreciation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</si>
  <si>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</si>
  <si>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</si>
  <si>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</si>
  <si>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</si>
  <si>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</si>
  <si>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</si>
  <si>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</si>
  <si>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</si>
  <si>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</si>
  <si>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</si>
  <si>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</si>
  <si>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</si>
  <si>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</si>
  <si>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</si>
  <si>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</si>
  <si>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</si>
  <si>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</si>
  <si>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</si>
  <si>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Future Income Taxes</t>
  </si>
  <si>
    <t>4</t>
  </si>
  <si>
    <t xml:space="preserve">  Debt</t>
  </si>
  <si>
    <t xml:space="preserve">  Common Equity</t>
  </si>
  <si>
    <t xml:space="preserve">  Cost of Debt</t>
  </si>
  <si>
    <t xml:space="preserve">  Cost of Common Equity</t>
  </si>
  <si>
    <t>ref</t>
  </si>
  <si>
    <t>Ending UCC</t>
  </si>
  <si>
    <t>35</t>
  </si>
  <si>
    <t>36</t>
  </si>
  <si>
    <t>37</t>
  </si>
  <si>
    <t>38</t>
  </si>
  <si>
    <t>39</t>
  </si>
  <si>
    <t>40</t>
  </si>
  <si>
    <t>Depreciation</t>
  </si>
  <si>
    <t>Future Tax Rate</t>
  </si>
  <si>
    <t>Add: Depreciation</t>
  </si>
  <si>
    <t>Corporate Tax Rate</t>
  </si>
  <si>
    <t>Capital Cost Allowance</t>
  </si>
  <si>
    <t>Income Taxes</t>
  </si>
  <si>
    <t>Return on Rate Base</t>
  </si>
  <si>
    <t>Customer Contributions</t>
  </si>
  <si>
    <t>Depreciation Expense - Contributions</t>
  </si>
  <si>
    <t xml:space="preserve">  Amortization of Customer Contributions</t>
  </si>
  <si>
    <t>Return on Debt</t>
  </si>
  <si>
    <t>Return on Common Equity</t>
  </si>
  <si>
    <t>Debt Return</t>
  </si>
  <si>
    <t>WA Cost of Debt</t>
  </si>
  <si>
    <t>WA Cost of Common Equity</t>
  </si>
  <si>
    <t>Capital Investment</t>
  </si>
  <si>
    <t xml:space="preserve">  Capital Investment</t>
  </si>
  <si>
    <t xml:space="preserve">  Costs of Removal (Note 3)</t>
  </si>
  <si>
    <t xml:space="preserve">  Total Return On Rate Base</t>
  </si>
  <si>
    <t>Less: CCA</t>
  </si>
  <si>
    <t>Net Book Value, Capital Investment</t>
  </si>
  <si>
    <t>Total Income Tax Expense</t>
  </si>
  <si>
    <t>Return on Equity</t>
  </si>
  <si>
    <t>Income Taxes (000s)</t>
  </si>
  <si>
    <t>Income Tax Effects of Increased Return</t>
  </si>
  <si>
    <t>Rate Base &amp; Cost of Capital (000s)</t>
  </si>
  <si>
    <t xml:space="preserve">  Plant Investment for Depreciation</t>
  </si>
  <si>
    <t>Annual</t>
  </si>
  <si>
    <t xml:space="preserve">  Annual Contributions</t>
  </si>
  <si>
    <t xml:space="preserve">  Total Capital Investment</t>
  </si>
  <si>
    <t xml:space="preserve"> Total Change in Accumulated Depreciation</t>
  </si>
  <si>
    <t>Depreciation (000s)</t>
  </si>
  <si>
    <t xml:space="preserve">  Projected Rate Base</t>
  </si>
  <si>
    <t>C = A + B</t>
  </si>
  <si>
    <t>D</t>
  </si>
  <si>
    <t>E = C X D</t>
  </si>
  <si>
    <t>A</t>
  </si>
  <si>
    <t>F</t>
  </si>
  <si>
    <t>G = A + F</t>
  </si>
  <si>
    <t>E</t>
  </si>
  <si>
    <t>I = H + E</t>
  </si>
  <si>
    <t>K</t>
  </si>
  <si>
    <t>L = F X K</t>
  </si>
  <si>
    <t>B</t>
  </si>
  <si>
    <t>C</t>
  </si>
  <si>
    <t>I</t>
  </si>
  <si>
    <t>J</t>
  </si>
  <si>
    <t>L</t>
  </si>
  <si>
    <t>M</t>
  </si>
  <si>
    <t>Reference</t>
  </si>
  <si>
    <t>A = J from Page 1</t>
  </si>
  <si>
    <t>Weighted Average Cost of Capital ("WACC")</t>
  </si>
  <si>
    <t>Net Book Value (NBV) - Customer Contributions</t>
  </si>
  <si>
    <t>Net Book Value (NBV) - Plant Investment</t>
  </si>
  <si>
    <t>M = F - L</t>
  </si>
  <si>
    <t>J = C - I</t>
  </si>
  <si>
    <t>N = E + L</t>
  </si>
  <si>
    <t>D = A + B + C</t>
  </si>
  <si>
    <t>F = D X O</t>
  </si>
  <si>
    <t>G = D X P</t>
  </si>
  <si>
    <t>H = F + G</t>
  </si>
  <si>
    <t>N</t>
  </si>
  <si>
    <t>O = I X K X M/ N</t>
  </si>
  <si>
    <t>P = J X L X M/ N</t>
  </si>
  <si>
    <t>R</t>
  </si>
  <si>
    <t>Q = O + P</t>
  </si>
  <si>
    <t xml:space="preserve">  Estimated Annual Project Revenue Requirement </t>
  </si>
  <si>
    <t>E = D / R</t>
  </si>
  <si>
    <t>A = N from Page 1</t>
  </si>
  <si>
    <t>Forecast Increase Annual Cost Benchmark Residential Customer (650 kWh per month) before tax</t>
  </si>
  <si>
    <t>Forecast Increase Annual Cost Benchmark General Service Customer (10,000 kWh per month) before tax</t>
  </si>
  <si>
    <t>Estimated Impact on Rate Base, Revenue Requirement and Customer Rates</t>
  </si>
  <si>
    <t>Future Income Tax Expense</t>
  </si>
  <si>
    <t>Future Income Tax Liability</t>
  </si>
  <si>
    <t>Income Tax Expense</t>
  </si>
  <si>
    <t>Current Income Tax Expense</t>
  </si>
  <si>
    <t xml:space="preserve">  Depreciation Rate</t>
  </si>
  <si>
    <t>TOTAL</t>
  </si>
  <si>
    <t xml:space="preserve">POLES AND FIXTURES                           </t>
  </si>
  <si>
    <t xml:space="preserve">OVERHEAD CONDUCTORS                          </t>
  </si>
  <si>
    <t>ANNUAL</t>
  </si>
  <si>
    <t>ACCRUAL</t>
  </si>
  <si>
    <t>AMOUNT</t>
  </si>
  <si>
    <t>RESERVE</t>
  </si>
  <si>
    <t>VARIANCE</t>
  </si>
  <si>
    <t>AMORTIZATION</t>
  </si>
  <si>
    <t xml:space="preserve"> DEPRECIATION</t>
  </si>
  <si>
    <t>ORIGINAL COST</t>
  </si>
  <si>
    <t>DEPRECIABLE GROUP</t>
  </si>
  <si>
    <t>Composite Depreciation Rate</t>
  </si>
  <si>
    <t>From Table 3 of 2020 Depreciation Study</t>
  </si>
  <si>
    <t>G = C - E + F</t>
  </si>
  <si>
    <t>I = G X H</t>
  </si>
  <si>
    <t>P = M + N + O</t>
  </si>
  <si>
    <t>Q</t>
  </si>
  <si>
    <t>R = P X Q</t>
  </si>
  <si>
    <t xml:space="preserve">M </t>
  </si>
  <si>
    <t>S = (N + O) X Q</t>
  </si>
  <si>
    <t>T = R + S</t>
  </si>
  <si>
    <t>LINE TRANSFORMERS</t>
  </si>
  <si>
    <t xml:space="preserve">A </t>
  </si>
  <si>
    <t>Amortization of Regulatory Deferral</t>
  </si>
  <si>
    <t>Net Book Value, Regulatory Deferral</t>
  </si>
  <si>
    <t>B = N from Page 2</t>
  </si>
  <si>
    <t>C = F from Page 4</t>
  </si>
  <si>
    <t>D = G from Page 4</t>
  </si>
  <si>
    <t>G = F / H</t>
  </si>
  <si>
    <t>H</t>
  </si>
  <si>
    <t>Asset</t>
  </si>
  <si>
    <t>Number Replaced</t>
  </si>
  <si>
    <t>Average Cost</t>
  </si>
  <si>
    <t>Retirement Value</t>
  </si>
  <si>
    <t>Poles (#)</t>
  </si>
  <si>
    <t>Conductor (km)</t>
  </si>
  <si>
    <t>Fibre</t>
  </si>
  <si>
    <t>Transformers (#)</t>
  </si>
  <si>
    <t xml:space="preserve">  Retirements</t>
  </si>
  <si>
    <t>Tax Gross Up on Equity Return</t>
  </si>
  <si>
    <t>% Increase over 2024 Forecast Annual Cost for Rural Residential Customer</t>
  </si>
  <si>
    <t>% Increase over 2024 Forecast Annual Cost for Urban Residential Customer</t>
  </si>
  <si>
    <t>% Increase over 2024 Forecast Annual Cost for General Service Customer</t>
  </si>
  <si>
    <t xml:space="preserve"> 2024 Annual Cost Benchmark Rural Residential Customer (650 kWh per month) excluding tax per Negotiated Settlement Agreement.</t>
  </si>
  <si>
    <t>2024 Annual Cost Benchmark General Service Customer (10,000 kWh per month) excluding tax  per Negotiated Settlement Agreement</t>
  </si>
  <si>
    <t xml:space="preserve">Forecast 2024 Revenue Requirement* </t>
  </si>
  <si>
    <t>Total 2024 Depreciation Expense (Net of Contributions)</t>
  </si>
  <si>
    <t xml:space="preserve">  Customer Contributions</t>
  </si>
  <si>
    <t xml:space="preserve">  Amortization Rate (5 Year)</t>
  </si>
  <si>
    <t>* 2024 total revenue requirement per negotiated settlement agreement is $260,578,000.</t>
  </si>
  <si>
    <t xml:space="preserve">  Capital Investment - Fiona Restoration</t>
  </si>
  <si>
    <t>* Per Negotiated Settlement Agreement.</t>
  </si>
  <si>
    <t>Forecast 2024 Average Capitalization (Total Debt plus Common Equity)</t>
  </si>
  <si>
    <t>Forecast 2024 Average Rate Base*</t>
  </si>
  <si>
    <t>Forecast 2024 WACC</t>
  </si>
  <si>
    <t>Forecast 2024 Year End Rate Base *</t>
  </si>
  <si>
    <t xml:space="preserve">  Year 1 Depreciation Expense - first full year of depreciation</t>
  </si>
  <si>
    <t xml:space="preserve">  Year 1 Amortization</t>
  </si>
  <si>
    <t>Total Year 1 Amortization Expense (Net of Contributions)</t>
  </si>
  <si>
    <t>CCA Deductions Year 1</t>
  </si>
  <si>
    <t xml:space="preserve"> Accumulated Depreciation, Year 1</t>
  </si>
  <si>
    <t xml:space="preserve"> Accumulated Amortiziation, Year 1</t>
  </si>
  <si>
    <t>Accumulated Depreciation, Year 1</t>
  </si>
  <si>
    <t>Annual Project Revenue Requirement (000s)</t>
  </si>
  <si>
    <t>% Increase Forecast Annual Revenue Requirement</t>
  </si>
  <si>
    <t>Energy Charge per kWh - Revenue Requirement (A)</t>
  </si>
  <si>
    <t>Proposed Fiona Adjustment</t>
  </si>
  <si>
    <t>Cumulative Change over 2022 Rates</t>
  </si>
  <si>
    <t>Average Annual Variance</t>
  </si>
  <si>
    <t>Adjustment for Fiona Recovery</t>
  </si>
  <si>
    <t>Revised 2024F</t>
  </si>
  <si>
    <t>Revised 2025F</t>
  </si>
  <si>
    <t>Residential - First Block</t>
  </si>
  <si>
    <t>Residential - Second Block</t>
  </si>
  <si>
    <t>General Service - First Block</t>
  </si>
  <si>
    <t>General Service - Second Block</t>
  </si>
  <si>
    <t>Small Industrial - First Block</t>
  </si>
  <si>
    <t>Small Industrial - Second Block</t>
  </si>
  <si>
    <t>Large Industrial</t>
  </si>
  <si>
    <t>Energy Charges per kWh - Other Amounts (B)</t>
  </si>
  <si>
    <t>ECAM Charge per kWh</t>
  </si>
  <si>
    <t xml:space="preserve"> Subtotal -  Total ECAM Charge per kWh</t>
  </si>
  <si>
    <t>RORA/2020 Revenue Deferral Refund per kWh</t>
  </si>
  <si>
    <t>n/a</t>
  </si>
  <si>
    <t>Provincial Costs Recoverable per kWh</t>
  </si>
  <si>
    <t>Provincial Energy Efficiency Program per kWh</t>
  </si>
  <si>
    <t xml:space="preserve">  Total Energy Charge per kWh Excluding Basic Revenue</t>
  </si>
  <si>
    <t>Total Energy Charge per kWh (A+B) - Option  - Negotiated Settlement Agreement</t>
  </si>
  <si>
    <t>* Rate changes effective March 1.</t>
  </si>
  <si>
    <t>A = 650 kWh X Fiona Rate Change X 12 months</t>
  </si>
  <si>
    <t>D = 10,000 kWh X Fiona Rate Changes X 12 months</t>
  </si>
  <si>
    <t>G</t>
  </si>
  <si>
    <t>E = D / H</t>
  </si>
  <si>
    <t>B = A / F</t>
  </si>
  <si>
    <t>C = A / G</t>
  </si>
  <si>
    <t xml:space="preserve">  Operating Costs and Carrying ChargesDeferred </t>
  </si>
  <si>
    <t>Deferral Amortization (000s)</t>
  </si>
  <si>
    <t>Net Book Value (NBV) - Regulatory Deferral</t>
  </si>
  <si>
    <t xml:space="preserve">  Less: Customer Contributions Assumed to be Nil</t>
  </si>
  <si>
    <t>Capital Cost Allowance ("CCA") Rate - Assumes Class 47</t>
  </si>
  <si>
    <t>C = A x B x 150%</t>
  </si>
  <si>
    <t>D = A - C</t>
  </si>
  <si>
    <t>Total % Increase from 2024 Forecast Year End Rate Base</t>
  </si>
  <si>
    <t>Total Asset Retirements</t>
  </si>
  <si>
    <t>Total Asset Retirements Related to Fiona</t>
  </si>
  <si>
    <t>October 1, 2023 ECAM Adjustment</t>
  </si>
  <si>
    <t>Cost of Removal deducted immediately for tax</t>
  </si>
  <si>
    <t>C = A x B</t>
  </si>
  <si>
    <t>E = A + D</t>
  </si>
  <si>
    <t>Difference CCA/Depreciation and Cost of Removal</t>
  </si>
  <si>
    <t xml:space="preserve">  Depreciation Rate (Note 1)</t>
  </si>
  <si>
    <t>Note 1</t>
  </si>
  <si>
    <t>E = - N from Page 1</t>
  </si>
  <si>
    <t>N = N from Page 1</t>
  </si>
  <si>
    <t>Taxable Income</t>
  </si>
  <si>
    <t>B = G from Page 2</t>
  </si>
  <si>
    <t>C = I  from Page 3</t>
  </si>
  <si>
    <t>E = T from Page 3</t>
  </si>
  <si>
    <t>F = A + B + C + D + E</t>
  </si>
  <si>
    <t xml:space="preserve">  Less: Customer Contributions (assumed to be nil)</t>
  </si>
  <si>
    <t>I = D X H</t>
  </si>
  <si>
    <t>J = D - I</t>
  </si>
  <si>
    <t>K = C + I</t>
  </si>
  <si>
    <t>J = H from Page 4</t>
  </si>
  <si>
    <t>L = F from Page 4</t>
  </si>
  <si>
    <t>A = C from Page 1</t>
  </si>
  <si>
    <t>K = G from Page 4 / (1-H) * H</t>
  </si>
  <si>
    <t>M = J + K + L</t>
  </si>
  <si>
    <t>O = C</t>
  </si>
  <si>
    <t>G = E - F</t>
  </si>
  <si>
    <t>Composition of Total Energy Charge per kWh by Rate Class 
Effective March 1, 2024 &amp; 2025</t>
  </si>
  <si>
    <t>Negotiated Settlement Rates</t>
  </si>
  <si>
    <t>Customer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</si>
</sst>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&quot;$&quot;* #,##0.0000_);_(&quot;$&quot;* \(#,##0.00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u val="doubleAccounting"/>
      <sz val="8"/>
      <name val="Arial"/>
      <family val="2"/>
    </font>
    <font>
      <b/>
      <u/>
      <sz val="8"/>
      <name val="Arial"/>
      <family val="2"/>
    </font>
    <font>
      <b/>
      <u val="double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2" fillId="0" borderId="0" xfId="2" applyNumberFormat="1" applyFont="1"/>
    <xf numFmtId="0" fontId="5" fillId="0" borderId="0" xfId="0" applyFont="1"/>
    <xf numFmtId="43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0" borderId="0" xfId="0" applyFont="1"/>
    <xf numFmtId="0" fontId="7" fillId="0" borderId="4" xfId="0" applyFont="1" applyBorder="1"/>
    <xf numFmtId="0" fontId="7" fillId="0" borderId="3" xfId="0" applyFont="1" applyBorder="1"/>
    <xf numFmtId="165" fontId="9" fillId="0" borderId="4" xfId="3" applyNumberFormat="1" applyFont="1" applyBorder="1" applyAlignment="1">
      <alignment horizontal="left"/>
    </xf>
    <xf numFmtId="164" fontId="9" fillId="0" borderId="4" xfId="1" applyNumberFormat="1" applyFont="1" applyBorder="1" applyAlignment="1">
      <alignment horizontal="left"/>
    </xf>
    <xf numFmtId="0" fontId="6" fillId="0" borderId="3" xfId="0" applyFont="1" applyBorder="1"/>
    <xf numFmtId="0" fontId="6" fillId="0" borderId="4" xfId="0" applyFont="1" applyBorder="1"/>
    <xf numFmtId="0" fontId="12" fillId="0" borderId="3" xfId="0" applyFont="1" applyBorder="1"/>
    <xf numFmtId="0" fontId="14" fillId="0" borderId="3" xfId="0" applyFont="1" applyBorder="1"/>
    <xf numFmtId="0" fontId="6" fillId="0" borderId="5" xfId="0" applyFont="1" applyBorder="1"/>
    <xf numFmtId="0" fontId="6" fillId="0" borderId="7" xfId="0" applyFont="1" applyBorder="1"/>
    <xf numFmtId="0" fontId="7" fillId="3" borderId="4" xfId="0" applyFont="1" applyFill="1" applyBorder="1"/>
    <xf numFmtId="0" fontId="12" fillId="2" borderId="3" xfId="0" applyFont="1" applyFill="1" applyBorder="1"/>
    <xf numFmtId="0" fontId="7" fillId="2" borderId="4" xfId="0" applyFont="1" applyFill="1" applyBorder="1"/>
    <xf numFmtId="0" fontId="7" fillId="3" borderId="3" xfId="0" applyFont="1" applyFill="1" applyBorder="1"/>
    <xf numFmtId="164" fontId="9" fillId="3" borderId="4" xfId="1" applyNumberFormat="1" applyFont="1" applyFill="1" applyBorder="1" applyAlignment="1">
      <alignment horizontal="left"/>
    </xf>
    <xf numFmtId="164" fontId="10" fillId="3" borderId="4" xfId="1" applyNumberFormat="1" applyFont="1" applyFill="1" applyBorder="1" applyAlignment="1">
      <alignment horizontal="left"/>
    </xf>
    <xf numFmtId="165" fontId="9" fillId="3" borderId="4" xfId="3" applyNumberFormat="1" applyFont="1" applyFill="1" applyBorder="1" applyAlignment="1">
      <alignment horizontal="left"/>
    </xf>
    <xf numFmtId="10" fontId="11" fillId="3" borderId="4" xfId="2" applyNumberFormat="1" applyFont="1" applyFill="1" applyBorder="1" applyAlignment="1">
      <alignment horizontal="right"/>
    </xf>
    <xf numFmtId="0" fontId="6" fillId="3" borderId="3" xfId="0" applyFont="1" applyFill="1" applyBorder="1"/>
    <xf numFmtId="0" fontId="6" fillId="3" borderId="4" xfId="0" applyFont="1" applyFill="1" applyBorder="1"/>
    <xf numFmtId="0" fontId="6" fillId="2" borderId="4" xfId="0" applyFont="1" applyFill="1" applyBorder="1"/>
    <xf numFmtId="165" fontId="13" fillId="2" borderId="4" xfId="3" applyNumberFormat="1" applyFont="1" applyFill="1" applyBorder="1" applyAlignment="1">
      <alignment horizontal="left"/>
    </xf>
    <xf numFmtId="165" fontId="7" fillId="0" borderId="4" xfId="3" applyNumberFormat="1" applyFont="1" applyBorder="1"/>
    <xf numFmtId="164" fontId="15" fillId="0" borderId="4" xfId="1" applyNumberFormat="1" applyFont="1" applyBorder="1"/>
    <xf numFmtId="164" fontId="7" fillId="0" borderId="4" xfId="1" applyNumberFormat="1" applyFont="1" applyBorder="1"/>
    <xf numFmtId="164" fontId="15" fillId="0" borderId="4" xfId="0" applyNumberFormat="1" applyFont="1" applyBorder="1"/>
    <xf numFmtId="164" fontId="7" fillId="0" borderId="4" xfId="0" applyNumberFormat="1" applyFont="1" applyBorder="1"/>
    <xf numFmtId="10" fontId="16" fillId="3" borderId="4" xfId="2" applyNumberFormat="1" applyFont="1" applyFill="1" applyBorder="1"/>
    <xf numFmtId="164" fontId="15" fillId="0" borderId="4" xfId="1" applyNumberFormat="1" applyFont="1" applyFill="1" applyBorder="1"/>
    <xf numFmtId="165" fontId="12" fillId="0" borderId="4" xfId="3" applyNumberFormat="1" applyFont="1" applyBorder="1"/>
    <xf numFmtId="10" fontId="12" fillId="2" borderId="4" xfId="2" applyNumberFormat="1" applyFont="1" applyFill="1" applyBorder="1"/>
    <xf numFmtId="10" fontId="7" fillId="0" borderId="4" xfId="2" applyNumberFormat="1" applyFont="1" applyBorder="1"/>
    <xf numFmtId="10" fontId="16" fillId="0" borderId="4" xfId="2" applyNumberFormat="1" applyFont="1" applyBorder="1"/>
    <xf numFmtId="0" fontId="7" fillId="0" borderId="5" xfId="0" applyFont="1" applyBorder="1"/>
    <xf numFmtId="164" fontId="7" fillId="0" borderId="4" xfId="1" applyNumberFormat="1" applyFont="1" applyFill="1" applyBorder="1"/>
    <xf numFmtId="0" fontId="7" fillId="0" borderId="7" xfId="0" applyFont="1" applyBorder="1"/>
    <xf numFmtId="0" fontId="7" fillId="0" borderId="0" xfId="0" quotePrefix="1" applyFo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wrapText="1"/>
    </xf>
    <xf numFmtId="44" fontId="7" fillId="0" borderId="4" xfId="3" applyFont="1" applyBorder="1"/>
    <xf numFmtId="10" fontId="7" fillId="0" borderId="0" xfId="2" applyNumberFormat="1" applyFont="1"/>
    <xf numFmtId="165" fontId="12" fillId="2" borderId="4" xfId="3" applyNumberFormat="1" applyFont="1" applyFill="1" applyBorder="1"/>
    <xf numFmtId="0" fontId="12" fillId="2" borderId="3" xfId="0" applyFont="1" applyFill="1" applyBorder="1" applyAlignment="1">
      <alignment wrapText="1"/>
    </xf>
    <xf numFmtId="44" fontId="12" fillId="2" borderId="4" xfId="3" applyFont="1" applyFill="1" applyBorder="1"/>
    <xf numFmtId="0" fontId="12" fillId="4" borderId="1" xfId="0" applyFont="1" applyFill="1" applyBorder="1" applyAlignment="1">
      <alignment vertical="center"/>
    </xf>
    <xf numFmtId="0" fontId="12" fillId="4" borderId="2" xfId="0" quotePrefix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10" fontId="7" fillId="3" borderId="4" xfId="2" applyNumberFormat="1" applyFont="1" applyFill="1" applyBorder="1"/>
    <xf numFmtId="0" fontId="18" fillId="0" borderId="0" xfId="0" applyFont="1"/>
    <xf numFmtId="0" fontId="7" fillId="0" borderId="6" xfId="0" applyFont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3" fontId="7" fillId="0" borderId="0" xfId="1" applyFont="1"/>
    <xf numFmtId="0" fontId="19" fillId="0" borderId="3" xfId="0" applyFont="1" applyBorder="1"/>
    <xf numFmtId="0" fontId="20" fillId="2" borderId="3" xfId="0" applyFont="1" applyFill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65" fontId="12" fillId="2" borderId="7" xfId="3" applyNumberFormat="1" applyFont="1" applyFill="1" applyBorder="1"/>
    <xf numFmtId="165" fontId="7" fillId="0" borderId="7" xfId="3" applyNumberFormat="1" applyFont="1" applyBorder="1"/>
    <xf numFmtId="0" fontId="7" fillId="3" borderId="5" xfId="0" applyFont="1" applyFill="1" applyBorder="1"/>
    <xf numFmtId="0" fontId="7" fillId="3" borderId="6" xfId="0" applyFont="1" applyFill="1" applyBorder="1" applyAlignment="1">
      <alignment horizontal="center"/>
    </xf>
    <xf numFmtId="165" fontId="13" fillId="3" borderId="7" xfId="3" applyNumberFormat="1" applyFont="1" applyFill="1" applyBorder="1" applyAlignment="1">
      <alignment horizontal="left"/>
    </xf>
    <xf numFmtId="164" fontId="2" fillId="0" borderId="7" xfId="1" applyNumberFormat="1" applyFont="1" applyBorder="1"/>
    <xf numFmtId="0" fontId="14" fillId="0" borderId="1" xfId="0" applyFont="1" applyBorder="1"/>
    <xf numFmtId="0" fontId="14" fillId="0" borderId="8" xfId="0" applyFont="1" applyBorder="1" applyAlignment="1">
      <alignment horizontal="center"/>
    </xf>
    <xf numFmtId="164" fontId="17" fillId="0" borderId="2" xfId="1" applyNumberFormat="1" applyFont="1" applyBorder="1" applyAlignment="1">
      <alignment horizontal="left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7" fillId="0" borderId="2" xfId="0" applyFont="1" applyBorder="1"/>
    <xf numFmtId="164" fontId="9" fillId="0" borderId="4" xfId="1" applyNumberFormat="1" applyFont="1" applyFill="1" applyBorder="1" applyAlignment="1">
      <alignment horizontal="left"/>
    </xf>
    <xf numFmtId="165" fontId="13" fillId="0" borderId="4" xfId="3" applyNumberFormat="1" applyFont="1" applyFill="1" applyBorder="1" applyAlignment="1">
      <alignment horizontal="left"/>
    </xf>
    <xf numFmtId="166" fontId="7" fillId="3" borderId="4" xfId="2" applyNumberFormat="1" applyFont="1" applyFill="1" applyBorder="1"/>
    <xf numFmtId="0" fontId="12" fillId="0" borderId="3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4" fillId="2" borderId="5" xfId="0" applyFont="1" applyFill="1" applyBorder="1"/>
    <xf numFmtId="0" fontId="14" fillId="0" borderId="5" xfId="0" applyFont="1" applyBorder="1"/>
    <xf numFmtId="0" fontId="14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44" fontId="0" fillId="0" borderId="0" xfId="0" applyNumberFormat="1"/>
    <xf numFmtId="0" fontId="14" fillId="0" borderId="0" xfId="0" applyFont="1"/>
    <xf numFmtId="10" fontId="23" fillId="0" borderId="6" xfId="2" applyNumberFormat="1" applyFont="1" applyBorder="1" applyAlignment="1">
      <alignment horizontal="center"/>
    </xf>
    <xf numFmtId="14" fontId="2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10" fontId="28" fillId="0" borderId="1" xfId="2" applyNumberFormat="1" applyFont="1" applyBorder="1"/>
    <xf numFmtId="10" fontId="23" fillId="0" borderId="8" xfId="2" applyNumberFormat="1" applyFont="1" applyBorder="1"/>
    <xf numFmtId="0" fontId="23" fillId="0" borderId="8" xfId="0" applyFont="1" applyBorder="1"/>
    <xf numFmtId="0" fontId="23" fillId="0" borderId="8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/>
    <xf numFmtId="10" fontId="23" fillId="0" borderId="0" xfId="2" applyNumberFormat="1" applyFont="1" applyBorder="1"/>
    <xf numFmtId="0" fontId="23" fillId="0" borderId="4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164" fontId="23" fillId="0" borderId="0" xfId="0" applyNumberFormat="1" applyFont="1"/>
    <xf numFmtId="164" fontId="23" fillId="0" borderId="4" xfId="0" applyNumberFormat="1" applyFont="1" applyBorder="1"/>
    <xf numFmtId="164" fontId="24" fillId="0" borderId="0" xfId="0" applyNumberFormat="1" applyFont="1"/>
    <xf numFmtId="164" fontId="24" fillId="0" borderId="4" xfId="0" applyNumberFormat="1" applyFont="1" applyBorder="1"/>
    <xf numFmtId="164" fontId="27" fillId="0" borderId="0" xfId="0" applyNumberFormat="1" applyFont="1"/>
    <xf numFmtId="164" fontId="27" fillId="0" borderId="4" xfId="0" applyNumberFormat="1" applyFont="1" applyBorder="1"/>
    <xf numFmtId="10" fontId="25" fillId="0" borderId="5" xfId="2" applyNumberFormat="1" applyFont="1" applyBorder="1"/>
    <xf numFmtId="10" fontId="23" fillId="0" borderId="6" xfId="2" applyNumberFormat="1" applyFont="1" applyBorder="1"/>
    <xf numFmtId="0" fontId="23" fillId="0" borderId="6" xfId="0" applyFont="1" applyBorder="1"/>
    <xf numFmtId="10" fontId="29" fillId="0" borderId="7" xfId="2" applyNumberFormat="1" applyFont="1" applyBorder="1"/>
    <xf numFmtId="10" fontId="7" fillId="0" borderId="3" xfId="0" applyNumberFormat="1" applyFont="1" applyBorder="1"/>
    <xf numFmtId="43" fontId="0" fillId="0" borderId="0" xfId="1" applyFont="1"/>
    <xf numFmtId="164" fontId="0" fillId="0" borderId="0" xfId="1" applyNumberFormat="1" applyFont="1"/>
    <xf numFmtId="165" fontId="0" fillId="0" borderId="0" xfId="0" applyNumberFormat="1"/>
    <xf numFmtId="164" fontId="0" fillId="0" borderId="6" xfId="1" applyNumberFormat="1" applyFont="1" applyBorder="1"/>
    <xf numFmtId="165" fontId="0" fillId="0" borderId="14" xfId="0" applyNumberFormat="1" applyBorder="1"/>
    <xf numFmtId="166" fontId="12" fillId="0" borderId="4" xfId="2" applyNumberFormat="1" applyFont="1" applyBorder="1"/>
    <xf numFmtId="166" fontId="7" fillId="0" borderId="4" xfId="2" applyNumberFormat="1" applyFont="1" applyBorder="1"/>
    <xf numFmtId="166" fontId="7" fillId="0" borderId="4" xfId="0" applyNumberFormat="1" applyFont="1" applyBorder="1"/>
    <xf numFmtId="166" fontId="12" fillId="0" borderId="4" xfId="3" applyNumberFormat="1" applyFont="1" applyFill="1" applyBorder="1"/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4" borderId="10" xfId="0" applyFont="1" applyFill="1" applyBorder="1"/>
    <xf numFmtId="0" fontId="2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wrapText="1"/>
    </xf>
    <xf numFmtId="0" fontId="26" fillId="4" borderId="10" xfId="0" applyFont="1" applyFill="1" applyBorder="1" applyAlignment="1">
      <alignment horizontal="center" wrapText="1"/>
    </xf>
    <xf numFmtId="43" fontId="6" fillId="5" borderId="9" xfId="0" applyNumberFormat="1" applyFont="1" applyFill="1" applyBorder="1"/>
    <xf numFmtId="167" fontId="6" fillId="0" borderId="9" xfId="3" applyNumberFormat="1" applyFont="1" applyBorder="1"/>
    <xf numFmtId="166" fontId="6" fillId="0" borderId="9" xfId="2" applyNumberFormat="1" applyFont="1" applyBorder="1"/>
    <xf numFmtId="166" fontId="6" fillId="0" borderId="10" xfId="2" applyNumberFormat="1" applyFont="1" applyBorder="1"/>
    <xf numFmtId="167" fontId="6" fillId="0" borderId="10" xfId="0" applyNumberFormat="1" applyFont="1" applyBorder="1"/>
    <xf numFmtId="43" fontId="6" fillId="5" borderId="10" xfId="0" applyNumberFormat="1" applyFont="1" applyFill="1" applyBorder="1"/>
    <xf numFmtId="0" fontId="26" fillId="4" borderId="11" xfId="0" applyFont="1" applyFill="1" applyBorder="1" applyAlignment="1">
      <alignment horizontal="center"/>
    </xf>
    <xf numFmtId="10" fontId="6" fillId="0" borderId="9" xfId="2" applyNumberFormat="1" applyFont="1" applyBorder="1"/>
    <xf numFmtId="167" fontId="6" fillId="0" borderId="0" xfId="0" applyNumberFormat="1" applyFont="1"/>
    <xf numFmtId="167" fontId="26" fillId="0" borderId="10" xfId="0" applyNumberFormat="1" applyFont="1" applyBorder="1"/>
    <xf numFmtId="166" fontId="19" fillId="0" borderId="10" xfId="2" applyNumberFormat="1" applyFont="1" applyBorder="1" applyAlignment="1">
      <alignment horizontal="center"/>
    </xf>
    <xf numFmtId="164" fontId="26" fillId="5" borderId="10" xfId="1" applyNumberFormat="1" applyFont="1" applyFill="1" applyBorder="1" applyAlignment="1">
      <alignment horizontal="left"/>
    </xf>
    <xf numFmtId="10" fontId="26" fillId="0" borderId="10" xfId="2" applyNumberFormat="1" applyFont="1" applyBorder="1"/>
    <xf numFmtId="43" fontId="26" fillId="4" borderId="5" xfId="0" applyNumberFormat="1" applyFont="1" applyFill="1" applyBorder="1" applyAlignment="1">
      <alignment horizontal="center"/>
    </xf>
    <xf numFmtId="43" fontId="26" fillId="4" borderId="13" xfId="0" applyNumberFormat="1" applyFont="1" applyFill="1" applyBorder="1" applyAlignment="1">
      <alignment horizontal="center" wrapText="1"/>
    </xf>
    <xf numFmtId="167" fontId="6" fillId="0" borderId="10" xfId="3" applyNumberFormat="1" applyFont="1" applyBorder="1"/>
    <xf numFmtId="43" fontId="6" fillId="0" borderId="0" xfId="0" applyNumberFormat="1" applyFont="1"/>
    <xf numFmtId="164" fontId="9" fillId="0" borderId="7" xfId="1" applyNumberFormat="1" applyFont="1" applyBorder="1" applyAlignment="1">
      <alignment horizontal="left"/>
    </xf>
    <xf numFmtId="164" fontId="23" fillId="0" borderId="3" xfId="0" applyNumberFormat="1" applyFont="1" applyBorder="1"/>
    <xf numFmtId="9" fontId="7" fillId="0" borderId="7" xfId="2" applyFont="1" applyBorder="1"/>
    <xf numFmtId="165" fontId="7" fillId="0" borderId="4" xfId="1" applyNumberFormat="1" applyFont="1" applyBorder="1"/>
    <xf numFmtId="165" fontId="7" fillId="0" borderId="4" xfId="1" applyNumberFormat="1" applyFont="1" applyFill="1" applyBorder="1"/>
    <xf numFmtId="165" fontId="15" fillId="0" borderId="4" xfId="1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15" xfId="0" applyFont="1" applyBorder="1"/>
    <xf numFmtId="0" fontId="2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3" fontId="26" fillId="4" borderId="11" xfId="0" applyNumberFormat="1" applyFont="1" applyFill="1" applyBorder="1" applyAlignment="1">
      <alignment horizontal="center" wrapText="1"/>
    </xf>
    <xf numFmtId="43" fontId="26" fillId="4" borderId="12" xfId="0" applyNumberFormat="1" applyFont="1" applyFill="1" applyBorder="1" applyAlignment="1">
      <alignment horizontal="center" wrapText="1"/>
    </xf>
    <xf numFmtId="43" fontId="26" fillId="4" borderId="13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 wrapText="1"/>
    </xf>
    <xf numFmtId="0" fontId="26" fillId="4" borderId="12" xfId="0" applyFont="1" applyFill="1" applyBorder="1" applyAlignment="1">
      <alignment horizontal="center" wrapText="1"/>
    </xf>
    <xf numFmtId="0" fontId="26" fillId="4" borderId="13" xfId="0" applyFont="1" applyFill="1" applyBorder="1" applyAlignment="1">
      <alignment horizontal="center" wrapText="1"/>
    </xf>
    <xf numFmtId="43" fontId="26" fillId="4" borderId="11" xfId="0" applyNumberFormat="1" applyFont="1" applyFill="1" applyBorder="1" applyAlignment="1">
      <alignment horizontal="center"/>
    </xf>
    <xf numFmtId="43" fontId="26" fillId="4" borderId="12" xfId="0" applyNumberFormat="1" applyFont="1" applyFill="1" applyBorder="1" applyAlignment="1">
      <alignment horizontal="center"/>
    </xf>
    <xf numFmtId="43" fontId="26" fillId="4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users\FIN\Regulation\Studies\Depreciation%20Studies\Depreciation%20Study%202020\MEC%202020%20Depr%20Summary,%205-12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users\FIN\Regulation\Applications%20and%20Filings\Rate%20Applications\2022\GRA%20Forecast\GRA%20Base%20Case%20March%202022\Supporting%20Tables%20and%20Schedu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users\FIN\Regulation\Applications%20and%20Filings\Rate%20Applications\2022\ROE%20Negotiations\FINAL%20NEG%20SETTLEMENT%20GRA%20Base%20Case%20March%202022%20-%209.35%25%20ROE%20-%20Smoothing\Supporting%20Tables%20and%20Sched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2"/>
      <sheetName val="Table3"/>
      <sheetName val="Table 4 - Impact"/>
    </sheetNames>
    <sheetDataSet>
      <sheetData sheetId="0"/>
      <sheetData sheetId="1"/>
      <sheetData sheetId="2">
        <row r="54">
          <cell r="H54">
            <v>79149678.579999998</v>
          </cell>
          <cell r="J54">
            <v>2899253</v>
          </cell>
          <cell r="L54">
            <v>142877</v>
          </cell>
        </row>
        <row r="55">
          <cell r="H55">
            <v>115298396.09</v>
          </cell>
          <cell r="J55">
            <v>3804847</v>
          </cell>
          <cell r="L55">
            <v>248899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-1"/>
      <sheetName val="Tables Section 3.2.2"/>
      <sheetName val="Tables Section 4"/>
      <sheetName val="Tables Section 5.1 - 5.2"/>
      <sheetName val="Section 5.3 Reg Deferrals"/>
      <sheetName val="Section 6"/>
      <sheetName val="Section 7.2 Proposed Rates"/>
      <sheetName val="Section 7.3 Customer Impact"/>
      <sheetName val="Energy Supply"/>
      <sheetName val="T &amp; D"/>
      <sheetName val="General"/>
      <sheetName val="Other Revenue &amp; Costs"/>
      <sheetName val="ROE, Capital Structure, Divds"/>
      <sheetName val="ECAM Account"/>
      <sheetName val="Other Reg Def"/>
      <sheetName val="Rate Base"/>
      <sheetName val="Energy Sales &amp; Revenue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H5">
            <v>0.14499999999999999</v>
          </cell>
        </row>
        <row r="6">
          <cell r="H6">
            <v>0.11459999999999999</v>
          </cell>
        </row>
        <row r="7">
          <cell r="H7">
            <v>0.1789</v>
          </cell>
        </row>
        <row r="8">
          <cell r="H8">
            <v>0.1159</v>
          </cell>
        </row>
        <row r="9">
          <cell r="H9">
            <v>0.17519999999999999</v>
          </cell>
        </row>
        <row r="10">
          <cell r="H10">
            <v>8.6800000000000002E-2</v>
          </cell>
        </row>
        <row r="11">
          <cell r="H11">
            <v>6.9800000000000001E-2</v>
          </cell>
        </row>
        <row r="17">
          <cell r="H17">
            <v>4.0200000000000001E-3</v>
          </cell>
        </row>
        <row r="18">
          <cell r="H18">
            <v>-6.9999999999999999E-4</v>
          </cell>
        </row>
        <row r="19">
          <cell r="H19">
            <v>3.5999999999999999E-3</v>
          </cell>
        </row>
        <row r="20">
          <cell r="H20">
            <v>1.2999999999999999E-3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-1"/>
      <sheetName val="Tables Section 3.2.2"/>
      <sheetName val="Tables Section 4"/>
      <sheetName val="Tables Section 5.1 - 5.2"/>
      <sheetName val="Section 5.3 Reg Deferrals"/>
      <sheetName val="Section 6"/>
      <sheetName val="Section 7.2 Proposed Rates"/>
      <sheetName val="Section 7.3 Customer Impact"/>
      <sheetName val="Energy Supply"/>
      <sheetName val="T &amp; D"/>
      <sheetName val="General"/>
      <sheetName val="Other Revenue &amp; Costs"/>
      <sheetName val="ROE, Capital Structure, Divds"/>
      <sheetName val="ECAM Account"/>
      <sheetName val="Other Reg Def"/>
      <sheetName val="Rate Base"/>
      <sheetName val="Energy Sales &amp; Revenue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I5">
            <v>0.15540000000000001</v>
          </cell>
          <cell r="J5">
            <v>0.16020000000000001</v>
          </cell>
          <cell r="K5">
            <v>0.1663</v>
          </cell>
        </row>
        <row r="6">
          <cell r="I6">
            <v>0.1229</v>
          </cell>
          <cell r="J6">
            <v>0.12670000000000001</v>
          </cell>
          <cell r="K6">
            <v>0.13150000000000001</v>
          </cell>
        </row>
        <row r="7">
          <cell r="I7">
            <v>0.19189999999999999</v>
          </cell>
          <cell r="J7">
            <v>0.1978</v>
          </cell>
          <cell r="K7">
            <v>0.20530000000000001</v>
          </cell>
        </row>
        <row r="8">
          <cell r="I8">
            <v>0.12429999999999999</v>
          </cell>
          <cell r="J8">
            <v>0.12809999999999999</v>
          </cell>
          <cell r="K8">
            <v>0.13289999999999999</v>
          </cell>
        </row>
        <row r="9">
          <cell r="I9">
            <v>0.18779999999999999</v>
          </cell>
          <cell r="J9">
            <v>0.19359999999999999</v>
          </cell>
          <cell r="K9">
            <v>0.2009</v>
          </cell>
        </row>
        <row r="10">
          <cell r="I10">
            <v>9.3100000000000002E-2</v>
          </cell>
          <cell r="J10">
            <v>9.5899999999999999E-2</v>
          </cell>
          <cell r="K10">
            <v>9.9500000000000005E-2</v>
          </cell>
        </row>
        <row r="11">
          <cell r="I11">
            <v>7.6999999999999999E-2</v>
          </cell>
          <cell r="J11">
            <v>7.9699999999999993E-2</v>
          </cell>
          <cell r="K11">
            <v>8.3000000000000004E-2</v>
          </cell>
        </row>
        <row r="17">
          <cell r="I17">
            <v>5.8900000000000003E-3</v>
          </cell>
          <cell r="J17">
            <v>2.8700000000000002E-3</v>
          </cell>
          <cell r="K17">
            <v>1.4499999999999999E-3</v>
          </cell>
        </row>
        <row r="18">
          <cell r="I18">
            <v>-1.9499999999999999E-3</v>
          </cell>
          <cell r="J18">
            <v>0</v>
          </cell>
          <cell r="K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</row>
        <row r="20">
          <cell r="I20">
            <v>0</v>
          </cell>
          <cell r="J20">
            <v>3.3E-4</v>
          </cell>
          <cell r="K20">
            <v>1.2099999999999999E-3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9"/>
  <sheetViews>
    <sheetView tabSelected="1" showRuler="0" topLeftCell="C1" zoomScaleNormal="100" workbookViewId="0">
      <selection activeCell="H17" sqref="H17"/>
    </sheetView>
  </sheetViews>
  <sheetFormatPr defaultRowHeight="15" x14ac:dyDescent="0.25"/>
  <cols>
    <col min="1" max="1" width="3" hidden="1" customWidth="1"/>
    <col min="2" max="2" width="3.5703125" hidden="1" customWidth="1"/>
    <col min="3" max="3" width="83.5703125" style="11" customWidth="1"/>
    <col min="4" max="4" width="20.42578125" style="69" bestFit="1" customWidth="1"/>
    <col min="5" max="5" width="12.28515625" style="11" bestFit="1" customWidth="1"/>
    <col min="6" max="6" width="7.5703125" customWidth="1"/>
    <col min="7" max="7" width="9.5703125" customWidth="1"/>
    <col min="8" max="8" width="32.7109375" bestFit="1" customWidth="1"/>
    <col min="9" max="9" width="12.28515625" bestFit="1" customWidth="1"/>
    <col min="10" max="10" width="9" bestFit="1" customWidth="1"/>
    <col min="11" max="11" width="12" bestFit="1" customWidth="1"/>
    <col min="12" max="12" width="11.7109375" bestFit="1" customWidth="1"/>
  </cols>
  <sheetData>
    <row r="1" spans="1:12" ht="21" customHeight="1" x14ac:dyDescent="0.25">
      <c r="A1" s="1"/>
      <c r="B1" s="1"/>
      <c r="C1" s="171" t="s">
        <v>121</v>
      </c>
      <c r="D1" s="171"/>
      <c r="E1" s="171"/>
    </row>
    <row r="2" spans="1:12" ht="25.15" customHeight="1" x14ac:dyDescent="0.25">
      <c r="A2" s="2"/>
      <c r="B2" s="3" t="s">
        <v>0</v>
      </c>
      <c r="C2" s="56" t="s">
        <v>81</v>
      </c>
      <c r="D2" s="62" t="s">
        <v>99</v>
      </c>
      <c r="E2" s="57" t="s">
        <v>77</v>
      </c>
      <c r="G2" s="167" t="s">
        <v>239</v>
      </c>
      <c r="H2" s="168"/>
      <c r="I2" s="168"/>
      <c r="J2" s="168"/>
      <c r="K2" s="168"/>
      <c r="L2" s="169"/>
    </row>
    <row r="3" spans="1:12" x14ac:dyDescent="0.25">
      <c r="A3" s="2" t="s">
        <v>1</v>
      </c>
      <c r="B3" s="4"/>
      <c r="C3" s="23" t="s">
        <v>11</v>
      </c>
      <c r="D3" s="64"/>
      <c r="E3" s="24"/>
      <c r="G3" s="108" t="s">
        <v>140</v>
      </c>
      <c r="H3" s="109"/>
      <c r="I3" s="110"/>
      <c r="J3" s="111" t="s">
        <v>130</v>
      </c>
      <c r="K3" s="111" t="s">
        <v>133</v>
      </c>
      <c r="L3" s="112" t="s">
        <v>127</v>
      </c>
    </row>
    <row r="4" spans="1:12" x14ac:dyDescent="0.25">
      <c r="A4" s="2" t="s">
        <v>2</v>
      </c>
      <c r="B4" s="4"/>
      <c r="C4" s="25" t="s">
        <v>178</v>
      </c>
      <c r="D4" s="67" t="s">
        <v>150</v>
      </c>
      <c r="E4" s="94">
        <v>14755.81936</v>
      </c>
      <c r="G4" s="113"/>
      <c r="H4" s="114"/>
      <c r="I4" s="102" t="s">
        <v>137</v>
      </c>
      <c r="J4" s="102" t="s">
        <v>131</v>
      </c>
      <c r="K4" s="102" t="s">
        <v>134</v>
      </c>
      <c r="L4" s="115" t="s">
        <v>130</v>
      </c>
    </row>
    <row r="5" spans="1:12" ht="16.5" x14ac:dyDescent="0.35">
      <c r="A5" s="2" t="s">
        <v>3</v>
      </c>
      <c r="B5" s="4"/>
      <c r="C5" s="25" t="s">
        <v>166</v>
      </c>
      <c r="D5" s="67" t="s">
        <v>93</v>
      </c>
      <c r="E5" s="27">
        <f>-Retirements!D7/1000</f>
        <v>-1281.1358560244312</v>
      </c>
      <c r="G5" s="113"/>
      <c r="H5" s="105" t="s">
        <v>138</v>
      </c>
      <c r="I5" s="106">
        <v>44196</v>
      </c>
      <c r="J5" s="107" t="s">
        <v>132</v>
      </c>
      <c r="K5" s="107" t="s">
        <v>135</v>
      </c>
      <c r="L5" s="116" t="s">
        <v>136</v>
      </c>
    </row>
    <row r="6" spans="1:12" x14ac:dyDescent="0.25">
      <c r="A6" s="2" t="s">
        <v>37</v>
      </c>
      <c r="B6" s="4"/>
      <c r="C6" s="25" t="s">
        <v>76</v>
      </c>
      <c r="D6" s="67" t="s">
        <v>83</v>
      </c>
      <c r="E6" s="28">
        <f>SUM(E4:E5)</f>
        <v>13474.683503975568</v>
      </c>
      <c r="G6" s="162">
        <v>364</v>
      </c>
      <c r="H6" s="117" t="s">
        <v>128</v>
      </c>
      <c r="I6" s="117">
        <f>+[1]Table3!$H$54</f>
        <v>79149678.579999998</v>
      </c>
      <c r="J6" s="117">
        <f>+[1]Table3!$J$54</f>
        <v>2899253</v>
      </c>
      <c r="K6" s="117">
        <f>+[1]Table3!$L$54</f>
        <v>142877</v>
      </c>
      <c r="L6" s="118">
        <f>+J6+K6</f>
        <v>3042130</v>
      </c>
    </row>
    <row r="7" spans="1:12" x14ac:dyDescent="0.25">
      <c r="A7" s="2" t="s">
        <v>4</v>
      </c>
      <c r="B7" s="4"/>
      <c r="C7" s="25"/>
      <c r="D7" s="67"/>
      <c r="E7" s="26"/>
      <c r="G7" s="162">
        <v>365</v>
      </c>
      <c r="H7" s="117" t="s">
        <v>129</v>
      </c>
      <c r="I7" s="117">
        <f>+[1]Table3!$H$55</f>
        <v>115298396.09</v>
      </c>
      <c r="J7" s="117">
        <f>+[1]Table3!$J$55</f>
        <v>3804847</v>
      </c>
      <c r="K7" s="117">
        <f>+[1]Table3!$L$55</f>
        <v>248899</v>
      </c>
      <c r="L7" s="118">
        <f>+J7+K7</f>
        <v>4053746</v>
      </c>
    </row>
    <row r="8" spans="1:12" ht="16.5" x14ac:dyDescent="0.35">
      <c r="A8" s="2" t="s">
        <v>5</v>
      </c>
      <c r="B8" s="4"/>
      <c r="C8" s="25" t="s">
        <v>238</v>
      </c>
      <c r="D8" s="67" t="s">
        <v>84</v>
      </c>
      <c r="E8" s="29">
        <f>+L10</f>
        <v>3.764123996665291E-2</v>
      </c>
      <c r="G8" s="162">
        <v>368</v>
      </c>
      <c r="H8" s="117" t="s">
        <v>149</v>
      </c>
      <c r="I8" s="119">
        <v>92265753.289999992</v>
      </c>
      <c r="J8" s="119">
        <v>3232184</v>
      </c>
      <c r="K8" s="119">
        <v>464204</v>
      </c>
      <c r="L8" s="120">
        <f>+J8+K8</f>
        <v>3696388</v>
      </c>
    </row>
    <row r="9" spans="1:12" ht="16.5" x14ac:dyDescent="0.35">
      <c r="A9" s="2" t="s">
        <v>6</v>
      </c>
      <c r="B9" s="4"/>
      <c r="C9" s="25" t="s">
        <v>184</v>
      </c>
      <c r="D9" s="67" t="s">
        <v>85</v>
      </c>
      <c r="E9" s="28">
        <f>E6*E8</f>
        <v>507.2037952478438</v>
      </c>
      <c r="G9" s="113"/>
      <c r="H9" s="114" t="s">
        <v>127</v>
      </c>
      <c r="I9" s="121">
        <f>SUM(I6:I8)</f>
        <v>286713827.96000004</v>
      </c>
      <c r="J9" s="121">
        <f t="shared" ref="J9:K9" si="0">SUM(J6:J8)</f>
        <v>9936284</v>
      </c>
      <c r="K9" s="121">
        <f t="shared" si="0"/>
        <v>855980</v>
      </c>
      <c r="L9" s="122">
        <f>SUM(L6:L8)</f>
        <v>10792264</v>
      </c>
    </row>
    <row r="10" spans="1:12" x14ac:dyDescent="0.25">
      <c r="A10" s="2" t="s">
        <v>7</v>
      </c>
      <c r="B10" s="4"/>
      <c r="C10" s="25"/>
      <c r="D10" s="67"/>
      <c r="E10" s="26"/>
      <c r="G10" s="123" t="s">
        <v>139</v>
      </c>
      <c r="H10" s="124"/>
      <c r="I10" s="125"/>
      <c r="J10" s="125"/>
      <c r="K10" s="125"/>
      <c r="L10" s="126">
        <f>+L9/I9</f>
        <v>3.764123996665291E-2</v>
      </c>
    </row>
    <row r="11" spans="1:12" x14ac:dyDescent="0.25">
      <c r="A11" s="2" t="s">
        <v>8</v>
      </c>
      <c r="B11" s="4"/>
      <c r="C11" s="23" t="s">
        <v>65</v>
      </c>
      <c r="D11" s="64"/>
      <c r="E11" s="24"/>
    </row>
    <row r="12" spans="1:12" x14ac:dyDescent="0.25">
      <c r="A12" s="2" t="s">
        <v>9</v>
      </c>
      <c r="B12" s="4"/>
      <c r="C12" s="13" t="s">
        <v>66</v>
      </c>
      <c r="D12" s="63" t="s">
        <v>86</v>
      </c>
      <c r="E12" s="94">
        <f>+E4</f>
        <v>14755.81936</v>
      </c>
    </row>
    <row r="13" spans="1:12" ht="16.5" x14ac:dyDescent="0.35">
      <c r="A13" s="2" t="s">
        <v>10</v>
      </c>
      <c r="B13" s="4"/>
      <c r="C13" s="25" t="s">
        <v>247</v>
      </c>
      <c r="D13" s="67" t="s">
        <v>87</v>
      </c>
      <c r="E13" s="27">
        <v>0</v>
      </c>
    </row>
    <row r="14" spans="1:12" x14ac:dyDescent="0.25">
      <c r="A14" s="2" t="s">
        <v>12</v>
      </c>
      <c r="B14" s="4"/>
      <c r="C14" s="25" t="s">
        <v>79</v>
      </c>
      <c r="D14" s="67" t="s">
        <v>88</v>
      </c>
      <c r="E14" s="28">
        <f>SUM(E12:E13)</f>
        <v>14755.81936</v>
      </c>
    </row>
    <row r="15" spans="1:12" x14ac:dyDescent="0.25">
      <c r="A15" s="2" t="s">
        <v>13</v>
      </c>
      <c r="B15" s="4"/>
      <c r="C15" s="30"/>
      <c r="D15" s="68"/>
      <c r="E15" s="31"/>
    </row>
    <row r="16" spans="1:12" x14ac:dyDescent="0.25">
      <c r="A16" s="2" t="s">
        <v>14</v>
      </c>
      <c r="B16" s="4"/>
      <c r="C16" s="23" t="s">
        <v>17</v>
      </c>
      <c r="D16" s="64"/>
      <c r="E16" s="24"/>
    </row>
    <row r="17" spans="1:11" x14ac:dyDescent="0.25">
      <c r="A17" s="2" t="s">
        <v>15</v>
      </c>
      <c r="B17" s="4"/>
      <c r="C17" s="25" t="s">
        <v>67</v>
      </c>
      <c r="D17" s="67" t="s">
        <v>157</v>
      </c>
      <c r="E17" s="26">
        <f>-4522970.73/1000</f>
        <v>-4522.97073</v>
      </c>
      <c r="H17" s="9"/>
      <c r="I17" s="9"/>
      <c r="J17" s="9"/>
      <c r="K17" s="9"/>
    </row>
    <row r="18" spans="1:11" ht="16.5" x14ac:dyDescent="0.35">
      <c r="A18" s="2" t="s">
        <v>16</v>
      </c>
      <c r="B18" s="4"/>
      <c r="C18" s="25" t="s">
        <v>188</v>
      </c>
      <c r="D18" s="67" t="s">
        <v>89</v>
      </c>
      <c r="E18" s="27">
        <f>+E9</f>
        <v>507.2037952478438</v>
      </c>
    </row>
    <row r="19" spans="1:11" x14ac:dyDescent="0.25">
      <c r="A19" s="2" t="s">
        <v>18</v>
      </c>
      <c r="B19" s="4"/>
      <c r="C19" s="25" t="s">
        <v>80</v>
      </c>
      <c r="D19" s="67" t="s">
        <v>90</v>
      </c>
      <c r="E19" s="28">
        <f>SUM(E17:E18)</f>
        <v>-4015.766934752156</v>
      </c>
    </row>
    <row r="20" spans="1:11" x14ac:dyDescent="0.25">
      <c r="A20" s="2" t="s">
        <v>19</v>
      </c>
      <c r="B20" s="4"/>
      <c r="C20" s="25"/>
      <c r="D20" s="67"/>
      <c r="E20" s="22"/>
    </row>
    <row r="21" spans="1:11" x14ac:dyDescent="0.25">
      <c r="A21" s="2" t="s">
        <v>20</v>
      </c>
      <c r="B21" s="4"/>
      <c r="C21" s="18" t="s">
        <v>103</v>
      </c>
      <c r="D21" s="73" t="s">
        <v>105</v>
      </c>
      <c r="E21" s="95">
        <f>E6-E19</f>
        <v>17490.450438727723</v>
      </c>
    </row>
    <row r="22" spans="1:11" x14ac:dyDescent="0.25">
      <c r="A22" s="2" t="s">
        <v>21</v>
      </c>
      <c r="B22" s="4"/>
      <c r="C22" s="30"/>
      <c r="D22" s="68"/>
      <c r="E22" s="31"/>
    </row>
    <row r="23" spans="1:11" x14ac:dyDescent="0.25">
      <c r="A23" s="2" t="s">
        <v>22</v>
      </c>
      <c r="B23" s="4"/>
      <c r="C23" s="76" t="s">
        <v>57</v>
      </c>
      <c r="D23" s="64"/>
      <c r="E23" s="32"/>
      <c r="H23" s="9"/>
    </row>
    <row r="24" spans="1:11" x14ac:dyDescent="0.25">
      <c r="A24" s="2" t="s">
        <v>23</v>
      </c>
      <c r="B24" s="4"/>
      <c r="C24" s="82" t="s">
        <v>175</v>
      </c>
      <c r="D24" s="83" t="s">
        <v>87</v>
      </c>
      <c r="E24" s="84">
        <f>+E13</f>
        <v>0</v>
      </c>
    </row>
    <row r="25" spans="1:11" x14ac:dyDescent="0.25">
      <c r="A25" s="2" t="s">
        <v>24</v>
      </c>
      <c r="B25" s="4"/>
      <c r="C25" s="30"/>
      <c r="D25" s="68"/>
      <c r="E25" s="31"/>
    </row>
    <row r="26" spans="1:11" x14ac:dyDescent="0.25">
      <c r="A26" s="2" t="s">
        <v>25</v>
      </c>
      <c r="B26" s="4"/>
      <c r="C26" s="23" t="s">
        <v>58</v>
      </c>
      <c r="D26" s="64"/>
      <c r="E26" s="24"/>
    </row>
    <row r="27" spans="1:11" x14ac:dyDescent="0.25">
      <c r="A27" s="2" t="s">
        <v>26</v>
      </c>
      <c r="B27" s="4"/>
      <c r="C27" s="25" t="s">
        <v>78</v>
      </c>
      <c r="D27" s="67" t="s">
        <v>87</v>
      </c>
      <c r="E27" s="28">
        <f>+E24</f>
        <v>0</v>
      </c>
    </row>
    <row r="28" spans="1:11" x14ac:dyDescent="0.25">
      <c r="A28" s="2" t="s">
        <v>27</v>
      </c>
      <c r="B28" s="4"/>
      <c r="C28" s="25" t="s">
        <v>126</v>
      </c>
      <c r="D28" s="67" t="s">
        <v>91</v>
      </c>
      <c r="E28" s="29">
        <v>0</v>
      </c>
    </row>
    <row r="29" spans="1:11" x14ac:dyDescent="0.25">
      <c r="A29" s="2" t="s">
        <v>28</v>
      </c>
      <c r="B29" s="4"/>
      <c r="C29" s="13" t="s">
        <v>59</v>
      </c>
      <c r="D29" s="63" t="s">
        <v>92</v>
      </c>
      <c r="E29" s="14">
        <f>E27*E28</f>
        <v>0</v>
      </c>
    </row>
    <row r="30" spans="1:11" x14ac:dyDescent="0.25">
      <c r="A30" s="2"/>
      <c r="B30" s="4"/>
      <c r="C30" s="13"/>
      <c r="D30" s="63"/>
      <c r="E30" s="14"/>
    </row>
    <row r="31" spans="1:11" x14ac:dyDescent="0.25">
      <c r="A31" s="2"/>
      <c r="B31" s="4"/>
      <c r="C31" s="18" t="s">
        <v>102</v>
      </c>
      <c r="D31" s="73" t="s">
        <v>104</v>
      </c>
      <c r="E31" s="95">
        <f>+E27-E29</f>
        <v>0</v>
      </c>
    </row>
    <row r="32" spans="1:11" x14ac:dyDescent="0.25">
      <c r="A32" s="2" t="s">
        <v>29</v>
      </c>
      <c r="B32" s="4"/>
      <c r="C32" s="16"/>
      <c r="E32" s="17"/>
    </row>
    <row r="33" spans="1:5" x14ac:dyDescent="0.25">
      <c r="A33" s="2" t="s">
        <v>30</v>
      </c>
      <c r="B33" s="4"/>
      <c r="C33" s="23" t="s">
        <v>174</v>
      </c>
      <c r="D33" s="64" t="s">
        <v>106</v>
      </c>
      <c r="E33" s="33">
        <f>E9+E29</f>
        <v>507.2037952478438</v>
      </c>
    </row>
    <row r="34" spans="1:5" x14ac:dyDescent="0.25">
      <c r="A34" s="2"/>
      <c r="B34" s="4"/>
      <c r="C34" s="18"/>
      <c r="D34" s="73"/>
      <c r="E34" s="95"/>
    </row>
    <row r="35" spans="1:5" x14ac:dyDescent="0.25">
      <c r="A35" s="2"/>
      <c r="B35" s="1"/>
      <c r="C35" s="45"/>
      <c r="D35" s="61"/>
      <c r="E35" s="161"/>
    </row>
    <row r="36" spans="1:5" x14ac:dyDescent="0.25">
      <c r="A36" s="2"/>
      <c r="B36" s="1"/>
    </row>
    <row r="37" spans="1:5" x14ac:dyDescent="0.25">
      <c r="A37" s="2"/>
      <c r="B37" s="1"/>
    </row>
    <row r="38" spans="1:5" x14ac:dyDescent="0.25">
      <c r="A38" s="2"/>
      <c r="B38" s="1"/>
    </row>
    <row r="39" spans="1:5" x14ac:dyDescent="0.25">
      <c r="A39" s="2"/>
      <c r="B39" s="1"/>
    </row>
    <row r="40" spans="1:5" x14ac:dyDescent="0.25">
      <c r="A40" s="2"/>
      <c r="B40" s="1"/>
    </row>
    <row r="41" spans="1:5" x14ac:dyDescent="0.25">
      <c r="A41" s="2"/>
      <c r="B41" s="1"/>
    </row>
    <row r="42" spans="1:5" x14ac:dyDescent="0.25">
      <c r="A42" s="2"/>
      <c r="B42" s="1"/>
    </row>
    <row r="43" spans="1:5" x14ac:dyDescent="0.25">
      <c r="A43" s="2"/>
      <c r="B43" s="1"/>
    </row>
    <row r="44" spans="1:5" x14ac:dyDescent="0.25">
      <c r="A44" s="2"/>
      <c r="B44" s="1"/>
    </row>
    <row r="45" spans="1:5" x14ac:dyDescent="0.25">
      <c r="A45" s="2"/>
      <c r="B45" s="1"/>
    </row>
    <row r="46" spans="1:5" x14ac:dyDescent="0.25">
      <c r="A46" s="2"/>
      <c r="B46" s="1"/>
    </row>
    <row r="47" spans="1:5" x14ac:dyDescent="0.25">
      <c r="A47" s="2"/>
      <c r="B47" s="1"/>
    </row>
    <row r="48" spans="1:5" x14ac:dyDescent="0.25">
      <c r="A48" s="2"/>
      <c r="B48" s="1"/>
    </row>
    <row r="49" spans="1:1" x14ac:dyDescent="0.25">
      <c r="A49" s="2"/>
    </row>
  </sheetData>
  <mergeCells count="1">
    <mergeCell ref="C1:E1"/>
  </mergeCells>
  <printOptions horizontalCentered="1"/>
  <pageMargins left="0.7" right="0.2" top="0.75" bottom="0.5" header="0.3" footer="0.3"/>
  <pageSetup scale="83" orientation="portrait" r:id="rId1"/>
  <headerFooter>
    <oddHeader>&amp;R&amp;"Arial,Bold"Appendix F</oddHeader>
    <oddFooter>&amp;C&amp;"Arial,Regular"Page &amp;P of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9"/>
  <sheetViews>
    <sheetView showRuler="0" topLeftCell="C1" zoomScaleNormal="100" workbookViewId="0">
      <selection activeCell="L24" sqref="L24"/>
    </sheetView>
  </sheetViews>
  <sheetFormatPr defaultRowHeight="15" x14ac:dyDescent="0.25"/>
  <cols>
    <col min="1" max="1" width="3" hidden="1" customWidth="1"/>
    <col min="2" max="2" width="3.5703125" hidden="1" customWidth="1"/>
    <col min="3" max="3" width="83.5703125" style="11" customWidth="1"/>
    <col min="4" max="4" width="20.42578125" style="69" bestFit="1" customWidth="1"/>
    <col min="5" max="5" width="12.28515625" style="11" bestFit="1" customWidth="1"/>
    <col min="6" max="6" width="7.5703125" customWidth="1"/>
    <col min="7" max="7" width="10.5703125" bestFit="1" customWidth="1"/>
  </cols>
  <sheetData>
    <row r="1" spans="1:11" ht="21" customHeight="1" x14ac:dyDescent="0.25">
      <c r="A1" s="1"/>
      <c r="B1" s="1"/>
      <c r="C1" s="171" t="s">
        <v>121</v>
      </c>
      <c r="D1" s="171"/>
      <c r="E1" s="171"/>
    </row>
    <row r="2" spans="1:11" ht="25.15" customHeight="1" x14ac:dyDescent="0.25">
      <c r="A2" s="2"/>
      <c r="B2" s="3" t="s">
        <v>0</v>
      </c>
      <c r="C2" s="56" t="s">
        <v>224</v>
      </c>
      <c r="D2" s="62" t="s">
        <v>99</v>
      </c>
      <c r="E2" s="57" t="s">
        <v>77</v>
      </c>
    </row>
    <row r="3" spans="1:11" x14ac:dyDescent="0.25">
      <c r="A3" s="2" t="s">
        <v>37</v>
      </c>
      <c r="B3" s="4"/>
      <c r="C3" s="25" t="s">
        <v>223</v>
      </c>
      <c r="D3" s="67" t="s">
        <v>150</v>
      </c>
      <c r="E3" s="28">
        <v>17661.801725663361</v>
      </c>
    </row>
    <row r="4" spans="1:11" x14ac:dyDescent="0.25">
      <c r="A4" s="2" t="s">
        <v>5</v>
      </c>
      <c r="B4" s="4"/>
      <c r="C4" s="25" t="s">
        <v>176</v>
      </c>
      <c r="D4" s="67" t="s">
        <v>93</v>
      </c>
      <c r="E4" s="29">
        <v>0.2</v>
      </c>
    </row>
    <row r="5" spans="1:11" x14ac:dyDescent="0.25">
      <c r="A5" s="2" t="s">
        <v>6</v>
      </c>
      <c r="B5" s="4"/>
      <c r="C5" s="25" t="s">
        <v>185</v>
      </c>
      <c r="D5" s="67" t="s">
        <v>235</v>
      </c>
      <c r="E5" s="28">
        <f>E3*E4</f>
        <v>3532.3603451326726</v>
      </c>
    </row>
    <row r="6" spans="1:11" x14ac:dyDescent="0.25">
      <c r="A6" s="2" t="s">
        <v>7</v>
      </c>
      <c r="B6" s="4"/>
      <c r="C6" s="25"/>
      <c r="D6" s="67"/>
      <c r="E6" s="26"/>
    </row>
    <row r="7" spans="1:11" x14ac:dyDescent="0.25">
      <c r="A7" s="2" t="s">
        <v>8</v>
      </c>
      <c r="B7" s="4"/>
      <c r="C7" s="23" t="s">
        <v>65</v>
      </c>
      <c r="D7" s="64"/>
      <c r="E7" s="24"/>
    </row>
    <row r="8" spans="1:11" x14ac:dyDescent="0.25">
      <c r="A8" s="2" t="s">
        <v>9</v>
      </c>
      <c r="B8" s="4"/>
      <c r="C8" s="13" t="s">
        <v>66</v>
      </c>
      <c r="D8" s="63" t="s">
        <v>86</v>
      </c>
      <c r="E8" s="94">
        <f>+E3</f>
        <v>17661.801725663361</v>
      </c>
    </row>
    <row r="9" spans="1:11" ht="16.5" x14ac:dyDescent="0.35">
      <c r="A9" s="2" t="s">
        <v>10</v>
      </c>
      <c r="B9" s="4"/>
      <c r="C9" s="25" t="s">
        <v>226</v>
      </c>
      <c r="D9" s="67" t="s">
        <v>84</v>
      </c>
      <c r="E9" s="27">
        <v>0</v>
      </c>
    </row>
    <row r="10" spans="1:11" x14ac:dyDescent="0.25">
      <c r="A10" s="2" t="s">
        <v>12</v>
      </c>
      <c r="B10" s="4"/>
      <c r="C10" s="25" t="s">
        <v>79</v>
      </c>
      <c r="D10" s="67" t="s">
        <v>236</v>
      </c>
      <c r="E10" s="28">
        <f>SUM(E8:E9)</f>
        <v>17661.801725663361</v>
      </c>
    </row>
    <row r="11" spans="1:11" x14ac:dyDescent="0.25">
      <c r="A11" s="2" t="s">
        <v>13</v>
      </c>
      <c r="B11" s="4"/>
      <c r="C11" s="30"/>
      <c r="D11" s="68"/>
      <c r="E11" s="31"/>
    </row>
    <row r="12" spans="1:11" x14ac:dyDescent="0.25">
      <c r="A12" s="2" t="s">
        <v>14</v>
      </c>
      <c r="B12" s="4"/>
      <c r="C12" s="23" t="s">
        <v>17</v>
      </c>
      <c r="D12" s="64"/>
      <c r="E12" s="24"/>
    </row>
    <row r="13" spans="1:11" x14ac:dyDescent="0.25">
      <c r="A13" s="2" t="s">
        <v>15</v>
      </c>
      <c r="B13" s="4"/>
      <c r="C13" s="25"/>
      <c r="D13" s="67"/>
      <c r="E13" s="26"/>
      <c r="H13" s="9"/>
      <c r="I13" s="9"/>
      <c r="J13" s="9"/>
      <c r="K13" s="9"/>
    </row>
    <row r="14" spans="1:11" ht="16.5" x14ac:dyDescent="0.35">
      <c r="A14" s="2" t="s">
        <v>16</v>
      </c>
      <c r="B14" s="4"/>
      <c r="C14" s="25" t="s">
        <v>189</v>
      </c>
      <c r="D14" s="67" t="s">
        <v>87</v>
      </c>
      <c r="E14" s="27">
        <f>+E5</f>
        <v>3532.3603451326726</v>
      </c>
    </row>
    <row r="15" spans="1:11" x14ac:dyDescent="0.25">
      <c r="A15" s="2" t="s">
        <v>19</v>
      </c>
      <c r="B15" s="4"/>
      <c r="C15" s="25"/>
      <c r="D15" s="67"/>
      <c r="E15" s="22"/>
    </row>
    <row r="16" spans="1:11" x14ac:dyDescent="0.25">
      <c r="A16" s="2" t="s">
        <v>20</v>
      </c>
      <c r="B16" s="4"/>
      <c r="C16" s="18" t="s">
        <v>225</v>
      </c>
      <c r="D16" s="73" t="s">
        <v>257</v>
      </c>
      <c r="E16" s="95">
        <f>+E10-E14</f>
        <v>14129.441380530689</v>
      </c>
    </row>
    <row r="17" spans="1:8" x14ac:dyDescent="0.25">
      <c r="A17" s="2" t="s">
        <v>21</v>
      </c>
      <c r="B17" s="4"/>
      <c r="C17" s="30"/>
      <c r="D17" s="68"/>
      <c r="E17" s="31"/>
    </row>
    <row r="18" spans="1:8" x14ac:dyDescent="0.25">
      <c r="A18" s="2" t="s">
        <v>22</v>
      </c>
      <c r="B18" s="4"/>
      <c r="C18" s="76" t="s">
        <v>57</v>
      </c>
      <c r="D18" s="64"/>
      <c r="E18" s="32"/>
      <c r="H18" s="9"/>
    </row>
    <row r="19" spans="1:8" x14ac:dyDescent="0.25">
      <c r="A19" s="2" t="s">
        <v>23</v>
      </c>
      <c r="B19" s="4"/>
      <c r="C19" s="82" t="s">
        <v>175</v>
      </c>
      <c r="D19" s="83" t="s">
        <v>84</v>
      </c>
      <c r="E19" s="84">
        <f>+E9</f>
        <v>0</v>
      </c>
    </row>
    <row r="20" spans="1:8" x14ac:dyDescent="0.25">
      <c r="A20" s="2" t="s">
        <v>24</v>
      </c>
      <c r="B20" s="4"/>
      <c r="C20" s="30"/>
      <c r="D20" s="68"/>
      <c r="E20" s="31"/>
    </row>
    <row r="21" spans="1:8" x14ac:dyDescent="0.25">
      <c r="A21" s="2" t="s">
        <v>25</v>
      </c>
      <c r="B21" s="4"/>
      <c r="C21" s="23" t="s">
        <v>58</v>
      </c>
      <c r="D21" s="64"/>
      <c r="E21" s="24"/>
    </row>
    <row r="22" spans="1:8" x14ac:dyDescent="0.25">
      <c r="A22" s="2" t="s">
        <v>26</v>
      </c>
      <c r="B22" s="4"/>
      <c r="C22" s="25" t="s">
        <v>78</v>
      </c>
      <c r="D22" s="67" t="s">
        <v>84</v>
      </c>
      <c r="E22" s="28">
        <f>+E19</f>
        <v>0</v>
      </c>
    </row>
    <row r="23" spans="1:8" x14ac:dyDescent="0.25">
      <c r="A23" s="2" t="s">
        <v>27</v>
      </c>
      <c r="B23" s="4"/>
      <c r="C23" s="25" t="s">
        <v>126</v>
      </c>
      <c r="D23" s="67" t="s">
        <v>157</v>
      </c>
      <c r="E23" s="29">
        <v>0</v>
      </c>
    </row>
    <row r="24" spans="1:8" x14ac:dyDescent="0.25">
      <c r="A24" s="2" t="s">
        <v>28</v>
      </c>
      <c r="B24" s="4"/>
      <c r="C24" s="13" t="s">
        <v>59</v>
      </c>
      <c r="D24" s="63" t="s">
        <v>248</v>
      </c>
      <c r="E24" s="14">
        <f>E22*E23</f>
        <v>0</v>
      </c>
    </row>
    <row r="25" spans="1:8" x14ac:dyDescent="0.25">
      <c r="A25" s="2"/>
      <c r="B25" s="4"/>
      <c r="C25" s="13"/>
      <c r="D25" s="63"/>
      <c r="E25" s="14"/>
    </row>
    <row r="26" spans="1:8" x14ac:dyDescent="0.25">
      <c r="A26" s="2"/>
      <c r="B26" s="4"/>
      <c r="C26" s="18" t="s">
        <v>102</v>
      </c>
      <c r="D26" s="73" t="s">
        <v>249</v>
      </c>
      <c r="E26" s="95">
        <f>+E22-E24</f>
        <v>0</v>
      </c>
    </row>
    <row r="27" spans="1:8" x14ac:dyDescent="0.25">
      <c r="A27" s="2" t="s">
        <v>29</v>
      </c>
      <c r="B27" s="4"/>
      <c r="C27" s="16"/>
      <c r="E27" s="17"/>
    </row>
    <row r="28" spans="1:8" x14ac:dyDescent="0.25">
      <c r="A28" s="2" t="s">
        <v>30</v>
      </c>
      <c r="B28" s="4"/>
      <c r="C28" s="23" t="s">
        <v>186</v>
      </c>
      <c r="D28" s="64" t="s">
        <v>250</v>
      </c>
      <c r="E28" s="33">
        <f>E5+E24</f>
        <v>3532.3603451326726</v>
      </c>
    </row>
    <row r="29" spans="1:8" x14ac:dyDescent="0.25">
      <c r="A29" s="2"/>
      <c r="B29" s="4"/>
      <c r="C29" s="18"/>
      <c r="D29" s="73"/>
      <c r="E29" s="95"/>
    </row>
    <row r="30" spans="1:8" x14ac:dyDescent="0.25">
      <c r="A30" s="2"/>
      <c r="B30" s="1"/>
      <c r="C30" s="13"/>
      <c r="D30" s="63"/>
      <c r="E30" s="15"/>
    </row>
    <row r="31" spans="1:8" x14ac:dyDescent="0.25">
      <c r="A31" s="2"/>
      <c r="B31" s="1"/>
      <c r="C31" s="86"/>
      <c r="D31" s="87"/>
      <c r="E31" s="88"/>
      <c r="F31" s="60"/>
    </row>
    <row r="32" spans="1:8" x14ac:dyDescent="0.25">
      <c r="A32" s="2"/>
      <c r="B32" s="1"/>
      <c r="C32" s="19"/>
      <c r="D32" s="70"/>
      <c r="E32" s="15"/>
    </row>
    <row r="33" spans="1:5" x14ac:dyDescent="0.25">
      <c r="A33" s="2"/>
      <c r="B33" s="1"/>
      <c r="C33" s="19"/>
      <c r="D33" s="70"/>
      <c r="E33" s="17"/>
    </row>
    <row r="34" spans="1:5" x14ac:dyDescent="0.25">
      <c r="C34" s="19"/>
      <c r="E34" s="17"/>
    </row>
    <row r="35" spans="1:5" x14ac:dyDescent="0.25">
      <c r="A35" s="2"/>
      <c r="B35" s="1"/>
      <c r="C35" s="100"/>
      <c r="D35" s="101"/>
      <c r="E35" s="21"/>
    </row>
    <row r="36" spans="1:5" x14ac:dyDescent="0.25">
      <c r="A36" s="2"/>
      <c r="B36" s="1"/>
    </row>
    <row r="37" spans="1:5" x14ac:dyDescent="0.25">
      <c r="A37" s="2"/>
      <c r="B37" s="1"/>
    </row>
    <row r="38" spans="1:5" x14ac:dyDescent="0.25">
      <c r="A38" s="2"/>
      <c r="B38" s="1"/>
    </row>
    <row r="39" spans="1:5" x14ac:dyDescent="0.25">
      <c r="A39" s="2"/>
      <c r="B39" s="1"/>
    </row>
    <row r="40" spans="1:5" x14ac:dyDescent="0.25">
      <c r="A40" s="2"/>
      <c r="B40" s="1"/>
    </row>
    <row r="41" spans="1:5" x14ac:dyDescent="0.25">
      <c r="A41" s="2"/>
      <c r="B41" s="1"/>
    </row>
    <row r="42" spans="1:5" x14ac:dyDescent="0.25">
      <c r="A42" s="2"/>
      <c r="B42" s="1"/>
    </row>
    <row r="43" spans="1:5" x14ac:dyDescent="0.25">
      <c r="A43" s="2"/>
      <c r="B43" s="1"/>
    </row>
    <row r="44" spans="1:5" x14ac:dyDescent="0.25">
      <c r="A44" s="2"/>
      <c r="B44" s="1"/>
    </row>
    <row r="45" spans="1:5" x14ac:dyDescent="0.25">
      <c r="A45" s="2"/>
      <c r="B45" s="1"/>
    </row>
    <row r="46" spans="1:5" x14ac:dyDescent="0.25">
      <c r="A46" s="2"/>
      <c r="B46" s="1"/>
    </row>
    <row r="47" spans="1:5" x14ac:dyDescent="0.25">
      <c r="A47" s="2"/>
      <c r="B47" s="1"/>
    </row>
    <row r="48" spans="1:5" x14ac:dyDescent="0.25">
      <c r="A48" s="2"/>
      <c r="B48" s="1"/>
    </row>
    <row r="49" spans="1:1" x14ac:dyDescent="0.25">
      <c r="A49" s="2"/>
    </row>
  </sheetData>
  <mergeCells count="1">
    <mergeCell ref="C1:E1"/>
  </mergeCells>
  <printOptions horizontalCentered="1"/>
  <pageMargins left="0.7" right="0.2" top="0.75" bottom="0.5" header="0.3" footer="0.3"/>
  <pageSetup scale="83" orientation="portrait" r:id="rId1"/>
  <headerFooter>
    <oddHeader>&amp;R&amp;"Arial,Bold"Appendix F</oddHeader>
    <oddFooter>&amp;C&amp;"Arial,Regular"Page &amp;P of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4"/>
  <sheetViews>
    <sheetView showWhiteSpace="0" topLeftCell="C1" zoomScaleNormal="100" workbookViewId="0">
      <selection activeCell="L24" sqref="L24"/>
    </sheetView>
  </sheetViews>
  <sheetFormatPr defaultRowHeight="15" x14ac:dyDescent="0.25"/>
  <cols>
    <col min="1" max="1" width="3.28515625" hidden="1" customWidth="1"/>
    <col min="2" max="2" width="3.28515625" style="1" hidden="1" customWidth="1"/>
    <col min="3" max="3" width="79.140625" bestFit="1" customWidth="1"/>
    <col min="4" max="4" width="26.5703125" style="72" customWidth="1"/>
    <col min="5" max="5" width="13.42578125" customWidth="1"/>
    <col min="6" max="6" width="15.7109375" bestFit="1" customWidth="1"/>
    <col min="7" max="7" width="11.5703125" bestFit="1" customWidth="1"/>
  </cols>
  <sheetData>
    <row r="1" spans="1:7" ht="21" customHeight="1" x14ac:dyDescent="0.25">
      <c r="B1" s="5" t="s">
        <v>42</v>
      </c>
      <c r="C1" s="172" t="s">
        <v>121</v>
      </c>
      <c r="D1" s="172"/>
      <c r="E1" s="172"/>
    </row>
    <row r="2" spans="1:7" ht="25.15" customHeight="1" x14ac:dyDescent="0.25">
      <c r="A2" s="2" t="s">
        <v>1</v>
      </c>
      <c r="B2" s="4"/>
      <c r="C2" s="56" t="s">
        <v>73</v>
      </c>
      <c r="D2" s="62" t="s">
        <v>99</v>
      </c>
      <c r="E2" s="57" t="str">
        <f>' Depreciation'!E2</f>
        <v>Annual</v>
      </c>
    </row>
    <row r="3" spans="1:7" x14ac:dyDescent="0.25">
      <c r="A3" s="2" t="s">
        <v>2</v>
      </c>
      <c r="B3" s="4"/>
      <c r="C3" s="23" t="s">
        <v>54</v>
      </c>
      <c r="D3" s="64"/>
      <c r="E3" s="32"/>
    </row>
    <row r="4" spans="1:7" x14ac:dyDescent="0.25">
      <c r="A4" s="2" t="s">
        <v>37</v>
      </c>
      <c r="B4" s="4"/>
      <c r="C4" s="13" t="str">
        <f>+' Depreciation'!C4</f>
        <v xml:space="preserve">  Capital Investment - Fiona Restoration</v>
      </c>
      <c r="D4" s="67" t="s">
        <v>253</v>
      </c>
      <c r="E4" s="36">
        <f>+' Depreciation'!E6</f>
        <v>13474.683503975568</v>
      </c>
    </row>
    <row r="5" spans="1:7" x14ac:dyDescent="0.25">
      <c r="A5" s="2" t="s">
        <v>6</v>
      </c>
      <c r="B5" s="4"/>
      <c r="C5" s="13" t="s">
        <v>227</v>
      </c>
      <c r="D5" s="63" t="s">
        <v>93</v>
      </c>
      <c r="E5" s="163">
        <v>0.08</v>
      </c>
      <c r="G5" s="8"/>
    </row>
    <row r="6" spans="1:7" ht="16.5" x14ac:dyDescent="0.35">
      <c r="A6" s="2" t="s">
        <v>9</v>
      </c>
      <c r="B6" s="4"/>
      <c r="C6" s="13" t="s">
        <v>187</v>
      </c>
      <c r="D6" s="63" t="s">
        <v>228</v>
      </c>
      <c r="E6" s="35">
        <f>+E4*E5*1.5</f>
        <v>1616.9620204770683</v>
      </c>
    </row>
    <row r="7" spans="1:7" x14ac:dyDescent="0.25">
      <c r="A7" s="2" t="s">
        <v>10</v>
      </c>
      <c r="B7" s="4"/>
      <c r="C7" s="13"/>
      <c r="D7" s="63"/>
      <c r="E7" s="12"/>
    </row>
    <row r="8" spans="1:7" x14ac:dyDescent="0.25">
      <c r="A8" s="2" t="s">
        <v>12</v>
      </c>
      <c r="B8" s="4"/>
      <c r="C8" s="13" t="s">
        <v>43</v>
      </c>
      <c r="D8" s="63" t="s">
        <v>229</v>
      </c>
      <c r="E8" s="34">
        <f>+E4-E6</f>
        <v>11857.721483498499</v>
      </c>
    </row>
    <row r="9" spans="1:7" x14ac:dyDescent="0.25">
      <c r="A9" s="2" t="s">
        <v>13</v>
      </c>
      <c r="B9" s="4"/>
      <c r="C9" s="13"/>
      <c r="D9" s="63"/>
      <c r="E9" s="12"/>
    </row>
    <row r="10" spans="1:7" x14ac:dyDescent="0.25">
      <c r="A10" s="2" t="s">
        <v>14</v>
      </c>
      <c r="B10" s="4"/>
      <c r="C10" s="23" t="s">
        <v>36</v>
      </c>
      <c r="D10" s="64"/>
      <c r="E10" s="24"/>
    </row>
    <row r="11" spans="1:7" x14ac:dyDescent="0.25">
      <c r="A11" s="2" t="s">
        <v>15</v>
      </c>
      <c r="B11" s="4"/>
      <c r="C11" s="13" t="str">
        <f>C6</f>
        <v>CCA Deductions Year 1</v>
      </c>
      <c r="D11" s="63" t="s">
        <v>94</v>
      </c>
      <c r="E11" s="34">
        <f>E6</f>
        <v>1616.9620204770683</v>
      </c>
    </row>
    <row r="12" spans="1:7" x14ac:dyDescent="0.25">
      <c r="A12" s="2" t="s">
        <v>16</v>
      </c>
      <c r="B12" s="4"/>
      <c r="C12" s="13" t="s">
        <v>190</v>
      </c>
      <c r="D12" s="63" t="s">
        <v>240</v>
      </c>
      <c r="E12" s="38">
        <f>-' Depreciation'!E9</f>
        <v>-507.2037952478438</v>
      </c>
    </row>
    <row r="13" spans="1:7" ht="16.5" x14ac:dyDescent="0.35">
      <c r="A13" s="2"/>
      <c r="B13" s="4"/>
      <c r="C13" s="127" t="s">
        <v>234</v>
      </c>
      <c r="D13" s="63" t="s">
        <v>87</v>
      </c>
      <c r="E13" s="37">
        <v>4522.97073</v>
      </c>
    </row>
    <row r="14" spans="1:7" x14ac:dyDescent="0.25">
      <c r="A14" s="2" t="s">
        <v>18</v>
      </c>
      <c r="B14" s="4"/>
      <c r="C14" s="13" t="s">
        <v>237</v>
      </c>
      <c r="D14" s="63" t="s">
        <v>141</v>
      </c>
      <c r="E14" s="38">
        <f>+E11+E13+E12</f>
        <v>5632.7289552292241</v>
      </c>
    </row>
    <row r="15" spans="1:7" x14ac:dyDescent="0.25">
      <c r="A15" s="2" t="s">
        <v>19</v>
      </c>
      <c r="B15" s="4"/>
      <c r="C15" s="13" t="s">
        <v>51</v>
      </c>
      <c r="D15" s="63" t="s">
        <v>157</v>
      </c>
      <c r="E15" s="39">
        <v>0.31</v>
      </c>
    </row>
    <row r="16" spans="1:7" x14ac:dyDescent="0.25">
      <c r="A16" s="2" t="s">
        <v>20</v>
      </c>
      <c r="B16" s="4"/>
      <c r="C16" s="13" t="s">
        <v>123</v>
      </c>
      <c r="D16" s="63" t="s">
        <v>142</v>
      </c>
      <c r="E16" s="38">
        <f>ROUND((IF(E14&gt;0,E14*E15,0)),0)</f>
        <v>1746</v>
      </c>
    </row>
    <row r="17" spans="1:6" x14ac:dyDescent="0.25">
      <c r="A17" s="2" t="s">
        <v>25</v>
      </c>
      <c r="B17" s="4"/>
      <c r="C17" s="13"/>
      <c r="D17" s="63"/>
      <c r="E17" s="12"/>
    </row>
    <row r="18" spans="1:6" x14ac:dyDescent="0.25">
      <c r="A18" s="2" t="s">
        <v>26</v>
      </c>
      <c r="B18" s="4"/>
      <c r="C18" s="23" t="s">
        <v>74</v>
      </c>
      <c r="D18" s="64"/>
      <c r="E18" s="24"/>
    </row>
    <row r="19" spans="1:6" x14ac:dyDescent="0.25">
      <c r="A19" s="2" t="s">
        <v>27</v>
      </c>
      <c r="B19" s="4"/>
      <c r="C19" s="13" t="s">
        <v>56</v>
      </c>
      <c r="D19" s="63" t="s">
        <v>251</v>
      </c>
      <c r="E19" s="34">
        <f>'Rate Base &amp; Cost Capital'!E12</f>
        <v>1998</v>
      </c>
    </row>
    <row r="20" spans="1:6" x14ac:dyDescent="0.25">
      <c r="A20" s="2" t="s">
        <v>28</v>
      </c>
      <c r="B20" s="4"/>
      <c r="C20" s="13"/>
      <c r="D20" s="63"/>
      <c r="E20" s="36"/>
    </row>
    <row r="21" spans="1:6" x14ac:dyDescent="0.25">
      <c r="A21" s="2" t="s">
        <v>29</v>
      </c>
      <c r="B21" s="4"/>
      <c r="C21" s="13" t="s">
        <v>167</v>
      </c>
      <c r="D21" s="63" t="s">
        <v>254</v>
      </c>
      <c r="E21" s="36">
        <f>(+'Rate Base &amp; Cost Capital'!E11)/(1-'Income Taxes'!E15)*E15</f>
        <v>509.02898550724643</v>
      </c>
    </row>
    <row r="22" spans="1:6" ht="16.5" x14ac:dyDescent="0.35">
      <c r="A22" s="2" t="s">
        <v>30</v>
      </c>
      <c r="B22" s="4"/>
      <c r="C22" s="75" t="s">
        <v>62</v>
      </c>
      <c r="D22" s="63" t="s">
        <v>252</v>
      </c>
      <c r="E22" s="35">
        <f>-'Rate Base &amp; Cost Capital'!E10</f>
        <v>-865</v>
      </c>
    </row>
    <row r="23" spans="1:6" x14ac:dyDescent="0.25">
      <c r="A23" s="2" t="s">
        <v>31</v>
      </c>
      <c r="B23" s="4"/>
      <c r="C23" s="45"/>
      <c r="D23" s="61" t="s">
        <v>255</v>
      </c>
      <c r="E23" s="81">
        <f>+E19+E21+E22</f>
        <v>1642.0289855072465</v>
      </c>
    </row>
    <row r="24" spans="1:6" x14ac:dyDescent="0.25">
      <c r="A24" s="2" t="s">
        <v>32</v>
      </c>
      <c r="B24" s="4"/>
      <c r="C24" s="16"/>
      <c r="D24" s="69"/>
      <c r="E24" s="17"/>
    </row>
    <row r="25" spans="1:6" x14ac:dyDescent="0.25">
      <c r="A25" s="2" t="s">
        <v>33</v>
      </c>
      <c r="B25" s="4"/>
      <c r="C25" s="23" t="s">
        <v>124</v>
      </c>
      <c r="D25" s="64"/>
      <c r="E25" s="24"/>
    </row>
    <row r="26" spans="1:6" x14ac:dyDescent="0.25">
      <c r="A26" s="2" t="s">
        <v>34</v>
      </c>
      <c r="C26" s="13" t="s">
        <v>56</v>
      </c>
      <c r="D26" s="63" t="s">
        <v>146</v>
      </c>
      <c r="E26" s="34">
        <f>E23</f>
        <v>1642.0289855072465</v>
      </c>
      <c r="F26" s="103"/>
    </row>
    <row r="27" spans="1:6" x14ac:dyDescent="0.25">
      <c r="A27" s="2" t="s">
        <v>35</v>
      </c>
      <c r="B27" s="7"/>
      <c r="C27" s="13" t="s">
        <v>52</v>
      </c>
      <c r="D27" s="63" t="s">
        <v>241</v>
      </c>
      <c r="E27" s="36">
        <f>' Depreciation'!E33</f>
        <v>507.2037952478438</v>
      </c>
      <c r="F27" s="103"/>
    </row>
    <row r="28" spans="1:6" ht="16.5" x14ac:dyDescent="0.35">
      <c r="A28" s="2" t="s">
        <v>44</v>
      </c>
      <c r="B28" s="2"/>
      <c r="C28" s="13" t="s">
        <v>69</v>
      </c>
      <c r="D28" s="63" t="s">
        <v>256</v>
      </c>
      <c r="E28" s="35">
        <f>-E6</f>
        <v>-1616.9620204770683</v>
      </c>
      <c r="F28" s="103"/>
    </row>
    <row r="29" spans="1:6" x14ac:dyDescent="0.25">
      <c r="A29" s="2" t="s">
        <v>45</v>
      </c>
      <c r="C29" s="13" t="s">
        <v>242</v>
      </c>
      <c r="D29" s="63" t="s">
        <v>143</v>
      </c>
      <c r="E29" s="36">
        <f>SUM(E26:E28)</f>
        <v>532.27076027802173</v>
      </c>
    </row>
    <row r="30" spans="1:6" x14ac:dyDescent="0.25">
      <c r="A30" s="2" t="s">
        <v>46</v>
      </c>
      <c r="C30" s="13" t="s">
        <v>53</v>
      </c>
      <c r="D30" s="63" t="s">
        <v>144</v>
      </c>
      <c r="E30" s="39">
        <v>0.31</v>
      </c>
    </row>
    <row r="31" spans="1:6" x14ac:dyDescent="0.25">
      <c r="A31" s="2" t="s">
        <v>47</v>
      </c>
      <c r="C31" s="13" t="s">
        <v>125</v>
      </c>
      <c r="D31" s="63" t="s">
        <v>145</v>
      </c>
      <c r="E31" s="36">
        <f>E29*E30</f>
        <v>165.00393568618674</v>
      </c>
    </row>
    <row r="32" spans="1:6" ht="16.5" x14ac:dyDescent="0.35">
      <c r="A32" s="2" t="s">
        <v>48</v>
      </c>
      <c r="C32" s="13" t="s">
        <v>122</v>
      </c>
      <c r="D32" s="63" t="s">
        <v>147</v>
      </c>
      <c r="E32" s="35">
        <f>(-E27-E28)*E30</f>
        <v>344.02504982105961</v>
      </c>
    </row>
    <row r="33" spans="1:5" x14ac:dyDescent="0.25">
      <c r="A33" s="2" t="s">
        <v>49</v>
      </c>
      <c r="C33" s="23" t="s">
        <v>71</v>
      </c>
      <c r="D33" s="64" t="s">
        <v>148</v>
      </c>
      <c r="E33" s="53">
        <f>SUM(E31:E32)</f>
        <v>509.02898550724638</v>
      </c>
    </row>
    <row r="34" spans="1:5" x14ac:dyDescent="0.25">
      <c r="C34" s="20"/>
      <c r="D34" s="71"/>
      <c r="E34" s="21"/>
    </row>
  </sheetData>
  <mergeCells count="1">
    <mergeCell ref="C1:E1"/>
  </mergeCells>
  <printOptions horizontalCentered="1"/>
  <pageMargins left="0.7" right="0.2" top="0.75" bottom="0.5" header="0.3" footer="0.3"/>
  <pageSetup scale="81" orientation="portrait" r:id="rId1"/>
  <headerFooter>
    <oddHeader>&amp;R&amp;"Arial,Bold"Appendix F</oddHeader>
    <oddFooter>&amp;C&amp;"Arial,Regular"Page &amp;P of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6"/>
  <sheetViews>
    <sheetView showWhiteSpace="0" topLeftCell="C4" zoomScaleNormal="100" workbookViewId="0">
      <selection activeCell="L24" sqref="L24"/>
    </sheetView>
  </sheetViews>
  <sheetFormatPr defaultRowHeight="15" x14ac:dyDescent="0.25"/>
  <cols>
    <col min="1" max="1" width="3" hidden="1" customWidth="1"/>
    <col min="2" max="2" width="3.5703125" hidden="1" customWidth="1"/>
    <col min="3" max="3" width="62.140625" customWidth="1"/>
    <col min="4" max="4" width="20.7109375" style="72" customWidth="1"/>
    <col min="5" max="5" width="17" customWidth="1"/>
  </cols>
  <sheetData>
    <row r="1" spans="1:5" ht="21" customHeight="1" x14ac:dyDescent="0.25">
      <c r="C1" s="172" t="s">
        <v>121</v>
      </c>
      <c r="D1" s="172"/>
      <c r="E1" s="172"/>
    </row>
    <row r="2" spans="1:5" ht="25.15" customHeight="1" x14ac:dyDescent="0.25">
      <c r="A2" s="2"/>
      <c r="B2" s="5" t="s">
        <v>0</v>
      </c>
      <c r="C2" s="56" t="s">
        <v>75</v>
      </c>
      <c r="D2" s="62" t="s">
        <v>99</v>
      </c>
      <c r="E2" s="57" t="str">
        <f>' Depreciation'!E2</f>
        <v>Annual</v>
      </c>
    </row>
    <row r="3" spans="1:5" x14ac:dyDescent="0.25">
      <c r="A3" s="2" t="s">
        <v>1</v>
      </c>
      <c r="B3" s="4"/>
      <c r="C3" s="13" t="s">
        <v>70</v>
      </c>
      <c r="D3" s="63" t="s">
        <v>100</v>
      </c>
      <c r="E3" s="34">
        <f>ROUND((' Depreciation'!E21),0)</f>
        <v>17490</v>
      </c>
    </row>
    <row r="4" spans="1:5" x14ac:dyDescent="0.25">
      <c r="A4" s="2"/>
      <c r="B4" s="4"/>
      <c r="C4" s="13" t="s">
        <v>152</v>
      </c>
      <c r="D4" s="63" t="s">
        <v>243</v>
      </c>
      <c r="E4" s="46">
        <f>+Amortization!E16</f>
        <v>14129.441380530689</v>
      </c>
    </row>
    <row r="5" spans="1:5" ht="16.5" x14ac:dyDescent="0.35">
      <c r="A5" s="2" t="s">
        <v>3</v>
      </c>
      <c r="B5" s="4"/>
      <c r="C5" s="13" t="s">
        <v>123</v>
      </c>
      <c r="D5" s="63" t="s">
        <v>244</v>
      </c>
      <c r="E5" s="40">
        <f>ROUND((-'Income Taxes'!E16),0)</f>
        <v>-1746</v>
      </c>
    </row>
    <row r="6" spans="1:5" x14ac:dyDescent="0.25">
      <c r="A6" s="2" t="s">
        <v>37</v>
      </c>
      <c r="B6" s="4"/>
      <c r="C6" s="18" t="s">
        <v>82</v>
      </c>
      <c r="D6" s="73" t="s">
        <v>107</v>
      </c>
      <c r="E6" s="41">
        <f>SUM(E3:E5)</f>
        <v>29873.44138053069</v>
      </c>
    </row>
    <row r="7" spans="1:5" x14ac:dyDescent="0.25">
      <c r="A7" s="2" t="s">
        <v>4</v>
      </c>
      <c r="B7" s="4"/>
      <c r="C7" s="13"/>
      <c r="D7" s="63"/>
      <c r="E7" s="12"/>
    </row>
    <row r="8" spans="1:5" x14ac:dyDescent="0.25">
      <c r="A8" s="2" t="s">
        <v>5</v>
      </c>
      <c r="B8" s="4"/>
      <c r="C8" s="23" t="s">
        <v>230</v>
      </c>
      <c r="D8" s="64" t="s">
        <v>117</v>
      </c>
      <c r="E8" s="42">
        <f>E6/$E28</f>
        <v>5.9496995380463435E-2</v>
      </c>
    </row>
    <row r="9" spans="1:5" x14ac:dyDescent="0.25">
      <c r="A9" s="2" t="s">
        <v>6</v>
      </c>
      <c r="B9" s="4"/>
      <c r="C9" s="16"/>
      <c r="D9" s="69"/>
      <c r="E9" s="12"/>
    </row>
    <row r="10" spans="1:5" x14ac:dyDescent="0.25">
      <c r="A10" s="2" t="s">
        <v>7</v>
      </c>
      <c r="B10" s="4"/>
      <c r="C10" s="13" t="s">
        <v>60</v>
      </c>
      <c r="D10" s="63" t="s">
        <v>108</v>
      </c>
      <c r="E10" s="34">
        <f>ROUND((E$6*E24),0)</f>
        <v>865</v>
      </c>
    </row>
    <row r="11" spans="1:5" ht="16.5" x14ac:dyDescent="0.35">
      <c r="A11" s="2" t="s">
        <v>8</v>
      </c>
      <c r="B11" s="4"/>
      <c r="C11" s="13" t="s">
        <v>61</v>
      </c>
      <c r="D11" s="63" t="s">
        <v>109</v>
      </c>
      <c r="E11" s="35">
        <f>ROUND((E$6*E25),0)</f>
        <v>1133</v>
      </c>
    </row>
    <row r="12" spans="1:5" x14ac:dyDescent="0.25">
      <c r="A12" s="2" t="s">
        <v>9</v>
      </c>
      <c r="B12" s="4"/>
      <c r="C12" s="13" t="s">
        <v>68</v>
      </c>
      <c r="D12" s="63" t="s">
        <v>110</v>
      </c>
      <c r="E12" s="34">
        <f>SUM(E10:E11)</f>
        <v>1998</v>
      </c>
    </row>
    <row r="13" spans="1:5" x14ac:dyDescent="0.25">
      <c r="A13" s="2" t="s">
        <v>10</v>
      </c>
      <c r="B13" s="4"/>
      <c r="C13" s="13"/>
      <c r="D13" s="63"/>
      <c r="E13" s="36"/>
    </row>
    <row r="14" spans="1:5" x14ac:dyDescent="0.25">
      <c r="A14" s="2" t="s">
        <v>12</v>
      </c>
      <c r="B14" s="4"/>
      <c r="C14" s="23" t="s">
        <v>101</v>
      </c>
      <c r="D14" s="64"/>
      <c r="E14" s="24"/>
    </row>
    <row r="15" spans="1:5" x14ac:dyDescent="0.25">
      <c r="A15" s="2" t="s">
        <v>13</v>
      </c>
      <c r="B15" s="4"/>
      <c r="C15" s="13" t="s">
        <v>38</v>
      </c>
      <c r="D15" s="63" t="s">
        <v>95</v>
      </c>
      <c r="E15" s="96">
        <v>0.59960000000000002</v>
      </c>
    </row>
    <row r="16" spans="1:5" x14ac:dyDescent="0.25">
      <c r="A16" s="2" t="s">
        <v>14</v>
      </c>
      <c r="B16" s="4"/>
      <c r="C16" s="13" t="s">
        <v>39</v>
      </c>
      <c r="D16" s="63" t="s">
        <v>96</v>
      </c>
      <c r="E16" s="96">
        <v>0.40039999999999998</v>
      </c>
    </row>
    <row r="17" spans="1:5" x14ac:dyDescent="0.25">
      <c r="A17" s="2" t="s">
        <v>15</v>
      </c>
      <c r="B17" s="4"/>
      <c r="C17" s="13"/>
      <c r="D17" s="63"/>
      <c r="E17" s="22"/>
    </row>
    <row r="18" spans="1:5" x14ac:dyDescent="0.25">
      <c r="A18" s="2" t="s">
        <v>16</v>
      </c>
      <c r="B18" s="4"/>
      <c r="C18" s="13" t="s">
        <v>40</v>
      </c>
      <c r="D18" s="63" t="s">
        <v>91</v>
      </c>
      <c r="E18" s="59">
        <v>4.7699999999999999E-2</v>
      </c>
    </row>
    <row r="19" spans="1:5" x14ac:dyDescent="0.25">
      <c r="A19" s="2" t="s">
        <v>18</v>
      </c>
      <c r="B19" s="4"/>
      <c r="C19" s="13" t="s">
        <v>41</v>
      </c>
      <c r="D19" s="63" t="s">
        <v>97</v>
      </c>
      <c r="E19" s="59">
        <v>9.35E-2</v>
      </c>
    </row>
    <row r="20" spans="1:5" x14ac:dyDescent="0.25">
      <c r="A20" s="2" t="s">
        <v>19</v>
      </c>
      <c r="B20" s="4"/>
      <c r="C20" s="13"/>
      <c r="D20" s="63"/>
      <c r="E20" s="12"/>
    </row>
    <row r="21" spans="1:5" x14ac:dyDescent="0.25">
      <c r="A21" s="2" t="s">
        <v>20</v>
      </c>
      <c r="B21" s="4"/>
      <c r="C21" s="13" t="s">
        <v>180</v>
      </c>
      <c r="D21" s="63" t="s">
        <v>98</v>
      </c>
      <c r="E21" s="36">
        <v>498120300</v>
      </c>
    </row>
    <row r="22" spans="1:5" x14ac:dyDescent="0.25">
      <c r="A22" s="2" t="s">
        <v>21</v>
      </c>
      <c r="B22" s="4"/>
      <c r="C22" s="13" t="s">
        <v>181</v>
      </c>
      <c r="D22" s="63" t="s">
        <v>111</v>
      </c>
      <c r="E22" s="36">
        <v>491764300</v>
      </c>
    </row>
    <row r="23" spans="1:5" x14ac:dyDescent="0.25">
      <c r="A23" s="2" t="s">
        <v>22</v>
      </c>
      <c r="B23" s="4"/>
      <c r="C23" s="13"/>
      <c r="D23" s="63"/>
      <c r="E23" s="12"/>
    </row>
    <row r="24" spans="1:5" x14ac:dyDescent="0.25">
      <c r="A24" s="2"/>
      <c r="B24" s="1"/>
      <c r="C24" s="13" t="s">
        <v>63</v>
      </c>
      <c r="D24" s="63" t="s">
        <v>112</v>
      </c>
      <c r="E24" s="43">
        <f>E15*E18*E21/E22</f>
        <v>2.897058377494259E-2</v>
      </c>
    </row>
    <row r="25" spans="1:5" x14ac:dyDescent="0.25">
      <c r="A25" s="2"/>
      <c r="B25" s="1"/>
      <c r="C25" s="13" t="s">
        <v>64</v>
      </c>
      <c r="D25" s="63" t="s">
        <v>113</v>
      </c>
      <c r="E25" s="44">
        <f>E16*E19*E21/E22</f>
        <v>3.7921274316212047E-2</v>
      </c>
    </row>
    <row r="26" spans="1:5" x14ac:dyDescent="0.25">
      <c r="A26" s="2"/>
      <c r="B26" s="1"/>
      <c r="C26" s="13" t="s">
        <v>182</v>
      </c>
      <c r="D26" s="63" t="s">
        <v>115</v>
      </c>
      <c r="E26" s="43">
        <f>SUM(E24:E25)</f>
        <v>6.6891858091154638E-2</v>
      </c>
    </row>
    <row r="27" spans="1:5" x14ac:dyDescent="0.25">
      <c r="A27" s="2"/>
      <c r="B27" s="1"/>
      <c r="C27" s="75"/>
      <c r="D27" s="69"/>
      <c r="E27" s="17"/>
    </row>
    <row r="28" spans="1:5" x14ac:dyDescent="0.25">
      <c r="A28" s="2"/>
      <c r="B28" s="1"/>
      <c r="C28" s="23" t="s">
        <v>183</v>
      </c>
      <c r="D28" s="64" t="s">
        <v>114</v>
      </c>
      <c r="E28" s="53">
        <v>502100</v>
      </c>
    </row>
    <row r="29" spans="1:5" x14ac:dyDescent="0.25">
      <c r="A29" s="2"/>
      <c r="B29" s="1"/>
      <c r="C29" s="99" t="s">
        <v>179</v>
      </c>
      <c r="D29" s="79"/>
      <c r="E29" s="80"/>
    </row>
    <row r="30" spans="1:5" x14ac:dyDescent="0.25">
      <c r="A30" s="2"/>
      <c r="B30" s="1"/>
    </row>
    <row r="31" spans="1:5" x14ac:dyDescent="0.25">
      <c r="A31" s="2"/>
      <c r="B31" s="1"/>
    </row>
    <row r="32" spans="1:5" x14ac:dyDescent="0.25">
      <c r="A32" s="2"/>
      <c r="B32" s="1"/>
    </row>
    <row r="33" spans="1:2" x14ac:dyDescent="0.25">
      <c r="A33" s="2"/>
      <c r="B33" s="1"/>
    </row>
    <row r="34" spans="1:2" x14ac:dyDescent="0.25">
      <c r="A34" s="2"/>
      <c r="B34" s="1"/>
    </row>
    <row r="35" spans="1:2" x14ac:dyDescent="0.25">
      <c r="A35" s="2"/>
      <c r="B35" s="1"/>
    </row>
    <row r="36" spans="1:2" x14ac:dyDescent="0.25">
      <c r="A36" s="2"/>
    </row>
  </sheetData>
  <mergeCells count="1">
    <mergeCell ref="C1:E1"/>
  </mergeCells>
  <printOptions horizontalCentered="1"/>
  <pageMargins left="0.7" right="0.2" top="0.75" bottom="0.5" header="0.3" footer="0.3"/>
  <pageSetup scale="97" orientation="portrait" r:id="rId1"/>
  <headerFooter>
    <oddHeader>&amp;R&amp;"Arial,Bold"Appendix F</oddHeader>
    <oddFooter>&amp;C&amp;"Arial,Regular"Page &amp;P of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5"/>
  <sheetViews>
    <sheetView topLeftCell="C1" zoomScaleNormal="100" workbookViewId="0">
      <selection activeCell="L24" sqref="L24"/>
    </sheetView>
  </sheetViews>
  <sheetFormatPr defaultColWidth="9.140625" defaultRowHeight="12.75" x14ac:dyDescent="0.2"/>
  <cols>
    <col min="1" max="1" width="2.42578125" style="1" hidden="1" customWidth="1"/>
    <col min="2" max="2" width="3.5703125" style="1" hidden="1" customWidth="1"/>
    <col min="3" max="3" width="54.5703125" style="1" customWidth="1"/>
    <col min="4" max="4" width="20.5703125" style="4" customWidth="1"/>
    <col min="5" max="5" width="12.28515625" style="1" bestFit="1" customWidth="1"/>
    <col min="6" max="6" width="10.5703125" style="1" bestFit="1" customWidth="1"/>
    <col min="7" max="16384" width="9.140625" style="1"/>
  </cols>
  <sheetData>
    <row r="1" spans="1:11" ht="21" customHeight="1" x14ac:dyDescent="0.2">
      <c r="C1" s="172" t="s">
        <v>121</v>
      </c>
      <c r="D1" s="172"/>
      <c r="E1" s="172"/>
    </row>
    <row r="2" spans="1:11" ht="25.15" customHeight="1" x14ac:dyDescent="0.2">
      <c r="A2" s="2"/>
      <c r="B2" s="5" t="s">
        <v>0</v>
      </c>
      <c r="C2" s="58" t="s">
        <v>191</v>
      </c>
      <c r="D2" s="62" t="s">
        <v>99</v>
      </c>
      <c r="E2" s="57" t="str">
        <f>' Depreciation'!E2</f>
        <v>Annual</v>
      </c>
    </row>
    <row r="3" spans="1:11" ht="14.45" customHeight="1" x14ac:dyDescent="0.2">
      <c r="A3" s="2" t="s">
        <v>1</v>
      </c>
      <c r="B3" s="4"/>
      <c r="C3" s="13" t="s">
        <v>50</v>
      </c>
      <c r="D3" s="63" t="s">
        <v>118</v>
      </c>
      <c r="E3" s="34">
        <f>' Depreciation'!E33</f>
        <v>507.2037952478438</v>
      </c>
    </row>
    <row r="4" spans="1:11" ht="14.45" customHeight="1" x14ac:dyDescent="0.2">
      <c r="A4" s="2"/>
      <c r="B4" s="4"/>
      <c r="C4" s="13" t="s">
        <v>151</v>
      </c>
      <c r="D4" s="63" t="s">
        <v>153</v>
      </c>
      <c r="E4" s="164">
        <f>+Amortization!E5</f>
        <v>3532.3603451326726</v>
      </c>
    </row>
    <row r="5" spans="1:11" ht="14.45" customHeight="1" x14ac:dyDescent="0.2">
      <c r="A5" s="2" t="s">
        <v>2</v>
      </c>
      <c r="B5" s="4"/>
      <c r="C5" s="13" t="s">
        <v>60</v>
      </c>
      <c r="D5" s="63" t="s">
        <v>154</v>
      </c>
      <c r="E5" s="165">
        <f>'Rate Base &amp; Cost Capital'!E10</f>
        <v>865</v>
      </c>
    </row>
    <row r="6" spans="1:11" ht="14.45" customHeight="1" x14ac:dyDescent="0.2">
      <c r="A6" s="2" t="s">
        <v>3</v>
      </c>
      <c r="B6" s="4"/>
      <c r="C6" s="13" t="s">
        <v>72</v>
      </c>
      <c r="D6" s="63" t="s">
        <v>155</v>
      </c>
      <c r="E6" s="165">
        <f>'Rate Base &amp; Cost Capital'!E11</f>
        <v>1133</v>
      </c>
    </row>
    <row r="7" spans="1:11" ht="14.45" customHeight="1" x14ac:dyDescent="0.35">
      <c r="A7" s="2" t="s">
        <v>37</v>
      </c>
      <c r="B7" s="4"/>
      <c r="C7" s="13" t="s">
        <v>55</v>
      </c>
      <c r="D7" s="63" t="s">
        <v>245</v>
      </c>
      <c r="E7" s="166">
        <f>+'Income Taxes'!E33</f>
        <v>509.02898550724638</v>
      </c>
    </row>
    <row r="8" spans="1:11" ht="14.45" customHeight="1" x14ac:dyDescent="0.2">
      <c r="A8" s="2" t="s">
        <v>4</v>
      </c>
      <c r="B8" s="4"/>
      <c r="C8" s="23" t="s">
        <v>116</v>
      </c>
      <c r="D8" s="64" t="s">
        <v>246</v>
      </c>
      <c r="E8" s="53">
        <f>SUM(E3:E7)</f>
        <v>6546.5931258877627</v>
      </c>
    </row>
    <row r="9" spans="1:11" ht="14.45" customHeight="1" x14ac:dyDescent="0.2">
      <c r="A9" s="2" t="s">
        <v>5</v>
      </c>
      <c r="B9" s="4"/>
      <c r="C9" s="13"/>
      <c r="D9" s="63"/>
      <c r="E9" s="12"/>
    </row>
    <row r="10" spans="1:11" ht="14.45" customHeight="1" x14ac:dyDescent="0.2">
      <c r="A10" s="2" t="s">
        <v>6</v>
      </c>
      <c r="B10" s="4"/>
      <c r="C10" s="18" t="s">
        <v>192</v>
      </c>
      <c r="D10" s="73" t="s">
        <v>156</v>
      </c>
      <c r="E10" s="133">
        <f>E8/$E12</f>
        <v>2.5123353183644677E-2</v>
      </c>
      <c r="G10" s="6"/>
      <c r="H10" s="6"/>
      <c r="I10" s="6"/>
      <c r="J10" s="6"/>
      <c r="K10" s="6"/>
    </row>
    <row r="11" spans="1:11" ht="14.45" customHeight="1" x14ac:dyDescent="0.2">
      <c r="A11" s="2" t="s">
        <v>7</v>
      </c>
      <c r="B11" s="4"/>
      <c r="C11" s="13"/>
      <c r="D11" s="63"/>
      <c r="E11" s="12"/>
    </row>
    <row r="12" spans="1:11" ht="14.45" customHeight="1" x14ac:dyDescent="0.2">
      <c r="A12" s="2" t="s">
        <v>8</v>
      </c>
      <c r="C12" s="18" t="s">
        <v>173</v>
      </c>
      <c r="D12" s="73" t="s">
        <v>157</v>
      </c>
      <c r="E12" s="41">
        <v>260578</v>
      </c>
    </row>
    <row r="13" spans="1:11" x14ac:dyDescent="0.2">
      <c r="A13" s="2"/>
      <c r="C13" s="77"/>
      <c r="D13" s="78"/>
      <c r="E13" s="85"/>
    </row>
    <row r="14" spans="1:11" x14ac:dyDescent="0.2">
      <c r="C14" s="91"/>
      <c r="D14" s="92"/>
      <c r="E14" s="91"/>
    </row>
    <row r="15" spans="1:11" x14ac:dyDescent="0.2">
      <c r="C15" s="104" t="s">
        <v>177</v>
      </c>
    </row>
  </sheetData>
  <mergeCells count="1">
    <mergeCell ref="C1:E1"/>
  </mergeCells>
  <printOptions horizontalCentered="1"/>
  <pageMargins left="0.7" right="0.2" top="0.75" bottom="0.5" header="0.3" footer="0.3"/>
  <pageSetup orientation="portrait" r:id="rId1"/>
  <headerFooter>
    <oddHeader>&amp;R&amp;"Arial,Bold"Appendix F</oddHeader>
    <oddFooter>&amp;C&amp;"Arial,Regular"Page &amp;P of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5"/>
  <sheetViews>
    <sheetView workbookViewId="0">
      <selection activeCell="L24" sqref="L24"/>
    </sheetView>
  </sheetViews>
  <sheetFormatPr defaultRowHeight="14.25" x14ac:dyDescent="0.2"/>
  <cols>
    <col min="1" max="1" width="61.5703125" style="11" bestFit="1" customWidth="1"/>
    <col min="2" max="3" width="10.5703125" style="11" hidden="1" customWidth="1"/>
    <col min="4" max="5" width="9.85546875" style="11" bestFit="1" customWidth="1"/>
    <col min="6" max="6" width="12.140625" style="11" hidden="1" customWidth="1"/>
    <col min="7" max="7" width="13.85546875" style="11" hidden="1" customWidth="1"/>
    <col min="8" max="8" width="2.85546875" style="11" customWidth="1"/>
    <col min="9" max="9" width="12.28515625" style="11" customWidth="1"/>
    <col min="10" max="11" width="9.85546875" style="11" bestFit="1" customWidth="1"/>
    <col min="12" max="16384" width="9.140625" style="11"/>
  </cols>
  <sheetData>
    <row r="1" spans="1:11" ht="15" x14ac:dyDescent="0.25">
      <c r="A1" s="173" t="s">
        <v>121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3" spans="1:11" ht="15" x14ac:dyDescent="0.25">
      <c r="A3" s="177" t="s">
        <v>259</v>
      </c>
      <c r="B3" s="178"/>
      <c r="C3" s="178"/>
      <c r="D3" s="178"/>
      <c r="E3" s="178"/>
      <c r="F3" s="178"/>
      <c r="G3" s="179"/>
      <c r="H3" s="16"/>
    </row>
    <row r="4" spans="1:11" ht="27.75" customHeight="1" x14ac:dyDescent="0.25">
      <c r="A4" s="180" t="s">
        <v>258</v>
      </c>
      <c r="B4" s="181"/>
      <c r="C4" s="181"/>
      <c r="D4" s="181"/>
      <c r="E4" s="181"/>
      <c r="F4" s="181"/>
      <c r="G4" s="182"/>
      <c r="H4" s="16"/>
    </row>
    <row r="5" spans="1:11" ht="15" x14ac:dyDescent="0.25">
      <c r="A5" s="137"/>
      <c r="B5" s="138"/>
      <c r="C5" s="138"/>
      <c r="D5" s="138"/>
      <c r="E5" s="138"/>
      <c r="F5" s="138"/>
      <c r="G5" s="139"/>
    </row>
    <row r="6" spans="1:11" ht="15" x14ac:dyDescent="0.25">
      <c r="A6" s="183" t="s">
        <v>193</v>
      </c>
      <c r="B6" s="184"/>
      <c r="C6" s="184"/>
      <c r="D6" s="184"/>
      <c r="E6" s="184"/>
      <c r="F6" s="184"/>
      <c r="G6" s="185"/>
      <c r="H6" s="170"/>
      <c r="I6" s="183" t="s">
        <v>194</v>
      </c>
      <c r="J6" s="184"/>
      <c r="K6" s="185"/>
    </row>
    <row r="7" spans="1:11" ht="57.75" x14ac:dyDescent="0.25">
      <c r="A7" s="140"/>
      <c r="B7" s="141">
        <v>2022</v>
      </c>
      <c r="C7" s="141">
        <f>+B7+1</f>
        <v>2023</v>
      </c>
      <c r="D7" s="141">
        <f t="shared" ref="D7:E7" si="0">+C7+1</f>
        <v>2024</v>
      </c>
      <c r="E7" s="141">
        <f t="shared" si="0"/>
        <v>2025</v>
      </c>
      <c r="F7" s="142" t="s">
        <v>195</v>
      </c>
      <c r="G7" s="142" t="s">
        <v>196</v>
      </c>
      <c r="I7" s="143" t="s">
        <v>197</v>
      </c>
      <c r="J7" s="143" t="s">
        <v>198</v>
      </c>
      <c r="K7" s="143" t="s">
        <v>199</v>
      </c>
    </row>
    <row r="8" spans="1:11" x14ac:dyDescent="0.2">
      <c r="A8" s="144" t="s">
        <v>200</v>
      </c>
      <c r="B8" s="145">
        <f>+'[2]Section 7.2 Proposed Rates'!H5</f>
        <v>0.14499999999999999</v>
      </c>
      <c r="C8" s="145">
        <f>+'[3]Section 7.2 Proposed Rates'!I5</f>
        <v>0.15540000000000001</v>
      </c>
      <c r="D8" s="145">
        <f>+'[3]Section 7.2 Proposed Rates'!J5</f>
        <v>0.16020000000000001</v>
      </c>
      <c r="E8" s="145">
        <f>+'[3]Section 7.2 Proposed Rates'!K5</f>
        <v>0.1663</v>
      </c>
      <c r="F8" s="146">
        <f>+(E8-B8)/B8</f>
        <v>0.14689655172413804</v>
      </c>
      <c r="G8" s="147">
        <f>+F8/3</f>
        <v>4.8965517241379347E-2</v>
      </c>
      <c r="I8" s="145">
        <v>4.8999999999999877E-3</v>
      </c>
      <c r="J8" s="148">
        <f>+D8+$I8</f>
        <v>0.1651</v>
      </c>
      <c r="K8" s="148">
        <f>+E8+$I8</f>
        <v>0.17119999999999999</v>
      </c>
    </row>
    <row r="9" spans="1:11" x14ac:dyDescent="0.2">
      <c r="A9" s="149" t="s">
        <v>201</v>
      </c>
      <c r="B9" s="145">
        <f>+'[2]Section 7.2 Proposed Rates'!H6</f>
        <v>0.11459999999999999</v>
      </c>
      <c r="C9" s="145">
        <f>+'[3]Section 7.2 Proposed Rates'!I6</f>
        <v>0.1229</v>
      </c>
      <c r="D9" s="145">
        <f>+'[3]Section 7.2 Proposed Rates'!J6</f>
        <v>0.12670000000000001</v>
      </c>
      <c r="E9" s="145">
        <f>+'[3]Section 7.2 Proposed Rates'!K6</f>
        <v>0.13150000000000001</v>
      </c>
      <c r="F9" s="146">
        <f t="shared" ref="F9:F14" si="1">+(E9-B9)/B9</f>
        <v>0.14746945898778371</v>
      </c>
      <c r="G9" s="147">
        <f t="shared" ref="G9:G14" si="2">+F9/3</f>
        <v>4.9156486329261236E-2</v>
      </c>
      <c r="I9" s="145">
        <v>3.8999999999999868E-3</v>
      </c>
      <c r="J9" s="148">
        <f t="shared" ref="J9:K14" si="3">+D9+$I9</f>
        <v>0.13059999999999999</v>
      </c>
      <c r="K9" s="148">
        <f t="shared" si="3"/>
        <v>0.13539999999999999</v>
      </c>
    </row>
    <row r="10" spans="1:11" x14ac:dyDescent="0.2">
      <c r="A10" s="144" t="s">
        <v>202</v>
      </c>
      <c r="B10" s="145">
        <f>+'[2]Section 7.2 Proposed Rates'!H7</f>
        <v>0.1789</v>
      </c>
      <c r="C10" s="145">
        <f>+'[3]Section 7.2 Proposed Rates'!I7</f>
        <v>0.19189999999999999</v>
      </c>
      <c r="D10" s="145">
        <f>+'[3]Section 7.2 Proposed Rates'!J7</f>
        <v>0.1978</v>
      </c>
      <c r="E10" s="145">
        <f>+'[3]Section 7.2 Proposed Rates'!K7</f>
        <v>0.20530000000000001</v>
      </c>
      <c r="F10" s="146">
        <f t="shared" si="1"/>
        <v>0.14756847400782563</v>
      </c>
      <c r="G10" s="147">
        <f t="shared" si="2"/>
        <v>4.918949133594188E-2</v>
      </c>
      <c r="I10" s="145">
        <v>6.0999999999999943E-3</v>
      </c>
      <c r="J10" s="148">
        <f t="shared" si="3"/>
        <v>0.2039</v>
      </c>
      <c r="K10" s="148">
        <f t="shared" si="3"/>
        <v>0.2114</v>
      </c>
    </row>
    <row r="11" spans="1:11" x14ac:dyDescent="0.2">
      <c r="A11" s="149" t="s">
        <v>203</v>
      </c>
      <c r="B11" s="145">
        <f>+'[2]Section 7.2 Proposed Rates'!H8</f>
        <v>0.1159</v>
      </c>
      <c r="C11" s="145">
        <f>+'[3]Section 7.2 Proposed Rates'!I8</f>
        <v>0.12429999999999999</v>
      </c>
      <c r="D11" s="145">
        <f>+'[3]Section 7.2 Proposed Rates'!J8</f>
        <v>0.12809999999999999</v>
      </c>
      <c r="E11" s="145">
        <f>+'[3]Section 7.2 Proposed Rates'!K8</f>
        <v>0.13289999999999999</v>
      </c>
      <c r="F11" s="146">
        <f t="shared" si="1"/>
        <v>0.14667817083692827</v>
      </c>
      <c r="G11" s="147">
        <f t="shared" si="2"/>
        <v>4.8892723612309424E-2</v>
      </c>
      <c r="I11" s="145">
        <v>3.9000000000000146E-3</v>
      </c>
      <c r="J11" s="148">
        <f t="shared" si="3"/>
        <v>0.13200000000000001</v>
      </c>
      <c r="K11" s="148">
        <f t="shared" si="3"/>
        <v>0.1368</v>
      </c>
    </row>
    <row r="12" spans="1:11" x14ac:dyDescent="0.2">
      <c r="A12" s="144" t="s">
        <v>204</v>
      </c>
      <c r="B12" s="145">
        <f>+'[2]Section 7.2 Proposed Rates'!H9</f>
        <v>0.17519999999999999</v>
      </c>
      <c r="C12" s="145">
        <f>+'[3]Section 7.2 Proposed Rates'!I9</f>
        <v>0.18779999999999999</v>
      </c>
      <c r="D12" s="145">
        <f>+'[3]Section 7.2 Proposed Rates'!J9</f>
        <v>0.19359999999999999</v>
      </c>
      <c r="E12" s="145">
        <f>+'[3]Section 7.2 Proposed Rates'!K9</f>
        <v>0.2009</v>
      </c>
      <c r="F12" s="146">
        <f t="shared" si="1"/>
        <v>0.14668949771689499</v>
      </c>
      <c r="G12" s="147">
        <f t="shared" si="2"/>
        <v>4.8896499238964997E-2</v>
      </c>
      <c r="I12" s="145">
        <v>5.9000000000000163E-3</v>
      </c>
      <c r="J12" s="148">
        <f t="shared" si="3"/>
        <v>0.19950000000000001</v>
      </c>
      <c r="K12" s="148">
        <f t="shared" si="3"/>
        <v>0.20680000000000001</v>
      </c>
    </row>
    <row r="13" spans="1:11" x14ac:dyDescent="0.2">
      <c r="A13" s="149" t="s">
        <v>205</v>
      </c>
      <c r="B13" s="145">
        <f>+'[2]Section 7.2 Proposed Rates'!H10</f>
        <v>8.6800000000000002E-2</v>
      </c>
      <c r="C13" s="145">
        <f>+'[3]Section 7.2 Proposed Rates'!I10</f>
        <v>9.3100000000000002E-2</v>
      </c>
      <c r="D13" s="145">
        <f>+'[3]Section 7.2 Proposed Rates'!J10</f>
        <v>9.5899999999999999E-2</v>
      </c>
      <c r="E13" s="145">
        <f>+'[3]Section 7.2 Proposed Rates'!K10</f>
        <v>9.9500000000000005E-2</v>
      </c>
      <c r="F13" s="146">
        <f t="shared" si="1"/>
        <v>0.14631336405529957</v>
      </c>
      <c r="G13" s="147">
        <f t="shared" si="2"/>
        <v>4.8771121351766526E-2</v>
      </c>
      <c r="I13" s="145">
        <v>3.0000000000000027E-3</v>
      </c>
      <c r="J13" s="148">
        <f t="shared" si="3"/>
        <v>9.8900000000000002E-2</v>
      </c>
      <c r="K13" s="148">
        <f t="shared" si="3"/>
        <v>0.10250000000000001</v>
      </c>
    </row>
    <row r="14" spans="1:11" x14ac:dyDescent="0.2">
      <c r="A14" s="149" t="s">
        <v>206</v>
      </c>
      <c r="B14" s="145">
        <f>+'[2]Section 7.2 Proposed Rates'!H11</f>
        <v>6.9800000000000001E-2</v>
      </c>
      <c r="C14" s="145">
        <f>+'[3]Section 7.2 Proposed Rates'!I11</f>
        <v>7.6999999999999999E-2</v>
      </c>
      <c r="D14" s="145">
        <f>+'[3]Section 7.2 Proposed Rates'!J11</f>
        <v>7.9699999999999993E-2</v>
      </c>
      <c r="E14" s="145">
        <f>+'[3]Section 7.2 Proposed Rates'!K11</f>
        <v>8.3000000000000004E-2</v>
      </c>
      <c r="F14" s="146">
        <f t="shared" si="1"/>
        <v>0.1891117478510029</v>
      </c>
      <c r="G14" s="147">
        <f t="shared" si="2"/>
        <v>6.3037249283667635E-2</v>
      </c>
      <c r="I14" s="145">
        <v>2.4000000000000132E-3</v>
      </c>
      <c r="J14" s="148">
        <f t="shared" si="3"/>
        <v>8.2100000000000006E-2</v>
      </c>
      <c r="K14" s="148">
        <f t="shared" si="3"/>
        <v>8.5400000000000018E-2</v>
      </c>
    </row>
    <row r="16" spans="1:11" ht="15" x14ac:dyDescent="0.25">
      <c r="A16" s="177" t="s">
        <v>207</v>
      </c>
      <c r="B16" s="178"/>
      <c r="C16" s="178"/>
      <c r="D16" s="178"/>
      <c r="E16" s="178"/>
      <c r="F16" s="179"/>
      <c r="H16" s="16"/>
    </row>
    <row r="17" spans="1:11" ht="60" x14ac:dyDescent="0.25">
      <c r="A17" s="150"/>
      <c r="B17" s="141">
        <f>+B7</f>
        <v>2022</v>
      </c>
      <c r="C17" s="141">
        <f t="shared" ref="C17:E17" si="4">+C7</f>
        <v>2023</v>
      </c>
      <c r="D17" s="141">
        <f t="shared" si="4"/>
        <v>2024</v>
      </c>
      <c r="E17" s="141">
        <f t="shared" si="4"/>
        <v>2025</v>
      </c>
      <c r="F17" s="143" t="str">
        <f>+F7</f>
        <v>Cumulative Change over 2022 Rates</v>
      </c>
      <c r="J17" s="143" t="str">
        <f t="shared" ref="J17:K17" si="5">+J7</f>
        <v>Revised 2024F</v>
      </c>
      <c r="K17" s="143" t="str">
        <f t="shared" si="5"/>
        <v>Revised 2025F</v>
      </c>
    </row>
    <row r="18" spans="1:11" x14ac:dyDescent="0.2">
      <c r="A18" s="149" t="s">
        <v>208</v>
      </c>
      <c r="B18" s="145">
        <f>+'[2]Section 7.2 Proposed Rates'!H17</f>
        <v>4.0200000000000001E-3</v>
      </c>
      <c r="C18" s="145">
        <f>+'[3]Section 7.2 Proposed Rates'!I17</f>
        <v>5.8900000000000003E-3</v>
      </c>
      <c r="D18" s="145">
        <f>+'[3]Section 7.2 Proposed Rates'!J17</f>
        <v>2.8700000000000002E-3</v>
      </c>
      <c r="E18" s="145">
        <f>+'[3]Section 7.2 Proposed Rates'!K17</f>
        <v>1.4499999999999999E-3</v>
      </c>
      <c r="F18" s="151">
        <f t="shared" ref="F18:F24" si="6">+(E18-B18)/B18</f>
        <v>-0.63930348258706471</v>
      </c>
      <c r="I18" s="152"/>
      <c r="J18" s="148">
        <f>+D18</f>
        <v>2.8700000000000002E-3</v>
      </c>
      <c r="K18" s="148">
        <f>+E18</f>
        <v>1.4499999999999999E-3</v>
      </c>
    </row>
    <row r="19" spans="1:11" x14ac:dyDescent="0.2">
      <c r="A19" s="149" t="s">
        <v>233</v>
      </c>
      <c r="B19" s="145"/>
      <c r="C19" s="145"/>
      <c r="D19" s="145"/>
      <c r="E19" s="145"/>
      <c r="F19" s="151"/>
      <c r="J19" s="148">
        <v>3.3E-3</v>
      </c>
      <c r="K19" s="148">
        <f>+J19</f>
        <v>3.3E-3</v>
      </c>
    </row>
    <row r="20" spans="1:11" ht="15" x14ac:dyDescent="0.25">
      <c r="A20" s="149" t="s">
        <v>209</v>
      </c>
      <c r="B20" s="145">
        <f t="shared" ref="B20:C20" si="7">SUM(B18:B19)</f>
        <v>4.0200000000000001E-3</v>
      </c>
      <c r="C20" s="145">
        <f t="shared" si="7"/>
        <v>5.8900000000000003E-3</v>
      </c>
      <c r="D20" s="145">
        <f>SUM(D18:D19)</f>
        <v>2.8700000000000002E-3</v>
      </c>
      <c r="E20" s="145">
        <f>SUM(E18:E19)</f>
        <v>1.4499999999999999E-3</v>
      </c>
      <c r="F20" s="151"/>
      <c r="J20" s="153">
        <f>SUM(J18:J19)</f>
        <v>6.1700000000000001E-3</v>
      </c>
      <c r="K20" s="153">
        <f>SUM(K18:K19)</f>
        <v>4.7499999999999999E-3</v>
      </c>
    </row>
    <row r="21" spans="1:11" hidden="1" x14ac:dyDescent="0.2">
      <c r="A21" s="149" t="s">
        <v>210</v>
      </c>
      <c r="B21" s="145">
        <f>+'[2]Section 7.2 Proposed Rates'!H18</f>
        <v>-6.9999999999999999E-4</v>
      </c>
      <c r="C21" s="145">
        <f>+'[3]Section 7.2 Proposed Rates'!I18</f>
        <v>-1.9499999999999999E-3</v>
      </c>
      <c r="D21" s="145">
        <f>+'[3]Section 7.2 Proposed Rates'!J18</f>
        <v>0</v>
      </c>
      <c r="E21" s="145">
        <f>+'[3]Section 7.2 Proposed Rates'!K18</f>
        <v>0</v>
      </c>
      <c r="F21" s="154" t="s">
        <v>211</v>
      </c>
      <c r="J21" s="148">
        <f>+D21</f>
        <v>0</v>
      </c>
      <c r="K21" s="148">
        <f>+E21</f>
        <v>0</v>
      </c>
    </row>
    <row r="22" spans="1:11" hidden="1" x14ac:dyDescent="0.2">
      <c r="A22" s="149" t="s">
        <v>212</v>
      </c>
      <c r="B22" s="145">
        <f>+'[2]Section 7.2 Proposed Rates'!H19</f>
        <v>3.5999999999999999E-3</v>
      </c>
      <c r="C22" s="145">
        <f>+'[3]Section 7.2 Proposed Rates'!I19</f>
        <v>0</v>
      </c>
      <c r="D22" s="145">
        <f>+'[3]Section 7.2 Proposed Rates'!J19</f>
        <v>0</v>
      </c>
      <c r="E22" s="145">
        <f>+'[3]Section 7.2 Proposed Rates'!K19</f>
        <v>0</v>
      </c>
      <c r="F22" s="154" t="s">
        <v>211</v>
      </c>
      <c r="J22" s="148">
        <f t="shared" ref="J22:K23" si="8">+D22</f>
        <v>0</v>
      </c>
      <c r="K22" s="148">
        <f t="shared" si="8"/>
        <v>0</v>
      </c>
    </row>
    <row r="23" spans="1:11" x14ac:dyDescent="0.2">
      <c r="A23" s="149" t="s">
        <v>213</v>
      </c>
      <c r="B23" s="145">
        <f>+'[2]Section 7.2 Proposed Rates'!H20</f>
        <v>1.2999999999999999E-3</v>
      </c>
      <c r="C23" s="145">
        <f>+'[3]Section 7.2 Proposed Rates'!I20</f>
        <v>0</v>
      </c>
      <c r="D23" s="145">
        <f>+'[3]Section 7.2 Proposed Rates'!J20</f>
        <v>3.3E-4</v>
      </c>
      <c r="E23" s="145">
        <f>+'[3]Section 7.2 Proposed Rates'!K20</f>
        <v>1.2099999999999999E-3</v>
      </c>
      <c r="F23" s="151">
        <f t="shared" si="6"/>
        <v>-6.9230769230769248E-2</v>
      </c>
      <c r="J23" s="148">
        <f t="shared" si="8"/>
        <v>3.3E-4</v>
      </c>
      <c r="K23" s="148">
        <f t="shared" si="8"/>
        <v>1.2099999999999999E-3</v>
      </c>
    </row>
    <row r="24" spans="1:11" ht="15" x14ac:dyDescent="0.25">
      <c r="A24" s="155" t="s">
        <v>214</v>
      </c>
      <c r="B24" s="153">
        <f t="shared" ref="B24:C24" si="9">ROUND(SUM(B20:B23),4)</f>
        <v>8.2000000000000007E-3</v>
      </c>
      <c r="C24" s="153">
        <f t="shared" si="9"/>
        <v>3.8999999999999998E-3</v>
      </c>
      <c r="D24" s="153">
        <f>ROUND(SUM(D20:D23),4)</f>
        <v>3.2000000000000002E-3</v>
      </c>
      <c r="E24" s="153">
        <f>ROUND(SUM(E20:E23),4)</f>
        <v>2.7000000000000001E-3</v>
      </c>
      <c r="F24" s="156">
        <f t="shared" si="6"/>
        <v>-0.67073170731707321</v>
      </c>
      <c r="J24" s="153">
        <f>SUM(J20:J23)</f>
        <v>6.5000000000000006E-3</v>
      </c>
      <c r="K24" s="153">
        <f>SUM(K20:K23)</f>
        <v>5.96E-3</v>
      </c>
    </row>
    <row r="26" spans="1:11" ht="15" x14ac:dyDescent="0.25">
      <c r="A26" s="174" t="s">
        <v>215</v>
      </c>
      <c r="B26" s="175"/>
      <c r="C26" s="175"/>
      <c r="D26" s="175"/>
      <c r="E26" s="175"/>
      <c r="F26" s="175"/>
      <c r="G26" s="176"/>
      <c r="H26" s="16"/>
    </row>
    <row r="27" spans="1:11" ht="60" x14ac:dyDescent="0.25">
      <c r="A27" s="157"/>
      <c r="B27" s="141">
        <f>+B17</f>
        <v>2022</v>
      </c>
      <c r="C27" s="141">
        <f t="shared" ref="C27:F27" si="10">+C17</f>
        <v>2023</v>
      </c>
      <c r="D27" s="141">
        <f t="shared" si="10"/>
        <v>2024</v>
      </c>
      <c r="E27" s="141">
        <f t="shared" si="10"/>
        <v>2025</v>
      </c>
      <c r="F27" s="143" t="str">
        <f t="shared" si="10"/>
        <v>Cumulative Change over 2022 Rates</v>
      </c>
      <c r="G27" s="158" t="str">
        <f>+G7</f>
        <v>Average Annual Variance</v>
      </c>
      <c r="J27" s="143" t="str">
        <f t="shared" ref="J27:K27" si="11">+J17</f>
        <v>Revised 2024F</v>
      </c>
      <c r="K27" s="143" t="str">
        <f t="shared" si="11"/>
        <v>Revised 2025F</v>
      </c>
    </row>
    <row r="28" spans="1:11" x14ac:dyDescent="0.2">
      <c r="A28" s="144" t="s">
        <v>200</v>
      </c>
      <c r="B28" s="145">
        <f t="shared" ref="B28:E34" si="12">B8+B$24</f>
        <v>0.1532</v>
      </c>
      <c r="C28" s="145">
        <f t="shared" si="12"/>
        <v>0.1593</v>
      </c>
      <c r="D28" s="145">
        <f t="shared" si="12"/>
        <v>0.16340000000000002</v>
      </c>
      <c r="E28" s="145">
        <f t="shared" si="12"/>
        <v>0.16900000000000001</v>
      </c>
      <c r="F28" s="146">
        <f>+(E28-B28)/B28</f>
        <v>0.10313315926892956</v>
      </c>
      <c r="G28" s="147">
        <f>+F28/3</f>
        <v>3.4377719756309856E-2</v>
      </c>
      <c r="J28" s="145">
        <f t="shared" ref="J28:K34" si="13">J8+J$24</f>
        <v>0.1716</v>
      </c>
      <c r="K28" s="145">
        <f t="shared" si="13"/>
        <v>0.17715999999999998</v>
      </c>
    </row>
    <row r="29" spans="1:11" x14ac:dyDescent="0.2">
      <c r="A29" s="149" t="s">
        <v>201</v>
      </c>
      <c r="B29" s="145">
        <f t="shared" si="12"/>
        <v>0.12279999999999999</v>
      </c>
      <c r="C29" s="145">
        <f t="shared" si="12"/>
        <v>0.1268</v>
      </c>
      <c r="D29" s="145">
        <f t="shared" si="12"/>
        <v>0.12990000000000002</v>
      </c>
      <c r="E29" s="145">
        <f t="shared" si="12"/>
        <v>0.13420000000000001</v>
      </c>
      <c r="F29" s="146">
        <f t="shared" ref="F29:F34" si="14">+(E29-B29)/B29</f>
        <v>9.2833876221498551E-2</v>
      </c>
      <c r="G29" s="147">
        <f t="shared" ref="G29:G34" si="15">+F29/3</f>
        <v>3.0944625407166183E-2</v>
      </c>
      <c r="J29" s="145">
        <f t="shared" si="13"/>
        <v>0.1371</v>
      </c>
      <c r="K29" s="145">
        <f t="shared" si="13"/>
        <v>0.14135999999999999</v>
      </c>
    </row>
    <row r="30" spans="1:11" x14ac:dyDescent="0.2">
      <c r="A30" s="144" t="s">
        <v>202</v>
      </c>
      <c r="B30" s="145">
        <f t="shared" si="12"/>
        <v>0.18710000000000002</v>
      </c>
      <c r="C30" s="145">
        <f t="shared" si="12"/>
        <v>0.19579999999999997</v>
      </c>
      <c r="D30" s="145">
        <f t="shared" si="12"/>
        <v>0.20100000000000001</v>
      </c>
      <c r="E30" s="145">
        <f t="shared" si="12"/>
        <v>0.20800000000000002</v>
      </c>
      <c r="F30" s="146">
        <f t="shared" si="14"/>
        <v>0.11170497060395511</v>
      </c>
      <c r="G30" s="147">
        <f t="shared" si="15"/>
        <v>3.7234990201318367E-2</v>
      </c>
      <c r="J30" s="145">
        <f t="shared" si="13"/>
        <v>0.2104</v>
      </c>
      <c r="K30" s="145">
        <f t="shared" si="13"/>
        <v>0.21736</v>
      </c>
    </row>
    <row r="31" spans="1:11" x14ac:dyDescent="0.2">
      <c r="A31" s="149" t="s">
        <v>203</v>
      </c>
      <c r="B31" s="145">
        <f t="shared" si="12"/>
        <v>0.1241</v>
      </c>
      <c r="C31" s="145">
        <f t="shared" si="12"/>
        <v>0.12819999999999998</v>
      </c>
      <c r="D31" s="145">
        <f t="shared" si="12"/>
        <v>0.1313</v>
      </c>
      <c r="E31" s="145">
        <f t="shared" si="12"/>
        <v>0.1356</v>
      </c>
      <c r="F31" s="146">
        <f t="shared" si="14"/>
        <v>9.2667203867848477E-2</v>
      </c>
      <c r="G31" s="147">
        <f t="shared" si="15"/>
        <v>3.0889067955949492E-2</v>
      </c>
      <c r="J31" s="145">
        <f t="shared" si="13"/>
        <v>0.13850000000000001</v>
      </c>
      <c r="K31" s="145">
        <f t="shared" si="13"/>
        <v>0.14276</v>
      </c>
    </row>
    <row r="32" spans="1:11" x14ac:dyDescent="0.2">
      <c r="A32" s="144" t="s">
        <v>204</v>
      </c>
      <c r="B32" s="145">
        <f t="shared" si="12"/>
        <v>0.18340000000000001</v>
      </c>
      <c r="C32" s="145">
        <f t="shared" si="12"/>
        <v>0.19169999999999998</v>
      </c>
      <c r="D32" s="145">
        <f t="shared" si="12"/>
        <v>0.1968</v>
      </c>
      <c r="E32" s="145">
        <f t="shared" si="12"/>
        <v>0.2036</v>
      </c>
      <c r="F32" s="146">
        <f t="shared" si="14"/>
        <v>0.11014176663031622</v>
      </c>
      <c r="G32" s="147">
        <f t="shared" si="15"/>
        <v>3.6713922210105408E-2</v>
      </c>
      <c r="J32" s="145">
        <f t="shared" si="13"/>
        <v>0.20600000000000002</v>
      </c>
      <c r="K32" s="145">
        <f t="shared" si="13"/>
        <v>0.21276</v>
      </c>
    </row>
    <row r="33" spans="1:11" x14ac:dyDescent="0.2">
      <c r="A33" s="149" t="s">
        <v>205</v>
      </c>
      <c r="B33" s="145">
        <f t="shared" si="12"/>
        <v>9.5000000000000001E-2</v>
      </c>
      <c r="C33" s="145">
        <f t="shared" si="12"/>
        <v>9.7000000000000003E-2</v>
      </c>
      <c r="D33" s="145">
        <f t="shared" si="12"/>
        <v>9.9099999999999994E-2</v>
      </c>
      <c r="E33" s="145">
        <f t="shared" si="12"/>
        <v>0.1022</v>
      </c>
      <c r="F33" s="146">
        <f t="shared" si="14"/>
        <v>7.5789473684210504E-2</v>
      </c>
      <c r="G33" s="147">
        <f t="shared" si="15"/>
        <v>2.5263157894736835E-2</v>
      </c>
      <c r="J33" s="145">
        <f t="shared" si="13"/>
        <v>0.10540000000000001</v>
      </c>
      <c r="K33" s="145">
        <f t="shared" si="13"/>
        <v>0.10846</v>
      </c>
    </row>
    <row r="34" spans="1:11" x14ac:dyDescent="0.2">
      <c r="A34" s="149" t="s">
        <v>206</v>
      </c>
      <c r="B34" s="159">
        <f t="shared" si="12"/>
        <v>7.8E-2</v>
      </c>
      <c r="C34" s="159">
        <f t="shared" si="12"/>
        <v>8.09E-2</v>
      </c>
      <c r="D34" s="159">
        <f t="shared" si="12"/>
        <v>8.2899999999999988E-2</v>
      </c>
      <c r="E34" s="159">
        <f t="shared" si="12"/>
        <v>8.5699999999999998E-2</v>
      </c>
      <c r="F34" s="146">
        <f t="shared" si="14"/>
        <v>9.87179487179487E-2</v>
      </c>
      <c r="G34" s="147">
        <f t="shared" si="15"/>
        <v>3.29059829059829E-2</v>
      </c>
      <c r="J34" s="159">
        <f t="shared" si="13"/>
        <v>8.8600000000000012E-2</v>
      </c>
      <c r="K34" s="159">
        <f t="shared" si="13"/>
        <v>9.1360000000000025E-2</v>
      </c>
    </row>
    <row r="35" spans="1:11" x14ac:dyDescent="0.2">
      <c r="A35" s="160" t="s">
        <v>216</v>
      </c>
    </row>
  </sheetData>
  <mergeCells count="7">
    <mergeCell ref="A1:K1"/>
    <mergeCell ref="A26:G26"/>
    <mergeCell ref="A3:G3"/>
    <mergeCell ref="A4:G4"/>
    <mergeCell ref="A6:G6"/>
    <mergeCell ref="I6:K6"/>
    <mergeCell ref="A16:F16"/>
  </mergeCells>
  <printOptions horizontalCentered="1"/>
  <pageMargins left="0.7" right="0.2" top="0.75" bottom="0.5" header="0.3" footer="0.3"/>
  <pageSetup scale="83" orientation="portrait" r:id="rId1"/>
  <headerFooter>
    <oddHeader>&amp;R&amp;"Arial,Bold"Appendix F</oddHeader>
    <oddFooter>&amp;C&amp;"Arial,Regular"Page &amp;P of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1"/>
  <sheetViews>
    <sheetView topLeftCell="C1" zoomScaleNormal="100" workbookViewId="0">
      <selection activeCell="L24" sqref="L24"/>
    </sheetView>
  </sheetViews>
  <sheetFormatPr defaultColWidth="9.140625" defaultRowHeight="12.75" x14ac:dyDescent="0.2"/>
  <cols>
    <col min="1" max="2" width="3.5703125" style="10" hidden="1" customWidth="1"/>
    <col min="3" max="3" width="54.7109375" style="10" customWidth="1"/>
    <col min="4" max="4" width="35.85546875" style="63" customWidth="1"/>
    <col min="5" max="5" width="14.140625" style="10" customWidth="1"/>
    <col min="6" max="16384" width="9.140625" style="10"/>
  </cols>
  <sheetData>
    <row r="1" spans="1:11" ht="21" customHeight="1" x14ac:dyDescent="0.2">
      <c r="C1" s="172" t="s">
        <v>121</v>
      </c>
      <c r="D1" s="172"/>
      <c r="E1" s="172"/>
    </row>
    <row r="2" spans="1:11" ht="25.15" customHeight="1" x14ac:dyDescent="0.2">
      <c r="A2" s="48"/>
      <c r="B2" s="49" t="s">
        <v>0</v>
      </c>
      <c r="C2" s="56" t="s">
        <v>260</v>
      </c>
      <c r="D2" s="62" t="s">
        <v>99</v>
      </c>
      <c r="E2" s="57" t="str">
        <f>' Depreciation'!E2</f>
        <v>Annual</v>
      </c>
    </row>
    <row r="3" spans="1:11" x14ac:dyDescent="0.2">
      <c r="C3" s="13"/>
      <c r="E3" s="12"/>
    </row>
    <row r="4" spans="1:11" ht="25.5" x14ac:dyDescent="0.2">
      <c r="A4" s="10">
        <v>6</v>
      </c>
      <c r="C4" s="54" t="s">
        <v>119</v>
      </c>
      <c r="D4" s="65" t="s">
        <v>217</v>
      </c>
      <c r="E4" s="55">
        <f>'Proposed Distribution Rates'!I8*650*12</f>
        <v>38.219999999999906</v>
      </c>
    </row>
    <row r="5" spans="1:11" x14ac:dyDescent="0.2">
      <c r="A5" s="10">
        <v>7</v>
      </c>
      <c r="C5" s="50"/>
      <c r="D5" s="66"/>
      <c r="E5" s="51"/>
    </row>
    <row r="6" spans="1:11" ht="25.5" x14ac:dyDescent="0.2">
      <c r="A6" s="10">
        <v>8</v>
      </c>
      <c r="C6" s="50" t="s">
        <v>168</v>
      </c>
      <c r="D6" s="66" t="s">
        <v>221</v>
      </c>
      <c r="E6" s="134">
        <f>E4/$E13</f>
        <v>2.3943617854346066E-2</v>
      </c>
      <c r="H6" s="52"/>
      <c r="I6" s="52"/>
      <c r="J6" s="52"/>
      <c r="K6" s="52"/>
    </row>
    <row r="7" spans="1:11" ht="25.5" x14ac:dyDescent="0.2">
      <c r="A7" s="10">
        <v>9</v>
      </c>
      <c r="C7" s="50" t="s">
        <v>169</v>
      </c>
      <c r="D7" s="66" t="s">
        <v>222</v>
      </c>
      <c r="E7" s="134">
        <f>E4/$E15</f>
        <v>2.4374222760753742E-2</v>
      </c>
      <c r="H7" s="52"/>
      <c r="I7" s="52"/>
      <c r="J7" s="52"/>
      <c r="K7" s="52"/>
    </row>
    <row r="8" spans="1:11" x14ac:dyDescent="0.2">
      <c r="A8" s="10">
        <v>10</v>
      </c>
      <c r="C8" s="13"/>
      <c r="E8" s="135"/>
    </row>
    <row r="9" spans="1:11" ht="25.5" x14ac:dyDescent="0.2">
      <c r="A9" s="10">
        <v>11</v>
      </c>
      <c r="C9" s="54" t="s">
        <v>120</v>
      </c>
      <c r="D9" s="65" t="s">
        <v>218</v>
      </c>
      <c r="E9" s="55">
        <f>'Proposed Distribution Rates'!I10*5000*12+'Proposed Distribution Rates'!I11*5000*12</f>
        <v>600.00000000000045</v>
      </c>
      <c r="G9" s="74"/>
    </row>
    <row r="10" spans="1:11" ht="9.75" customHeight="1" x14ac:dyDescent="0.2">
      <c r="C10" s="97"/>
      <c r="D10" s="98"/>
      <c r="E10" s="136"/>
      <c r="G10" s="74"/>
    </row>
    <row r="11" spans="1:11" ht="25.5" x14ac:dyDescent="0.2">
      <c r="A11" s="10">
        <v>12</v>
      </c>
      <c r="C11" s="50" t="s">
        <v>170</v>
      </c>
      <c r="D11" s="66" t="s">
        <v>220</v>
      </c>
      <c r="E11" s="134">
        <f>E9/$E17</f>
        <v>2.3955117691493236E-2</v>
      </c>
      <c r="H11" s="52"/>
      <c r="I11" s="52"/>
      <c r="J11" s="52"/>
      <c r="K11" s="52"/>
    </row>
    <row r="12" spans="1:11" x14ac:dyDescent="0.2">
      <c r="A12" s="10">
        <v>13</v>
      </c>
      <c r="C12" s="13"/>
      <c r="E12" s="12"/>
    </row>
    <row r="13" spans="1:11" ht="38.25" x14ac:dyDescent="0.2">
      <c r="A13" s="10">
        <v>14</v>
      </c>
      <c r="C13" s="50" t="s">
        <v>171</v>
      </c>
      <c r="D13" s="66" t="s">
        <v>87</v>
      </c>
      <c r="E13" s="51">
        <v>1596.25</v>
      </c>
    </row>
    <row r="14" spans="1:11" ht="7.5" customHeight="1" x14ac:dyDescent="0.2">
      <c r="A14" s="10">
        <v>15</v>
      </c>
      <c r="C14" s="13"/>
      <c r="E14" s="12"/>
    </row>
    <row r="15" spans="1:11" ht="38.25" x14ac:dyDescent="0.2">
      <c r="A15" s="10">
        <v>16</v>
      </c>
      <c r="C15" s="50" t="s">
        <v>171</v>
      </c>
      <c r="D15" s="66" t="s">
        <v>219</v>
      </c>
      <c r="E15" s="51">
        <v>1568.05</v>
      </c>
    </row>
    <row r="16" spans="1:11" ht="7.5" customHeight="1" x14ac:dyDescent="0.2">
      <c r="A16" s="10">
        <v>17</v>
      </c>
      <c r="C16" s="13"/>
      <c r="E16" s="12"/>
    </row>
    <row r="17" spans="1:5" ht="38.25" x14ac:dyDescent="0.2">
      <c r="A17" s="10">
        <v>18</v>
      </c>
      <c r="C17" s="50" t="s">
        <v>172</v>
      </c>
      <c r="D17" s="66" t="s">
        <v>157</v>
      </c>
      <c r="E17" s="51">
        <v>25046.84</v>
      </c>
    </row>
    <row r="18" spans="1:5" x14ac:dyDescent="0.2">
      <c r="C18" s="13"/>
      <c r="E18" s="12"/>
    </row>
    <row r="19" spans="1:5" x14ac:dyDescent="0.2">
      <c r="C19" s="86"/>
      <c r="D19" s="90"/>
      <c r="E19" s="93"/>
    </row>
    <row r="20" spans="1:5" x14ac:dyDescent="0.2">
      <c r="C20" s="45"/>
      <c r="D20" s="61"/>
      <c r="E20" s="47"/>
    </row>
    <row r="21" spans="1:5" x14ac:dyDescent="0.2">
      <c r="C21" s="89"/>
      <c r="D21" s="90"/>
      <c r="E21" s="89"/>
    </row>
  </sheetData>
  <mergeCells count="1">
    <mergeCell ref="C1:E1"/>
  </mergeCells>
  <printOptions horizontalCentered="1"/>
  <pageMargins left="0.5" right="0.3" top="0.75" bottom="0.5" header="0.3" footer="0.3"/>
  <pageSetup scale="94" orientation="portrait" r:id="rId1"/>
  <headerFooter>
    <oddHeader>&amp;R&amp;"Arial,Bold"Appendix F</oddHeader>
    <oddFooter>&amp;C&amp;"Arial,Regular"Page &amp;P of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"/>
  <sheetViews>
    <sheetView workbookViewId="0">
      <selection activeCell="L68" sqref="L68"/>
    </sheetView>
  </sheetViews>
  <sheetFormatPr defaultRowHeight="15" x14ac:dyDescent="0.25"/>
  <cols>
    <col min="1" max="1" width="15.7109375" bestFit="1" customWidth="1"/>
    <col min="2" max="2" width="17" bestFit="1" customWidth="1"/>
    <col min="3" max="3" width="12.5703125" bestFit="1" customWidth="1"/>
    <col min="4" max="4" width="16.85546875" bestFit="1" customWidth="1"/>
  </cols>
  <sheetData>
    <row r="1" spans="1:4" x14ac:dyDescent="0.25">
      <c r="A1" s="186" t="s">
        <v>232</v>
      </c>
      <c r="B1" s="186"/>
      <c r="C1" s="186"/>
      <c r="D1" s="186"/>
    </row>
    <row r="2" spans="1:4" x14ac:dyDescent="0.25">
      <c r="A2" t="s">
        <v>158</v>
      </c>
      <c r="B2" t="s">
        <v>159</v>
      </c>
      <c r="C2" t="s">
        <v>160</v>
      </c>
      <c r="D2" t="s">
        <v>161</v>
      </c>
    </row>
    <row r="3" spans="1:4" x14ac:dyDescent="0.25">
      <c r="A3" t="s">
        <v>162</v>
      </c>
      <c r="B3" s="129">
        <v>1275</v>
      </c>
      <c r="C3" s="103">
        <v>662.19</v>
      </c>
      <c r="D3" s="130">
        <f>+B3*C3</f>
        <v>844292.25000000012</v>
      </c>
    </row>
    <row r="4" spans="1:4" x14ac:dyDescent="0.25">
      <c r="A4" t="s">
        <v>163</v>
      </c>
      <c r="B4" s="129">
        <v>140</v>
      </c>
      <c r="C4" s="128">
        <f>30.68*0.5</f>
        <v>15.34</v>
      </c>
      <c r="D4" s="129">
        <f>+B4*C4</f>
        <v>2147.6</v>
      </c>
    </row>
    <row r="5" spans="1:4" x14ac:dyDescent="0.25">
      <c r="A5" t="s">
        <v>164</v>
      </c>
      <c r="B5" s="129"/>
      <c r="C5" s="128"/>
      <c r="D5" s="129">
        <v>72319.156024430864</v>
      </c>
    </row>
    <row r="6" spans="1:4" x14ac:dyDescent="0.25">
      <c r="A6" t="s">
        <v>165</v>
      </c>
      <c r="B6" s="129">
        <v>445</v>
      </c>
      <c r="C6" s="128">
        <v>814.33</v>
      </c>
      <c r="D6" s="131">
        <f>+B6*C6</f>
        <v>362376.85000000003</v>
      </c>
    </row>
    <row r="7" spans="1:4" ht="15.75" thickBot="1" x14ac:dyDescent="0.3">
      <c r="A7" t="s">
        <v>231</v>
      </c>
      <c r="B7" s="129"/>
      <c r="D7" s="132">
        <f>SUM(D3:D6)</f>
        <v>1281135.8560244311</v>
      </c>
    </row>
    <row r="8" spans="1:4" ht="15.75" thickTop="1" x14ac:dyDescent="0.25"/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pport Document" ma:contentTypeID="0x01010087DDA8BE470AFE4993BEDB69BC0B40F60204008ED646A0F676D44299F4CFCF69A57B76" ma:contentTypeVersion="1" ma:contentTypeDescription="" ma:contentTypeScope="" ma:versionID="8df41919a11eb5603495b83bcb7e50c8">
  <xsd:schema xmlns:xsd="http://www.w3.org/2001/XMLSchema" xmlns:xs="http://www.w3.org/2001/XMLSchema" xmlns:p="http://schemas.microsoft.com/office/2006/metadata/properties" xmlns:ns2="bb9f5cce-8978-4b57-8055-abe6ee7aa763" xmlns:ns4="http://schemas.microsoft.com/sharepoint/v4" targetNamespace="http://schemas.microsoft.com/office/2006/metadata/properties" ma:root="true" ma:fieldsID="ac91c86d9785daf55e2a266f924ee993" ns2:_="" ns4:_="">
    <xsd:import namespace="bb9f5cce-8978-4b57-8055-abe6ee7aa76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Support_x0020_Status" minOccurs="0"/>
                <xsd:element ref="ns2:Support_x0020_Document_x0020_Type" minOccurs="0"/>
                <xsd:element ref="ns2:Notes1" minOccurs="0"/>
                <xsd:element ref="ns2:Support_x0020_Published_x0020_Document_x0020_Type" minOccurs="0"/>
                <xsd:element ref="ns2:TopicTaxHTField0" minOccurs="0"/>
                <xsd:element ref="ns2:TaxCatchAll" minOccurs="0"/>
                <xsd:element ref="ns2:TaxCatchAllLabel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Support_x0020_Status" ma:index="3" nillable="true" ma:displayName="Support Status" ma:format="Dropdown" ma:internalName="Support_x0020_Status">
      <xsd:simpleType>
        <xsd:restriction base="dms:Choice">
          <xsd:enumeration value="Draft"/>
          <xsd:enumeration value="Final"/>
        </xsd:restriction>
      </xsd:simpleType>
    </xsd:element>
    <xsd:element name="Support_x0020_Document_x0020_Type" ma:index="4" nillable="true" ma:displayName="Support Document Type" ma:format="Dropdown" ma:internalName="Support_x0020_Document_x0020_Type0">
      <xsd:simpleType>
        <xsd:restriction base="dms:Choice">
          <xsd:enumeration value="QA"/>
          <xsd:enumeration value="Work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Support_x0020_Published_x0020_Document_x0020_Type" ma:index="7" nillable="true" ma:displayName="Support Published Document Type" ma:format="Dropdown" ma:internalName="Support_x0020_Published_x0020_Document_x0020_Type0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TopicTaxHTField0" ma:index="13" nillable="true" ma:taxonomy="true" ma:internalName="TopicTaxHTField0" ma:taxonomyFieldName="Topic" ma:displayName="Topic" ma:default="" ma:fieldId="{558ad66f-b089-4a3a-8feb-a9e41c7aed94}" ma:sspId="54dc7821-0d06-4c55-90f8-b86f231f40bc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Capital Budget</TermName>
          <TermId xmlns="http://schemas.microsoft.com/office/infopath/2007/PartnerControls">15af5c68-45dc-4e11-9226-78ef5575ef40</TermId>
        </TermInfo>
      </Terms>
    </TopicTaxHTField0>
    <Support_x0020_Published_x0020_Document_x0020_Type xmlns="bb9f5cce-8978-4b57-8055-abe6ee7aa763" xsi:nil="true"/>
    <Support_x0020_Status xmlns="bb9f5cce-8978-4b57-8055-abe6ee7aa763" xsi:nil="true"/>
    <TaxCatchAll xmlns="bb9f5cce-8978-4b57-8055-abe6ee7aa763"/>
    <Support_x0020_Document_x0020_Type xmlns="bb9f5cce-8978-4b57-8055-abe6ee7aa763" xsi:nil="true"/>
    <Project xmlns="bb9f5cce-8978-4b57-8055-abe6ee7aa763">2015 NP Capital Budget Application</Projec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4B83127-A4CD-41DE-B31E-DE7C4D383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1AD408-CA0E-4AD2-A5D1-FD4AB058C3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A3A58E-1CEC-48D4-801D-E8A90FB99826}">
  <ds:schemaRefs>
    <ds:schemaRef ds:uri="bb9f5cce-8978-4b57-8055-abe6ee7aa763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sharepoint/v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 Depreciation</vt:lpstr>
      <vt:lpstr>Amortization</vt:lpstr>
      <vt:lpstr>Income Taxes</vt:lpstr>
      <vt:lpstr>Rate Base &amp; Cost Capital</vt:lpstr>
      <vt:lpstr>Revenue Requirement</vt:lpstr>
      <vt:lpstr>Proposed Distribution Rates</vt:lpstr>
      <vt:lpstr>Distribution Rate Impact</vt:lpstr>
      <vt:lpstr>Retirements</vt:lpstr>
      <vt:lpstr>' Depreciation'!Print_Area</vt:lpstr>
      <vt:lpstr>Amortization!Print_Area</vt:lpstr>
      <vt:lpstr>'Distribution Rate Impact'!Print_Area</vt:lpstr>
      <vt:lpstr>'Income Taxes'!Print_Area</vt:lpstr>
      <vt:lpstr>'Proposed Distribution Rates'!Print_Area</vt:lpstr>
      <vt:lpstr>'Rate Base &amp; Cost Capital'!Print_Area</vt:lpstr>
      <vt:lpstr>'Revenue Requirement'!Print_Area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bmcdonal</dc:creator>
  <cp:lastModifiedBy>Crockett, Gloria</cp:lastModifiedBy>
  <cp:lastPrinted>2023-11-03T12:55:06Z</cp:lastPrinted>
  <dcterms:created xsi:type="dcterms:W3CDTF">2011-08-08T16:27:12Z</dcterms:created>
  <dcterms:modified xsi:type="dcterms:W3CDTF">2023-11-03T18:05:58Z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0x01010087DDA8BE470AFE4993BEDB69BC0B40F60204008ED646A0F676D44299F4CFCF69A57B76</vt:lpwstr>
  </property>
  <property fmtid="{D5CDD505-2E9C-101B-9397-08002B2CF9AE}" pid="3" name="Topic">
    <vt:lpwstr>53</vt:lpwstr>
  </property>
</Properties>
</file>