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hidePivotFieldList="1"/>
  <mc:AlternateContent xmlns:mc="http://schemas.openxmlformats.org/markup-compatibility/2006">
    <mc:Choice Requires="x15">
      <x15ac:absPath xmlns:x15ac="http://schemas.microsoft.com/office/spreadsheetml/2010/11/ac" url="\\mercury\users\FIN\Regulation\Applications and Filings\OATT\2022 OATT Schedule Update\Interr for 2021 OATT Schedules from Commission\"/>
    </mc:Choice>
  </mc:AlternateContent>
  <xr:revisionPtr revIDLastSave="0" documentId="13_ncr:1_{27CFFA6D-DDC1-49AB-A0AA-992ED586D30D}" xr6:coauthVersionLast="36" xr6:coauthVersionMax="36" xr10:uidLastSave="{00000000-0000-0000-0000-000000000000}"/>
  <bookViews>
    <workbookView xWindow="0" yWindow="0" windowWidth="28800" windowHeight="11400" firstSheet="14" activeTab="20" xr2:uid="{00000000-000D-0000-FFFF-FFFF00000000}"/>
  </bookViews>
  <sheets>
    <sheet name="OATT Additions by Asset " sheetId="1" r:id="rId1"/>
    <sheet name="Presentation Summary" sheetId="2" r:id="rId2"/>
    <sheet name="Worksheet for Presentation Sum" sheetId="3" r:id="rId3"/>
    <sheet name="Orders - OATT Projects" sheetId="4" r:id="rId4"/>
    <sheet name="Trans Line Refurb &amp; Proj" sheetId="21" r:id="rId5"/>
    <sheet name="Y104 Build" sheetId="23" r:id="rId6"/>
    <sheet name="69 &amp; 138 KV Switch Rep" sheetId="8" r:id="rId7"/>
    <sheet name="Y109 Ext to Borden" sheetId="9" r:id="rId8"/>
    <sheet name="Lorne Valley Switching Station" sheetId="6" r:id="rId9"/>
    <sheet name="69 KV Breaker Rep" sheetId="5" r:id="rId10"/>
    <sheet name="Comm Equipment" sheetId="11" r:id="rId11"/>
    <sheet name="T-3 Rebuild" sheetId="12" r:id="rId12"/>
    <sheet name="T-8 Rebuild" sheetId="13" r:id="rId13"/>
    <sheet name="T-1 Ext to Bagnall Rd" sheetId="15" r:id="rId14"/>
    <sheet name="Capacitors" sheetId="16" r:id="rId15"/>
    <sheet name="T-21 Rebuild" sheetId="14" r:id="rId16"/>
    <sheet name="138 kV Tap Clyde River" sheetId="17" r:id="rId17"/>
    <sheet name="Substation Modernization" sheetId="20" r:id="rId18"/>
    <sheet name="T-15 Ext to Airport" sheetId="18" r:id="rId19"/>
    <sheet name="Y109 Banockburn Rd" sheetId="19" r:id="rId20"/>
    <sheet name="Other" sheetId="22" r:id="rId21"/>
  </sheets>
  <externalReferences>
    <externalReference r:id="rId22"/>
  </externalReferences>
  <definedNames>
    <definedName name="_xlnm._FilterDatabase" localSheetId="3" hidden="1">'Orders - OATT Projects'!$A$4:$V$86</definedName>
    <definedName name="_xlnm._FilterDatabase" localSheetId="2" hidden="1">'Worksheet for Presentation Sum'!$A$4:$O$104</definedName>
    <definedName name="Z_0B883182_CA7E_436B_9583_BDCC5436016C_.wvu.FilterData" localSheetId="3" hidden="1">'Orders - OATT Projects'!$A$4:$V$4</definedName>
    <definedName name="Z_0B883182_CA7E_436B_9583_BDCC5436016C_.wvu.FilterData" localSheetId="2" hidden="1">'Worksheet for Presentation Sum'!$A$4:$O$4</definedName>
  </definedNames>
  <calcPr calcId="191029"/>
  <customWorkbookViews>
    <customWorkbookView name="Sampson, Jessie - Personal View" guid="{0B883182-CA7E-436B-9583-BDCC5436016C}" mergeInterval="0" personalView="1" maximized="1" xWindow="3278" yWindow="-8" windowWidth="1936" windowHeight="1056" activeSheetId="4" showComments="commIndAndComment"/>
  </customWorkbookViews>
</workbook>
</file>

<file path=xl/calcChain.xml><?xml version="1.0" encoding="utf-8"?>
<calcChain xmlns="http://schemas.openxmlformats.org/spreadsheetml/2006/main">
  <c r="C3" i="21" l="1"/>
  <c r="C8" i="21"/>
  <c r="C9" i="22"/>
  <c r="C8" i="22" l="1"/>
  <c r="D3" i="23"/>
  <c r="E3" i="23"/>
  <c r="D4" i="23"/>
  <c r="E4" i="23"/>
  <c r="D5" i="23"/>
  <c r="E5" i="23"/>
  <c r="D6" i="23"/>
  <c r="E6" i="23"/>
  <c r="C6" i="23"/>
  <c r="C5" i="23"/>
  <c r="C4" i="23"/>
  <c r="C3" i="23"/>
  <c r="B6" i="23"/>
  <c r="B5" i="23"/>
  <c r="B4" i="23"/>
  <c r="B3" i="23"/>
  <c r="B8" i="23" s="1"/>
  <c r="A4" i="23"/>
  <c r="A5" i="23" s="1"/>
  <c r="A6" i="23" s="1"/>
  <c r="C7" i="23" l="1"/>
  <c r="B7" i="23"/>
  <c r="A17" i="22"/>
  <c r="C7" i="22"/>
  <c r="C6" i="22"/>
  <c r="C5" i="22"/>
  <c r="C4" i="22"/>
  <c r="C3" i="22"/>
  <c r="B9" i="22"/>
  <c r="B12" i="22" s="1"/>
  <c r="B8" i="22"/>
  <c r="B7" i="22"/>
  <c r="B6" i="22"/>
  <c r="B5" i="22"/>
  <c r="B4" i="22"/>
  <c r="B3" i="22"/>
  <c r="B11" i="22" s="1"/>
  <c r="A4" i="22"/>
  <c r="A5" i="22" s="1"/>
  <c r="A6" i="22" s="1"/>
  <c r="A7" i="22" s="1"/>
  <c r="A8" i="22" s="1"/>
  <c r="A9" i="22" s="1"/>
  <c r="E3" i="21"/>
  <c r="E4" i="21"/>
  <c r="E5" i="21"/>
  <c r="E6" i="21"/>
  <c r="E7" i="21"/>
  <c r="E9" i="21"/>
  <c r="D9" i="21"/>
  <c r="D7" i="21"/>
  <c r="D6" i="21"/>
  <c r="D5" i="21"/>
  <c r="D4" i="21"/>
  <c r="D3" i="21"/>
  <c r="C9" i="21"/>
  <c r="C7" i="21"/>
  <c r="C6" i="21"/>
  <c r="C5" i="21"/>
  <c r="C4" i="21"/>
  <c r="B9" i="21"/>
  <c r="B12" i="21" s="1"/>
  <c r="B8" i="21"/>
  <c r="B7" i="21"/>
  <c r="B6" i="21"/>
  <c r="B5" i="21"/>
  <c r="B4" i="21"/>
  <c r="B3" i="21"/>
  <c r="B11" i="21" s="1"/>
  <c r="A4" i="21"/>
  <c r="A5" i="21" s="1"/>
  <c r="A6" i="21" s="1"/>
  <c r="A7" i="21" s="1"/>
  <c r="A8" i="21" s="1"/>
  <c r="A9" i="21" s="1"/>
  <c r="D3" i="20"/>
  <c r="E3" i="20"/>
  <c r="D4" i="20"/>
  <c r="E4" i="20"/>
  <c r="C4" i="20"/>
  <c r="C3" i="20"/>
  <c r="B4" i="20"/>
  <c r="B6" i="20" s="1"/>
  <c r="B3" i="20"/>
  <c r="D3" i="19"/>
  <c r="E3" i="19"/>
  <c r="C3" i="19"/>
  <c r="B3" i="19"/>
  <c r="B5" i="19" s="1"/>
  <c r="B4" i="18"/>
  <c r="B3" i="18"/>
  <c r="D3" i="18"/>
  <c r="E3" i="18"/>
  <c r="D4" i="18"/>
  <c r="E4" i="18"/>
  <c r="C3" i="18"/>
  <c r="C5" i="18" s="1"/>
  <c r="D3" i="17"/>
  <c r="E3" i="17"/>
  <c r="C3" i="17"/>
  <c r="B3" i="17"/>
  <c r="B4" i="17" s="1"/>
  <c r="D3" i="16"/>
  <c r="E3" i="16"/>
  <c r="D4" i="16"/>
  <c r="E4" i="16"/>
  <c r="D5" i="16"/>
  <c r="E5" i="16"/>
  <c r="C3" i="16"/>
  <c r="B5" i="16"/>
  <c r="B4" i="16"/>
  <c r="B3" i="16"/>
  <c r="A4" i="16"/>
  <c r="A5" i="16" s="1"/>
  <c r="E4" i="15"/>
  <c r="D3" i="15"/>
  <c r="E3" i="15"/>
  <c r="C3" i="15"/>
  <c r="B4" i="15"/>
  <c r="B3" i="15"/>
  <c r="D3" i="14"/>
  <c r="E3" i="14"/>
  <c r="C3" i="14"/>
  <c r="B3" i="14"/>
  <c r="B4" i="14" s="1"/>
  <c r="D3" i="13"/>
  <c r="E3" i="13"/>
  <c r="C3" i="13"/>
  <c r="B3" i="13"/>
  <c r="D3" i="12"/>
  <c r="E3" i="12"/>
  <c r="C3" i="12"/>
  <c r="B3" i="12"/>
  <c r="E4" i="11"/>
  <c r="E5" i="11"/>
  <c r="E6" i="11"/>
  <c r="E7" i="11"/>
  <c r="E8" i="11"/>
  <c r="E9" i="11"/>
  <c r="D9" i="11"/>
  <c r="D8" i="11"/>
  <c r="D7" i="11"/>
  <c r="D6" i="11"/>
  <c r="D5" i="11"/>
  <c r="D4" i="11"/>
  <c r="C9" i="11"/>
  <c r="C8" i="11"/>
  <c r="C7" i="11"/>
  <c r="C6" i="11"/>
  <c r="C5" i="11"/>
  <c r="C4" i="11"/>
  <c r="C3" i="11"/>
  <c r="B9" i="11"/>
  <c r="B12" i="11" s="1"/>
  <c r="B8" i="11"/>
  <c r="B7" i="11"/>
  <c r="B6" i="11"/>
  <c r="B5" i="11"/>
  <c r="B4" i="11"/>
  <c r="B3" i="11"/>
  <c r="B11" i="11" s="1"/>
  <c r="A5" i="11"/>
  <c r="A6" i="11" s="1"/>
  <c r="A7" i="11" s="1"/>
  <c r="A8" i="11" s="1"/>
  <c r="A9" i="11" s="1"/>
  <c r="A4" i="11"/>
  <c r="D3" i="5"/>
  <c r="E3" i="5"/>
  <c r="D4" i="5"/>
  <c r="E4" i="5"/>
  <c r="D5" i="5"/>
  <c r="E5" i="5"/>
  <c r="D6" i="5"/>
  <c r="E6" i="5"/>
  <c r="D7" i="5"/>
  <c r="E7" i="5"/>
  <c r="C7" i="5"/>
  <c r="C6" i="5"/>
  <c r="C5" i="5"/>
  <c r="C4" i="5"/>
  <c r="C3" i="5"/>
  <c r="B7" i="5"/>
  <c r="B6" i="5"/>
  <c r="B5" i="5"/>
  <c r="B4" i="5"/>
  <c r="B3" i="5"/>
  <c r="B9" i="5" s="1"/>
  <c r="A4" i="5"/>
  <c r="A5" i="5" s="1"/>
  <c r="A6" i="5" s="1"/>
  <c r="A7" i="5" s="1"/>
  <c r="B5" i="15" l="1"/>
  <c r="C10" i="21"/>
  <c r="C10" i="11"/>
  <c r="C5" i="20"/>
  <c r="C10" i="22"/>
  <c r="B9" i="23"/>
  <c r="B10" i="22"/>
  <c r="B13" i="22" s="1"/>
  <c r="B5" i="20"/>
  <c r="B7" i="20" s="1"/>
  <c r="B10" i="21"/>
  <c r="B13" i="21" s="1"/>
  <c r="B4" i="19"/>
  <c r="B6" i="19" s="1"/>
  <c r="B5" i="18"/>
  <c r="B5" i="17"/>
  <c r="B6" i="17" s="1"/>
  <c r="B6" i="16"/>
  <c r="B4" i="13"/>
  <c r="B4" i="12"/>
  <c r="B10" i="11"/>
  <c r="B13" i="11" s="1"/>
  <c r="B14" i="11" s="1"/>
  <c r="C8" i="5"/>
  <c r="B8" i="5"/>
  <c r="B8" i="20" l="1"/>
  <c r="B7" i="16"/>
  <c r="B10" i="5"/>
  <c r="B11" i="5" s="1"/>
  <c r="D3" i="9" l="1"/>
  <c r="E3" i="9"/>
  <c r="D4" i="9"/>
  <c r="E4" i="9"/>
  <c r="C4" i="9"/>
  <c r="C3" i="9"/>
  <c r="B4" i="9"/>
  <c r="B3" i="9"/>
  <c r="A4" i="9"/>
  <c r="D3" i="8"/>
  <c r="E3" i="8"/>
  <c r="D4" i="8"/>
  <c r="E4" i="8"/>
  <c r="D5" i="8"/>
  <c r="E5" i="8"/>
  <c r="D6" i="8"/>
  <c r="E6" i="8"/>
  <c r="D7" i="8"/>
  <c r="E7" i="8"/>
  <c r="D8" i="8"/>
  <c r="E8" i="8"/>
  <c r="D9" i="8"/>
  <c r="E9" i="8"/>
  <c r="C9" i="8"/>
  <c r="C8" i="8"/>
  <c r="C7" i="8"/>
  <c r="C6" i="8"/>
  <c r="C5" i="8"/>
  <c r="C3" i="8"/>
  <c r="B9" i="8"/>
  <c r="B12" i="8" s="1"/>
  <c r="B8" i="8"/>
  <c r="B7" i="8"/>
  <c r="B6" i="8"/>
  <c r="B5" i="8"/>
  <c r="B4" i="8"/>
  <c r="B3" i="8"/>
  <c r="B11" i="8" s="1"/>
  <c r="A5" i="8"/>
  <c r="A6" i="8" s="1"/>
  <c r="A7" i="8" s="1"/>
  <c r="A8" i="8" s="1"/>
  <c r="A9" i="8" s="1"/>
  <c r="A4" i="8"/>
  <c r="D3" i="6"/>
  <c r="E3" i="6"/>
  <c r="C3" i="6"/>
  <c r="B3" i="6"/>
  <c r="C5" i="9" l="1"/>
  <c r="B5" i="9"/>
  <c r="C10" i="8"/>
  <c r="B4" i="6"/>
  <c r="B5" i="6" s="1"/>
  <c r="B10" i="8"/>
  <c r="B13" i="8" s="1"/>
  <c r="C4" i="6"/>
  <c r="S19" i="1"/>
  <c r="T16" i="1"/>
  <c r="T15" i="1"/>
  <c r="H21" i="1"/>
  <c r="B21" i="1"/>
  <c r="C25" i="1"/>
  <c r="C26" i="1" s="1"/>
  <c r="C27" i="1" s="1"/>
  <c r="D25" i="1"/>
  <c r="D26" i="1" s="1"/>
  <c r="D27" i="1" s="1"/>
  <c r="E25" i="1"/>
  <c r="E26" i="1" s="1"/>
  <c r="E27" i="1" s="1"/>
  <c r="F25" i="1"/>
  <c r="F26" i="1" s="1"/>
  <c r="F27" i="1" s="1"/>
  <c r="G25" i="1"/>
  <c r="G26" i="1" s="1"/>
  <c r="G27" i="1" s="1"/>
  <c r="H22" i="1"/>
  <c r="B22" i="1"/>
  <c r="B25" i="1" s="1"/>
  <c r="B26" i="1" s="1"/>
  <c r="B27" i="1" s="1"/>
  <c r="C108" i="3"/>
  <c r="D108" i="3"/>
  <c r="E108" i="3"/>
  <c r="F108" i="3"/>
  <c r="G108" i="3"/>
  <c r="H108" i="3"/>
  <c r="B108" i="3"/>
  <c r="S3" i="1"/>
  <c r="U3" i="1" s="1"/>
  <c r="T3" i="1"/>
  <c r="C107" i="3"/>
  <c r="D107" i="3"/>
  <c r="E107" i="3"/>
  <c r="F107" i="3"/>
  <c r="G107" i="3"/>
  <c r="H107" i="3"/>
  <c r="B107" i="3"/>
  <c r="H25" i="1" l="1"/>
  <c r="H26" i="1" s="1"/>
  <c r="H27" i="1" s="1"/>
  <c r="B86" i="4"/>
  <c r="S13" i="1" l="1"/>
  <c r="V25" i="1"/>
  <c r="O4" i="4" l="1"/>
  <c r="R4" i="4" s="1"/>
  <c r="U4" i="4" s="1"/>
  <c r="L4" i="4"/>
  <c r="I4" i="4"/>
  <c r="F4" i="4"/>
  <c r="C86" i="3"/>
  <c r="C109" i="3" s="1"/>
  <c r="D86" i="3"/>
  <c r="D109" i="3" s="1"/>
  <c r="E86" i="3"/>
  <c r="E109" i="3" s="1"/>
  <c r="F86" i="3"/>
  <c r="F109" i="3" s="1"/>
  <c r="G86" i="3"/>
  <c r="H86" i="3"/>
  <c r="H109" i="3" s="1"/>
  <c r="B86" i="3"/>
  <c r="B109" i="3" s="1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K85" i="3"/>
  <c r="J85" i="3"/>
  <c r="K84" i="3"/>
  <c r="J84" i="3"/>
  <c r="K83" i="3"/>
  <c r="J83" i="3"/>
  <c r="K82" i="3"/>
  <c r="J82" i="3"/>
  <c r="K81" i="3"/>
  <c r="J81" i="3"/>
  <c r="K80" i="3"/>
  <c r="J80" i="3"/>
  <c r="K79" i="3"/>
  <c r="J79" i="3"/>
  <c r="K78" i="3"/>
  <c r="J78" i="3"/>
  <c r="K77" i="3"/>
  <c r="J77" i="3"/>
  <c r="K76" i="3"/>
  <c r="J76" i="3"/>
  <c r="K75" i="3"/>
  <c r="J75" i="3"/>
  <c r="K74" i="3"/>
  <c r="J74" i="3"/>
  <c r="K73" i="3"/>
  <c r="J73" i="3"/>
  <c r="K72" i="3"/>
  <c r="J72" i="3"/>
  <c r="K71" i="3"/>
  <c r="J71" i="3"/>
  <c r="K70" i="3"/>
  <c r="J70" i="3"/>
  <c r="K69" i="3"/>
  <c r="J69" i="3"/>
  <c r="K68" i="3"/>
  <c r="J68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K23" i="3"/>
  <c r="J23" i="3"/>
  <c r="K22" i="3"/>
  <c r="J22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6" i="3"/>
  <c r="J6" i="3"/>
  <c r="K5" i="3"/>
  <c r="J5" i="3"/>
  <c r="G109" i="3" l="1"/>
  <c r="L14" i="3"/>
  <c r="L22" i="3"/>
  <c r="L46" i="3"/>
  <c r="L54" i="3"/>
  <c r="L78" i="3"/>
  <c r="L10" i="3"/>
  <c r="L18" i="3"/>
  <c r="L26" i="3"/>
  <c r="L34" i="3"/>
  <c r="L42" i="3"/>
  <c r="L50" i="3"/>
  <c r="L58" i="3"/>
  <c r="L66" i="3"/>
  <c r="L74" i="3"/>
  <c r="L82" i="3"/>
  <c r="L17" i="3"/>
  <c r="L25" i="3"/>
  <c r="L33" i="3"/>
  <c r="L41" i="3"/>
  <c r="L49" i="3"/>
  <c r="L57" i="3"/>
  <c r="L65" i="3"/>
  <c r="L73" i="3"/>
  <c r="L81" i="3"/>
  <c r="L84" i="3"/>
  <c r="L6" i="3"/>
  <c r="L30" i="3"/>
  <c r="L38" i="3"/>
  <c r="L62" i="3"/>
  <c r="L70" i="3"/>
  <c r="L7" i="3"/>
  <c r="L15" i="3"/>
  <c r="L23" i="3"/>
  <c r="L31" i="3"/>
  <c r="L39" i="3"/>
  <c r="L47" i="3"/>
  <c r="L55" i="3"/>
  <c r="L63" i="3"/>
  <c r="L71" i="3"/>
  <c r="L79" i="3"/>
  <c r="L16" i="3"/>
  <c r="L32" i="3"/>
  <c r="L56" i="3"/>
  <c r="L9" i="3"/>
  <c r="L8" i="3"/>
  <c r="L40" i="3"/>
  <c r="L48" i="3"/>
  <c r="L72" i="3"/>
  <c r="L80" i="3"/>
  <c r="L24" i="3"/>
  <c r="J86" i="3"/>
  <c r="L11" i="3"/>
  <c r="L19" i="3"/>
  <c r="L27" i="3"/>
  <c r="L35" i="3"/>
  <c r="L43" i="3"/>
  <c r="L51" i="3"/>
  <c r="L59" i="3"/>
  <c r="L67" i="3"/>
  <c r="L75" i="3"/>
  <c r="L83" i="3"/>
  <c r="L64" i="3"/>
  <c r="K86" i="3"/>
  <c r="L12" i="3"/>
  <c r="L20" i="3"/>
  <c r="L28" i="3"/>
  <c r="L36" i="3"/>
  <c r="L44" i="3"/>
  <c r="L52" i="3"/>
  <c r="L60" i="3"/>
  <c r="L68" i="3"/>
  <c r="L76" i="3"/>
  <c r="L5" i="3"/>
  <c r="L13" i="3"/>
  <c r="L21" i="3"/>
  <c r="L29" i="3"/>
  <c r="L37" i="3"/>
  <c r="L45" i="3"/>
  <c r="L53" i="3"/>
  <c r="L61" i="3"/>
  <c r="L69" i="3"/>
  <c r="L77" i="3"/>
  <c r="L85" i="3"/>
  <c r="I86" i="3"/>
  <c r="N13" i="1"/>
  <c r="O13" i="1"/>
  <c r="P13" i="1"/>
  <c r="B14" i="22" l="1"/>
  <c r="L86" i="3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L5" i="1"/>
  <c r="K5" i="1"/>
  <c r="C13" i="1"/>
  <c r="D13" i="1"/>
  <c r="E13" i="1"/>
  <c r="F13" i="1"/>
  <c r="G13" i="1"/>
  <c r="H13" i="1"/>
  <c r="B13" i="1"/>
  <c r="I6" i="1"/>
  <c r="I7" i="1"/>
  <c r="I8" i="1"/>
  <c r="I9" i="1"/>
  <c r="I10" i="1"/>
  <c r="I11" i="1"/>
  <c r="I12" i="1"/>
  <c r="M12" i="1" s="1"/>
  <c r="R12" i="1" s="1"/>
  <c r="I5" i="1"/>
  <c r="B15" i="22" l="1"/>
  <c r="M6" i="1"/>
  <c r="M11" i="1"/>
  <c r="R11" i="1" s="1"/>
  <c r="M10" i="1"/>
  <c r="R10" i="1" s="1"/>
  <c r="M9" i="1"/>
  <c r="R9" i="1" s="1"/>
  <c r="M8" i="1"/>
  <c r="R8" i="1" s="1"/>
  <c r="M7" i="1"/>
  <c r="R7" i="1" s="1"/>
  <c r="R15" i="1" s="1"/>
  <c r="M5" i="1"/>
  <c r="I13" i="1"/>
  <c r="R6" i="1" l="1"/>
  <c r="Q7" i="1"/>
  <c r="R2" i="1"/>
  <c r="R5" i="1"/>
  <c r="R14" i="1" s="1"/>
  <c r="Q5" i="1"/>
  <c r="V3" i="1" l="1"/>
  <c r="R3" i="1"/>
  <c r="T5" i="1"/>
  <c r="B21" i="2"/>
  <c r="C21" i="2" s="1"/>
  <c r="L92" i="3" l="1"/>
  <c r="T17" i="1" l="1"/>
  <c r="V17" i="1" s="1"/>
  <c r="X17" i="1" s="1"/>
  <c r="V16" i="1"/>
  <c r="X16" i="1" s="1"/>
  <c r="V15" i="1"/>
  <c r="X15" i="1" s="1"/>
  <c r="W13" i="1"/>
  <c r="W18" i="1" s="1"/>
  <c r="V20" i="1" s="1"/>
  <c r="P25" i="1" s="1"/>
  <c r="U11" i="1"/>
  <c r="T9" i="1"/>
  <c r="V9" i="1" s="1"/>
  <c r="X9" i="1" s="1"/>
  <c r="U5" i="1"/>
  <c r="S18" i="1"/>
  <c r="S22" i="1" s="1"/>
  <c r="V5" i="1" l="1"/>
  <c r="T12" i="1"/>
  <c r="V12" i="1" s="1"/>
  <c r="X12" i="1" s="1"/>
  <c r="T6" i="1"/>
  <c r="V6" i="1" s="1"/>
  <c r="X6" i="1" s="1"/>
  <c r="T11" i="1"/>
  <c r="V11" i="1" s="1"/>
  <c r="X11" i="1" s="1"/>
  <c r="L13" i="1"/>
  <c r="K13" i="1"/>
  <c r="Q12" i="1" l="1"/>
  <c r="M13" i="1"/>
  <c r="L90" i="3" l="1"/>
  <c r="K101" i="3"/>
  <c r="N88" i="3" l="1"/>
  <c r="L88" i="3"/>
  <c r="E101" i="3"/>
  <c r="C99" i="3"/>
  <c r="E99" i="3" s="1"/>
  <c r="C98" i="3"/>
  <c r="E98" i="3" s="1"/>
  <c r="C97" i="3"/>
  <c r="A97" i="3"/>
  <c r="A98" i="3" s="1"/>
  <c r="A99" i="3" s="1"/>
  <c r="C96" i="3"/>
  <c r="D96" i="3" s="1"/>
  <c r="D100" i="3" s="1"/>
  <c r="D102" i="3" s="1"/>
  <c r="D104" i="3" s="1"/>
  <c r="X5" i="1" l="1"/>
  <c r="E96" i="3"/>
  <c r="C100" i="3"/>
  <c r="C102" i="3" s="1"/>
  <c r="C103" i="3" s="1"/>
  <c r="E97" i="3"/>
  <c r="E103" i="3" l="1"/>
  <c r="B12" i="23" s="1"/>
  <c r="E100" i="3"/>
  <c r="E102" i="3" s="1"/>
  <c r="N15" i="3" l="1"/>
  <c r="N5" i="3" l="1"/>
  <c r="N6" i="3"/>
  <c r="O6" i="3" s="1"/>
  <c r="N7" i="3"/>
  <c r="O7" i="3" s="1"/>
  <c r="N8" i="3"/>
  <c r="N9" i="3"/>
  <c r="N10" i="3"/>
  <c r="N11" i="3"/>
  <c r="N12" i="3"/>
  <c r="N13" i="3"/>
  <c r="N14" i="3"/>
  <c r="N16" i="3"/>
  <c r="O16" i="3" s="1"/>
  <c r="N17" i="3"/>
  <c r="O17" i="3" s="1"/>
  <c r="N18" i="3"/>
  <c r="O18" i="3" s="1"/>
  <c r="N19" i="3"/>
  <c r="O19" i="3" s="1"/>
  <c r="N20" i="3"/>
  <c r="O20" i="3" s="1"/>
  <c r="N21" i="3"/>
  <c r="O21" i="3" s="1"/>
  <c r="N22" i="3"/>
  <c r="O22" i="3" s="1"/>
  <c r="N23" i="3"/>
  <c r="O23" i="3" s="1"/>
  <c r="N24" i="3"/>
  <c r="O24" i="3" s="1"/>
  <c r="N25" i="3"/>
  <c r="O25" i="3" s="1"/>
  <c r="N26" i="3"/>
  <c r="O26" i="3" s="1"/>
  <c r="N27" i="3"/>
  <c r="O27" i="3" s="1"/>
  <c r="N28" i="3"/>
  <c r="O28" i="3" s="1"/>
  <c r="N29" i="3"/>
  <c r="O29" i="3" s="1"/>
  <c r="N30" i="3"/>
  <c r="O30" i="3" s="1"/>
  <c r="N31" i="3"/>
  <c r="O31" i="3" s="1"/>
  <c r="N32" i="3"/>
  <c r="O32" i="3" s="1"/>
  <c r="N33" i="3"/>
  <c r="O33" i="3" s="1"/>
  <c r="N34" i="3"/>
  <c r="O34" i="3" s="1"/>
  <c r="N35" i="3"/>
  <c r="O35" i="3" s="1"/>
  <c r="N36" i="3"/>
  <c r="O36" i="3" s="1"/>
  <c r="N37" i="3"/>
  <c r="O37" i="3" s="1"/>
  <c r="N38" i="3"/>
  <c r="O38" i="3" s="1"/>
  <c r="N39" i="3"/>
  <c r="O39" i="3" s="1"/>
  <c r="N40" i="3"/>
  <c r="O40" i="3" s="1"/>
  <c r="N41" i="3"/>
  <c r="O41" i="3" s="1"/>
  <c r="N42" i="3"/>
  <c r="O42" i="3" s="1"/>
  <c r="N43" i="3"/>
  <c r="O43" i="3" s="1"/>
  <c r="N44" i="3"/>
  <c r="O44" i="3" s="1"/>
  <c r="N45" i="3"/>
  <c r="O45" i="3" s="1"/>
  <c r="N46" i="3"/>
  <c r="O46" i="3" s="1"/>
  <c r="N47" i="3"/>
  <c r="O47" i="3" s="1"/>
  <c r="N48" i="3"/>
  <c r="O48" i="3" s="1"/>
  <c r="N49" i="3"/>
  <c r="O49" i="3" s="1"/>
  <c r="N50" i="3"/>
  <c r="O50" i="3" s="1"/>
  <c r="N51" i="3"/>
  <c r="O51" i="3" s="1"/>
  <c r="N52" i="3"/>
  <c r="O52" i="3" s="1"/>
  <c r="N53" i="3"/>
  <c r="O53" i="3" s="1"/>
  <c r="N54" i="3"/>
  <c r="O54" i="3" s="1"/>
  <c r="N55" i="3"/>
  <c r="O55" i="3" s="1"/>
  <c r="N56" i="3"/>
  <c r="O56" i="3" s="1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O79" i="3" s="1"/>
  <c r="N80" i="3"/>
  <c r="N81" i="3"/>
  <c r="N82" i="3"/>
  <c r="N83" i="3"/>
  <c r="N84" i="3"/>
  <c r="N85" i="3"/>
  <c r="O85" i="3" s="1"/>
  <c r="B6" i="6" l="1"/>
  <c r="B7" i="6" s="1"/>
  <c r="B6" i="2"/>
  <c r="C6" i="2" s="1"/>
  <c r="B3" i="2"/>
  <c r="C3" i="2" s="1"/>
  <c r="B10" i="23"/>
  <c r="B11" i="23" s="1"/>
  <c r="B13" i="23" s="1"/>
  <c r="B15" i="2"/>
  <c r="C15" i="2" s="1"/>
  <c r="B9" i="20"/>
  <c r="B10" i="20" s="1"/>
  <c r="B12" i="2"/>
  <c r="C12" i="2" s="1"/>
  <c r="B8" i="16"/>
  <c r="B9" i="16" s="1"/>
  <c r="B15" i="11"/>
  <c r="B16" i="11" s="1"/>
  <c r="B7" i="2"/>
  <c r="C7" i="2" s="1"/>
  <c r="B12" i="5"/>
  <c r="B13" i="5" s="1"/>
  <c r="O5" i="3"/>
  <c r="N86" i="3"/>
  <c r="B8" i="2"/>
  <c r="C8" i="2" s="1"/>
  <c r="O63" i="3"/>
  <c r="O71" i="3" l="1"/>
  <c r="O15" i="3"/>
  <c r="O82" i="3"/>
  <c r="O13" i="3"/>
  <c r="O70" i="3"/>
  <c r="O60" i="3"/>
  <c r="O68" i="3"/>
  <c r="O10" i="3"/>
  <c r="O62" i="3"/>
  <c r="O61" i="3"/>
  <c r="O66" i="3"/>
  <c r="O9" i="3"/>
  <c r="O69" i="3"/>
  <c r="O74" i="3"/>
  <c r="O65" i="3"/>
  <c r="O75" i="3"/>
  <c r="O64" i="3"/>
  <c r="O73" i="3"/>
  <c r="O83" i="3"/>
  <c r="O76" i="3"/>
  <c r="O77" i="3"/>
  <c r="O72" i="3"/>
  <c r="O81" i="3"/>
  <c r="O12" i="3"/>
  <c r="O84" i="3"/>
  <c r="O14" i="3"/>
  <c r="O80" i="3"/>
  <c r="O58" i="3"/>
  <c r="O8" i="3"/>
  <c r="O59" i="3"/>
  <c r="O11" i="3"/>
  <c r="O78" i="3"/>
  <c r="O57" i="3"/>
  <c r="O67" i="3"/>
  <c r="B4" i="2" l="1"/>
  <c r="C4" i="2" s="1"/>
  <c r="B14" i="8"/>
  <c r="B15" i="8" s="1"/>
  <c r="B14" i="21"/>
  <c r="B15" i="21" s="1"/>
  <c r="B17" i="2"/>
  <c r="C17" i="2" s="1"/>
  <c r="B7" i="19"/>
  <c r="B8" i="19" s="1"/>
  <c r="B16" i="2"/>
  <c r="C16" i="2" s="1"/>
  <c r="B6" i="18"/>
  <c r="B7" i="18" s="1"/>
  <c r="B14" i="2"/>
  <c r="C14" i="2" s="1"/>
  <c r="B7" i="17"/>
  <c r="B8" i="17" s="1"/>
  <c r="B11" i="2"/>
  <c r="C11" i="2" s="1"/>
  <c r="B6" i="15"/>
  <c r="B7" i="15" s="1"/>
  <c r="B13" i="2"/>
  <c r="C13" i="2" s="1"/>
  <c r="B5" i="14"/>
  <c r="B6" i="14" s="1"/>
  <c r="B10" i="2"/>
  <c r="C10" i="2" s="1"/>
  <c r="B5" i="13"/>
  <c r="B6" i="13" s="1"/>
  <c r="B9" i="2"/>
  <c r="C9" i="2" s="1"/>
  <c r="B5" i="12"/>
  <c r="B6" i="12" s="1"/>
  <c r="B6" i="9"/>
  <c r="B7" i="9" s="1"/>
  <c r="O86" i="3"/>
  <c r="N87" i="3" s="1"/>
  <c r="B2" i="2"/>
  <c r="B5" i="2"/>
  <c r="C5" i="2" s="1"/>
  <c r="N92" i="3"/>
  <c r="C2" i="2" l="1"/>
  <c r="O92" i="3"/>
  <c r="B17" i="22" s="1"/>
  <c r="C104" i="3" l="1"/>
  <c r="E104" i="3"/>
  <c r="O88" i="3"/>
  <c r="N91" i="3"/>
  <c r="T10" i="1" l="1"/>
  <c r="V10" i="1" s="1"/>
  <c r="X10" i="1" s="1"/>
  <c r="L89" i="3" l="1"/>
  <c r="T7" i="1" l="1"/>
  <c r="L87" i="3" l="1"/>
  <c r="V7" i="1"/>
  <c r="T8" i="1" l="1"/>
  <c r="R13" i="1"/>
  <c r="R16" i="1" s="1"/>
  <c r="X7" i="1"/>
  <c r="L91" i="3"/>
  <c r="L93" i="3" s="1"/>
  <c r="N94" i="3" s="1"/>
  <c r="O91" i="3"/>
  <c r="O94" i="3" l="1"/>
  <c r="B16" i="22" s="1"/>
  <c r="N95" i="3"/>
  <c r="V8" i="1"/>
  <c r="T13" i="1"/>
  <c r="T18" i="1" s="1"/>
  <c r="B18" i="2" l="1"/>
  <c r="C18" i="2" s="1"/>
  <c r="C19" i="2" s="1"/>
  <c r="B18" i="22"/>
  <c r="O95" i="3"/>
  <c r="X8" i="1"/>
  <c r="X13" i="1" s="1"/>
  <c r="X18" i="1" s="1"/>
  <c r="V13" i="1"/>
  <c r="V18" i="1" s="1"/>
  <c r="V22" i="1" s="1"/>
  <c r="V27" i="1" s="1"/>
  <c r="B19" i="2" l="1"/>
  <c r="B23" i="2" s="1"/>
  <c r="C2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Crockett, Gloria</author>
  </authors>
  <commentList>
    <comment ref="U4" authorId="0" shapeId="0" xr:uid="{00000000-0006-0000-0000-000001000000}">
      <text>
        <r>
          <rPr>
            <sz val="9"/>
            <color indexed="81"/>
            <rFont val="Tahoma"/>
            <family val="2"/>
          </rPr>
          <t>Column O Tab 6.1 of CAS and Column D of Tab 5.1 of CAS</t>
        </r>
      </text>
    </comment>
    <comment ref="U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Crockett, Gloria:</t>
        </r>
        <r>
          <rPr>
            <sz val="9"/>
            <color indexed="81"/>
            <rFont val="Tahoma"/>
            <family val="2"/>
          </rPr>
          <t xml:space="preserve">
Reduced from 72.163% in 2014 CAS</t>
        </r>
      </text>
    </comment>
    <comment ref="W7" authorId="0" shapeId="0" xr:uid="{00000000-0006-0000-0000-000003000000}">
      <text>
        <r>
          <rPr>
            <sz val="9"/>
            <color indexed="81"/>
            <rFont val="Tahoma"/>
            <family val="2"/>
          </rPr>
          <t>Includes system capacitors allocated to OATT Schedule 2</t>
        </r>
      </text>
    </comment>
    <comment ref="O10" authorId="0" shapeId="0" xr:uid="{00000000-0006-0000-0000-000004000000}">
      <text>
        <r>
          <rPr>
            <sz val="9"/>
            <color indexed="81"/>
            <rFont val="Tahoma"/>
            <family val="2"/>
          </rPr>
          <t>In 2015 corrections were made to trasmission retirements from 2011 to 2014 that should have been to distribution poles and fixtures.</t>
        </r>
      </text>
    </comment>
    <comment ref="V2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Crockett, Gloria:</t>
        </r>
        <r>
          <rPr>
            <sz val="9"/>
            <color indexed="81"/>
            <rFont val="Tahoma"/>
            <family val="2"/>
          </rPr>
          <t xml:space="preserve">
Includes system capacitors included allocated to OATT Schedule 2</t>
        </r>
      </text>
    </comment>
    <comment ref="S2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Crockett, Gloria:</t>
        </r>
        <r>
          <rPr>
            <sz val="9"/>
            <color indexed="81"/>
            <rFont val="Tahoma"/>
            <family val="2"/>
          </rPr>
          <t xml:space="preserve">
2014 Average Gross Plant in Service for OATT transmission facilities Appendix 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Crockett, Gloria</author>
  </authors>
  <commentList>
    <comment ref="B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Crockett, Gloria:</t>
        </r>
        <r>
          <rPr>
            <sz val="9"/>
            <color indexed="81"/>
            <rFont val="Tahoma"/>
            <family val="2"/>
          </rPr>
          <t xml:space="preserve">
53% allocator for substations...</t>
        </r>
      </text>
    </comment>
    <comment ref="B2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Crockett, Gloria:</t>
        </r>
        <r>
          <rPr>
            <sz val="9"/>
            <color indexed="81"/>
            <rFont val="Tahoma"/>
            <family val="2"/>
          </rPr>
          <t xml:space="preserve">
Includes system capacitors allocated to OATT schedule 2.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Crockett, Gloria</author>
  </authors>
  <commentList>
    <comment ref="M4" authorId="0" shapeId="0" xr:uid="{00000000-0006-0000-0200-000001000000}">
      <text>
        <r>
          <rPr>
            <sz val="9"/>
            <color indexed="81"/>
            <rFont val="Tahoma"/>
            <family val="2"/>
          </rPr>
          <t>Column O Tab 6.1 of CAS and Column D of Tab 5.1 of CAS</t>
        </r>
      </text>
    </comment>
    <comment ref="N87" authorId="0" shapeId="0" xr:uid="{00000000-0006-0000-0200-000002000000}">
      <text>
        <r>
          <rPr>
            <sz val="9"/>
            <color indexed="81"/>
            <rFont val="Tahoma"/>
            <family val="2"/>
          </rPr>
          <t>Estimated portion of GEC, IDC and other allocated to OATT adjusted to reflect 47% of subsations and 75% communications not included in OATT.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Crockett, Gloria</author>
  </authors>
  <commentList>
    <comment ref="B14" authorId="0" shapeId="0" xr:uid="{00000000-0006-0000-0400-000001000000}">
      <text>
        <r>
          <rPr>
            <sz val="9"/>
            <color indexed="81"/>
            <rFont val="Tahoma"/>
            <family val="2"/>
          </rPr>
          <t>Includes adj to 2011-2014 retirements charged to trans should have been distribution.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Crockett, Gloria</author>
  </authors>
  <commentList>
    <comment ref="B16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Crockett, Gloria:</t>
        </r>
        <r>
          <rPr>
            <sz val="9"/>
            <color indexed="81"/>
            <rFont val="Tahoma"/>
            <family val="2"/>
          </rPr>
          <t xml:space="preserve">
Includes adj to 2011-2014 retirements charged to trans should have been distribution.</t>
        </r>
      </text>
    </comment>
  </commentList>
</comments>
</file>

<file path=xl/sharedStrings.xml><?xml version="1.0" encoding="utf-8"?>
<sst xmlns="http://schemas.openxmlformats.org/spreadsheetml/2006/main" count="724" uniqueCount="219">
  <si>
    <t>Project</t>
  </si>
  <si>
    <t>Other</t>
  </si>
  <si>
    <t>Y104</t>
  </si>
  <si>
    <t>Grand Total</t>
  </si>
  <si>
    <t>2014 Mid Year Adj</t>
  </si>
  <si>
    <t>2020 Mid Year Adj</t>
  </si>
  <si>
    <t>Retirements</t>
  </si>
  <si>
    <t>GEC &amp; IDC</t>
  </si>
  <si>
    <t>2014 Mid Year CAS</t>
  </si>
  <si>
    <t>Total Additions Mid Year 2014 to 2020</t>
  </si>
  <si>
    <t>2020 Mid Year CAS</t>
  </si>
  <si>
    <t>Project Name</t>
  </si>
  <si>
    <t>T1 Line Ext New Glasgow Sub</t>
  </si>
  <si>
    <t>T-1-1 New Glasgow Sub Transformer</t>
  </si>
  <si>
    <t>T-1-1 New Glasgow Substation</t>
  </si>
  <si>
    <t>T-1-4 Substation Automation</t>
  </si>
  <si>
    <t>T-1-5 Transmission System Capacitors</t>
  </si>
  <si>
    <t>T-1-4 Mount Mellick Substation</t>
  </si>
  <si>
    <t>T-1-1 Wellington Substation</t>
  </si>
  <si>
    <t xml:space="preserve">T-1-2 Wellington Transformer </t>
  </si>
  <si>
    <t>T-3-2 Church Road 138V Breaker</t>
  </si>
  <si>
    <t>T-2-3 T8 Transmission Line</t>
  </si>
  <si>
    <t>T-2-5 T21 Line Rebuild</t>
  </si>
  <si>
    <t xml:space="preserve">T-2-4 Y109 EIA </t>
  </si>
  <si>
    <t>T-2-2 Y101&amp;Y103 Wire Repairs</t>
  </si>
  <si>
    <t>C-1-1 WR Sub Entrance Resurfacing</t>
  </si>
  <si>
    <t>D-5-2 Distribution Line Refurbishment</t>
  </si>
  <si>
    <t>T-1-2 Mount Albion Transformer</t>
  </si>
  <si>
    <t>T-1-3 O'Leary Power Transformer</t>
  </si>
  <si>
    <t>T-1-5 Crossroads Control Building</t>
  </si>
  <si>
    <t>T-1-4 Mt. Albion Transformer</t>
  </si>
  <si>
    <t>T-2-2 Mt. Albion Extension to Substation</t>
  </si>
  <si>
    <t>T-1-2 Airport power Transformer</t>
  </si>
  <si>
    <t>T-1-4 Substation Modernization Program</t>
  </si>
  <si>
    <t>T-1-3 New Haven Are Eng &amp; Env Assess</t>
  </si>
  <si>
    <t>T-1-1 Lorne Valley 69KV SS Expansion</t>
  </si>
  <si>
    <t>T-1-5 138KV Breaker Replacement Program</t>
  </si>
  <si>
    <t>T-2-3 T3 Rebuild Borden - Albany</t>
  </si>
  <si>
    <t>T-1-1A Clyde River Substation</t>
  </si>
  <si>
    <t>T-1-1B Clyde Riber Substation Fibre</t>
  </si>
  <si>
    <t>T-1-2 Substation Communication System Upgrade</t>
  </si>
  <si>
    <t>T-1-4B Ground Grid Modernization</t>
  </si>
  <si>
    <t>T-1-4C Mobile Transformer Accomodation</t>
  </si>
  <si>
    <t>T-1-4D Substation and Distribution Automation</t>
  </si>
  <si>
    <t>T-1-6 ECC Communication Room</t>
  </si>
  <si>
    <t>T-1-7 ECC Communication Fibre</t>
  </si>
  <si>
    <t>T-2-4 Y109 Rebuild Bannockburn Rd - Steel Towers</t>
  </si>
  <si>
    <t>T-2-3 Tap to Clyde River Sub (3)</t>
  </si>
  <si>
    <t>D-1 Replacement due to Storms, Road Alterations</t>
  </si>
  <si>
    <t xml:space="preserve">D-1 Road/Bridge Work 2008 - DOT </t>
  </si>
  <si>
    <t>D-7-1 Teleprotection &amp; Relay Replacement</t>
  </si>
  <si>
    <t>D-7-2 Meter Shop Equipment</t>
  </si>
  <si>
    <t>D-5 Line Rebuilds</t>
  </si>
  <si>
    <t>D-7 Distribution Equipment</t>
  </si>
  <si>
    <t>D-7-1 Distribution Switches</t>
  </si>
  <si>
    <t>D-7-1 Mobile Communication</t>
  </si>
  <si>
    <t>T-1 Substation Projects</t>
  </si>
  <si>
    <t>T-1 UPEI Substation Phase II</t>
  </si>
  <si>
    <t>T-1-2 138KV Breaker Replacement</t>
  </si>
  <si>
    <t>T-1-3 69 KV Breaker Replacement</t>
  </si>
  <si>
    <t>T-1-4 Substation Security Fence Upgrade</t>
  </si>
  <si>
    <t>T-1-4 Alberton Substation Ground Grid</t>
  </si>
  <si>
    <t>T-2 Line Projects</t>
  </si>
  <si>
    <t>T-2-1 69KV &amp; 139 KV Switch Maintenance</t>
  </si>
  <si>
    <t>T-2-2 T1 Inspection</t>
  </si>
  <si>
    <t>T-2-2 Insulator Replacements T21</t>
  </si>
  <si>
    <t>T-2-2 Re-Span 1 km 69KV Line</t>
  </si>
  <si>
    <t>T-2-3 T13 Transmission Line Rebuild</t>
  </si>
  <si>
    <t>T11 OATT</t>
  </si>
  <si>
    <t>T-3-2 West St. Peters Substation</t>
  </si>
  <si>
    <t>T-3-3 West Royalty 138KV Breaker</t>
  </si>
  <si>
    <t>C-1 Corporate Services</t>
  </si>
  <si>
    <t>D-7-1 Communication Uprade BCC to ECC</t>
  </si>
  <si>
    <t>T-1-1 UPEI Substation Phase I</t>
  </si>
  <si>
    <t>D-1 Storm Replacements</t>
  </si>
  <si>
    <t>T-1-1 Charlottetown Airport Substation</t>
  </si>
  <si>
    <t>T-1-2 Mobile 138/12.5 KV Transformer</t>
  </si>
  <si>
    <t>T-2-3 T15 Extension to Airport Substation</t>
  </si>
  <si>
    <t>T-2-2 Transmission Line Refurbishments</t>
  </si>
  <si>
    <t>Y115 OATT</t>
  </si>
  <si>
    <t>T-3-2 West St. Peters Transformer</t>
  </si>
  <si>
    <t>2014 Budget Amount</t>
  </si>
  <si>
    <t>2015 Budget Amount</t>
  </si>
  <si>
    <t>2016 Budget Amount</t>
  </si>
  <si>
    <t>T-2-2 Re-insul Crossarm to Armless Construction</t>
  </si>
  <si>
    <t>2017 Budget Amount</t>
  </si>
  <si>
    <t>2018 Budget Amount</t>
  </si>
  <si>
    <t>2019 Budget Amount</t>
  </si>
  <si>
    <t>2020 Budget Amount</t>
  </si>
  <si>
    <t>C-2-6 District Office Connectivity</t>
  </si>
  <si>
    <t>UE13-04</t>
  </si>
  <si>
    <t>UE14-04</t>
  </si>
  <si>
    <t>D-4-1 Airport Circuits</t>
  </si>
  <si>
    <t>UE15-01</t>
  </si>
  <si>
    <t>UE16-08</t>
  </si>
  <si>
    <t>UE17-03</t>
  </si>
  <si>
    <t>UE18-09</t>
  </si>
  <si>
    <t>UE19-09</t>
  </si>
  <si>
    <t>D-5-1 Govt Fibre Utility Work-Trans OH Cond-St</t>
  </si>
  <si>
    <t>D-5-1 JU Gov Fibre MECL &amp; Bell-Trans Poles &amp;-St</t>
  </si>
  <si>
    <t>Capital Variance Approval Order</t>
  </si>
  <si>
    <t>2016 - UE15-01</t>
  </si>
  <si>
    <t>2018 - UE17-03</t>
  </si>
  <si>
    <t>UE21-02</t>
  </si>
  <si>
    <t>UE12-02</t>
  </si>
  <si>
    <t>T-2-2 Charlottetown Cap Bank-Trans Sub Equip-St</t>
  </si>
  <si>
    <t>T-2-4 Y-109 Extension-Trans OH Cond-Meals</t>
  </si>
  <si>
    <t xml:space="preserve">  </t>
  </si>
  <si>
    <t>UE21-16</t>
  </si>
  <si>
    <t>Mid Year 2014 to 2020 CAS Additions</t>
  </si>
  <si>
    <t>Annual Capital Budget and Capital Variance Approvals</t>
  </si>
  <si>
    <t>Total Asset Values Applicable to OATT</t>
  </si>
  <si>
    <t>Rights of Ways</t>
  </si>
  <si>
    <t>UE14-04/ UE15-01</t>
  </si>
  <si>
    <t>UE15-01/ UE16-08</t>
  </si>
  <si>
    <t>UE16-08/ UE17-03</t>
  </si>
  <si>
    <t>UE17-03/ UE18-09</t>
  </si>
  <si>
    <t>UE18-09/ UE19-09</t>
  </si>
  <si>
    <t>UE17-03/ UE18-09/ UE19-09</t>
  </si>
  <si>
    <t>UE19-09/ UE21-02</t>
  </si>
  <si>
    <t>UE17-03/ UE18-09/ UE19-09/ UE21-02</t>
  </si>
  <si>
    <t>UE21-02/ UE21-16</t>
  </si>
  <si>
    <t>Transmission Allocation %</t>
  </si>
  <si>
    <t>Less: Amounts for Designated Facilities</t>
  </si>
  <si>
    <t>Allocated to Transmission with Designated Facilities Removed</t>
  </si>
  <si>
    <t>2014 Mid-Yr Adj</t>
  </si>
  <si>
    <t>2020 Mid-Yr Adj</t>
  </si>
  <si>
    <t>2020 CAS Additions to OATT</t>
  </si>
  <si>
    <t>Adjustment - 47% substation additions not allocated to OATT</t>
  </si>
  <si>
    <t>Change to mid-year 2014 balance substations due to lower allocator in 2020 (from 72.163% in 2014 to 53% in 2020)</t>
  </si>
  <si>
    <t>Adjustment - 75% Communications additions not allocated to OATT</t>
  </si>
  <si>
    <t>Total Additions to OATT - mid-year 2014 to mid-year 2020</t>
  </si>
  <si>
    <t>Total Change in OATT Assets from 2014 to 2020</t>
  </si>
  <si>
    <t>GEC, IDC and other adjustments to additions</t>
  </si>
  <si>
    <t>T-2-4 Y-109 Extension-Trans OH Cond</t>
  </si>
  <si>
    <t>Transmission Line Refurb and Projects</t>
  </si>
  <si>
    <t>Lorne Valley Substation</t>
  </si>
  <si>
    <t>69 &amp; 138 KV Switch Replacement</t>
  </si>
  <si>
    <t>69 KV Breaker Replacement</t>
  </si>
  <si>
    <t>Y109 Extension to Borden</t>
  </si>
  <si>
    <t>Transmission Capacitors</t>
  </si>
  <si>
    <t>T-3 Rebuild Borden to Albany</t>
  </si>
  <si>
    <t>Substation Modernization</t>
  </si>
  <si>
    <t>T-8 Rebuild</t>
  </si>
  <si>
    <t>138 KV Tap to Clyde River</t>
  </si>
  <si>
    <t>T-21 Line Rebuild</t>
  </si>
  <si>
    <t>T-15 Extension to Airport</t>
  </si>
  <si>
    <t>Y109 Bannockburn-Steel Towers</t>
  </si>
  <si>
    <t>Communications Equipment</t>
  </si>
  <si>
    <t>Total Summary</t>
  </si>
  <si>
    <t>Estimated Allocation to OATT</t>
  </si>
  <si>
    <t>Estimated Allocation Including GEC/IDC</t>
  </si>
  <si>
    <t>Major Infrastructure Additions 2015-2020</t>
  </si>
  <si>
    <t>Estimated allocation based on primary asset account</t>
  </si>
  <si>
    <t>Agrees to OATT</t>
  </si>
  <si>
    <t>GEC/IDC Allocator</t>
  </si>
  <si>
    <t>2014 Amounts for Designated Facilities</t>
  </si>
  <si>
    <t>Change to amount for Designated Facilities</t>
  </si>
  <si>
    <t>T1 Line Extension to Bagnall Road</t>
  </si>
  <si>
    <t>GEC/IDC</t>
  </si>
  <si>
    <t>Designated Amount to Wind</t>
  </si>
  <si>
    <t>Total</t>
  </si>
  <si>
    <t>Church Road</t>
  </si>
  <si>
    <t>Dedicated Facility Adjustments</t>
  </si>
  <si>
    <t>Adjustments to Designated Facilities</t>
  </si>
  <si>
    <t>T-3-1 Y104 Transmission Line</t>
  </si>
  <si>
    <t>Adjustments to Dedicated Facilities:</t>
  </si>
  <si>
    <t>Reconciliation Adjustment to Agree to OATT (not material)</t>
  </si>
  <si>
    <t>Y104 Allocated to Wind</t>
  </si>
  <si>
    <t>Church Road no longer designated</t>
  </si>
  <si>
    <t>Capacitors - Allocated to OATT Schedule 2</t>
  </si>
  <si>
    <t>Total Asset Additions 2015-2020</t>
  </si>
  <si>
    <t>Agrees to total Average Gross Plant in Service for OATT</t>
  </si>
  <si>
    <t>Transmission Facilities in Appendix A to OATT Application</t>
  </si>
  <si>
    <t>UE20-02</t>
  </si>
  <si>
    <t>Transmission Land</t>
  </si>
  <si>
    <t>Substations</t>
  </si>
  <si>
    <t>Transmission Land Other</t>
  </si>
  <si>
    <t>Transmission Overhead Conductor</t>
  </si>
  <si>
    <t>Transmission Poles and Fixtures</t>
  </si>
  <si>
    <t>Transmission Line Control Devices</t>
  </si>
  <si>
    <t>Rights of Way</t>
  </si>
  <si>
    <t>Trasmission Roads &amp; Trails</t>
  </si>
  <si>
    <t>Transmission Towers</t>
  </si>
  <si>
    <t>Transmission General Property Land</t>
  </si>
  <si>
    <t>Asset Description</t>
  </si>
  <si>
    <t>Subtotal</t>
  </si>
  <si>
    <t>2014 CAS</t>
  </si>
  <si>
    <t>2020 CAS</t>
  </si>
  <si>
    <t>Capital Budget Approval Order #</t>
  </si>
  <si>
    <t>Adjustments</t>
  </si>
  <si>
    <t>System Capacitors - OATT Schedule 2 per Appendix A</t>
  </si>
  <si>
    <t>Asset Allocation to OATT Facilities</t>
  </si>
  <si>
    <t>2020 Designated Facilities</t>
  </si>
  <si>
    <t>Total Additions to OATT Transmission Facilities Including Schedule 2</t>
  </si>
  <si>
    <t>Transmission Projects</t>
  </si>
  <si>
    <t>Communications (1760) Adds</t>
  </si>
  <si>
    <t>Other Adds</t>
  </si>
  <si>
    <t>Substation Adds for Comm IR 3</t>
  </si>
  <si>
    <t>Capital Budget Order</t>
  </si>
  <si>
    <t>Variance Report Order</t>
  </si>
  <si>
    <t>Actual Expenditures</t>
  </si>
  <si>
    <t>Capital Budget Approved</t>
  </si>
  <si>
    <t>Variance Report Order (s)</t>
  </si>
  <si>
    <t>2014 Mid-Yr</t>
  </si>
  <si>
    <t>53% Inclusion</t>
  </si>
  <si>
    <t>2020 Mid-Yr</t>
  </si>
  <si>
    <t>GEC/IDC/Other</t>
  </si>
  <si>
    <t>UE12-02/UE13-04</t>
  </si>
  <si>
    <t>25% Inclusion</t>
  </si>
  <si>
    <t>2020 Mid-year</t>
  </si>
  <si>
    <t>UE17-03/UE18-09</t>
  </si>
  <si>
    <t>UE19-09/UE21-02</t>
  </si>
  <si>
    <t>Designated to Wind</t>
  </si>
  <si>
    <t>100% Inclusion Assets</t>
  </si>
  <si>
    <t>53% Inclusion Substation Assets</t>
  </si>
  <si>
    <t>Support for IR#3</t>
  </si>
  <si>
    <t xml:space="preserve">T-2 Easements </t>
  </si>
  <si>
    <t xml:space="preserve"> T-2 Easements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</si>
</sst>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0000"/>
    <numFmt numFmtId="167" formatCode="_(* #,##0.0_);_(* \(#,##0.0\);_(* &quot;-&quot;??_);_(@_)"/>
    <numFmt numFmtId="168" formatCode="0.0%"/>
    <numFmt numFmtId="169" formatCode="_(&quot;$&quot;* #,##0.0_);_(&quot;$&quot;* \(#,##0.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u val="singleAccounting"/>
      <sz val="10"/>
      <color theme="1"/>
      <name val="Arial"/>
      <family val="2"/>
    </font>
    <font>
      <u val="doubleAccounting"/>
      <sz val="10"/>
      <color theme="1"/>
      <name val="Arial"/>
      <family val="2"/>
    </font>
    <font>
      <u/>
      <sz val="10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23A6A9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D4CBB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357"/>
        <bgColor indexed="64"/>
      </patternFill>
    </fill>
    <fill>
      <patternFill patternType="solid">
        <fgColor rgb="FFAB57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6">
    <xf numFmtId="0" fontId="0" fillId="0" borderId="0" xfId="0"/>
    <xf numFmtId="0" fontId="4" fillId="0" borderId="0" xfId="0" applyFont="1"/>
    <xf numFmtId="169" fontId="4" fillId="0" borderId="0" xfId="2" applyNumberFormat="1" applyFont="1"/>
    <xf numFmtId="164" fontId="4" fillId="0" borderId="0" xfId="1" applyNumberFormat="1" applyFont="1"/>
    <xf numFmtId="164" fontId="4" fillId="0" borderId="0" xfId="0" applyNumberFormat="1" applyFont="1"/>
    <xf numFmtId="0" fontId="5" fillId="20" borderId="3" xfId="0" applyFont="1" applyFill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37" fontId="4" fillId="0" borderId="0" xfId="0" applyNumberFormat="1" applyFont="1"/>
    <xf numFmtId="168" fontId="4" fillId="0" borderId="0" xfId="3" applyNumberFormat="1" applyFont="1"/>
    <xf numFmtId="164" fontId="4" fillId="0" borderId="0" xfId="1" applyNumberFormat="1" applyFont="1" applyFill="1"/>
    <xf numFmtId="164" fontId="4" fillId="0" borderId="0" xfId="0" applyNumberFormat="1" applyFont="1" applyFill="1"/>
    <xf numFmtId="9" fontId="4" fillId="0" borderId="0" xfId="3" applyFont="1"/>
    <xf numFmtId="165" fontId="4" fillId="0" borderId="0" xfId="2" applyNumberFormat="1" applyFont="1"/>
    <xf numFmtId="164" fontId="6" fillId="0" borderId="0" xfId="1" applyNumberFormat="1" applyFont="1"/>
    <xf numFmtId="164" fontId="4" fillId="0" borderId="1" xfId="1" applyNumberFormat="1" applyFont="1" applyBorder="1"/>
    <xf numFmtId="164" fontId="4" fillId="0" borderId="1" xfId="0" applyNumberFormat="1" applyFont="1" applyBorder="1"/>
    <xf numFmtId="164" fontId="4" fillId="0" borderId="1" xfId="1" applyNumberFormat="1" applyFont="1" applyFill="1" applyBorder="1"/>
    <xf numFmtId="164" fontId="4" fillId="0" borderId="1" xfId="0" applyNumberFormat="1" applyFont="1" applyFill="1" applyBorder="1"/>
    <xf numFmtId="9" fontId="4" fillId="0" borderId="1" xfId="3" applyFont="1" applyBorder="1"/>
    <xf numFmtId="0" fontId="5" fillId="20" borderId="20" xfId="0" applyFont="1" applyFill="1" applyBorder="1" applyAlignment="1">
      <alignment horizontal="left"/>
    </xf>
    <xf numFmtId="37" fontId="5" fillId="20" borderId="20" xfId="0" applyNumberFormat="1" applyFont="1" applyFill="1" applyBorder="1"/>
    <xf numFmtId="43" fontId="4" fillId="0" borderId="0" xfId="1" applyNumberFormat="1" applyFont="1"/>
    <xf numFmtId="0" fontId="4" fillId="0" borderId="0" xfId="0" applyFont="1" applyFill="1"/>
    <xf numFmtId="43" fontId="4" fillId="0" borderId="0" xfId="0" applyNumberFormat="1" applyFont="1"/>
    <xf numFmtId="10" fontId="4" fillId="0" borderId="0" xfId="3" applyNumberFormat="1" applyFont="1"/>
    <xf numFmtId="43" fontId="4" fillId="0" borderId="1" xfId="0" applyNumberFormat="1" applyFont="1" applyBorder="1"/>
    <xf numFmtId="0" fontId="5" fillId="0" borderId="0" xfId="0" applyFont="1"/>
    <xf numFmtId="43" fontId="5" fillId="0" borderId="0" xfId="0" applyNumberFormat="1" applyFont="1"/>
    <xf numFmtId="165" fontId="5" fillId="0" borderId="2" xfId="2" applyNumberFormat="1" applyFont="1" applyBorder="1"/>
    <xf numFmtId="165" fontId="5" fillId="0" borderId="2" xfId="0" applyNumberFormat="1" applyFont="1" applyBorder="1"/>
    <xf numFmtId="165" fontId="4" fillId="0" borderId="0" xfId="0" applyNumberFormat="1" applyFont="1"/>
    <xf numFmtId="164" fontId="4" fillId="0" borderId="23" xfId="1" applyNumberFormat="1" applyFont="1" applyBorder="1"/>
    <xf numFmtId="164" fontId="5" fillId="0" borderId="12" xfId="1" applyNumberFormat="1" applyFont="1" applyBorder="1"/>
    <xf numFmtId="165" fontId="5" fillId="0" borderId="12" xfId="2" applyNumberFormat="1" applyFont="1" applyFill="1" applyBorder="1"/>
    <xf numFmtId="0" fontId="5" fillId="0" borderId="0" xfId="0" applyFont="1" applyFill="1"/>
    <xf numFmtId="3" fontId="4" fillId="0" borderId="0" xfId="0" applyNumberFormat="1" applyFont="1"/>
    <xf numFmtId="165" fontId="5" fillId="0" borderId="12" xfId="2" applyNumberFormat="1" applyFont="1" applyBorder="1"/>
    <xf numFmtId="166" fontId="4" fillId="0" borderId="0" xfId="0" applyNumberFormat="1" applyFont="1"/>
    <xf numFmtId="43" fontId="4" fillId="0" borderId="23" xfId="1" applyNumberFormat="1" applyFont="1" applyBorder="1"/>
    <xf numFmtId="165" fontId="5" fillId="0" borderId="12" xfId="0" applyNumberFormat="1" applyFont="1" applyBorder="1"/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10" xfId="1" applyNumberFormat="1" applyFont="1" applyBorder="1"/>
    <xf numFmtId="0" fontId="4" fillId="0" borderId="0" xfId="0" applyFont="1" applyAlignment="1">
      <alignment wrapText="1"/>
    </xf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4" fillId="0" borderId="0" xfId="0" applyFont="1" applyFill="1" applyAlignment="1">
      <alignment wrapText="1"/>
    </xf>
    <xf numFmtId="0" fontId="5" fillId="0" borderId="2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164" fontId="4" fillId="18" borderId="21" xfId="1" applyNumberFormat="1" applyFont="1" applyFill="1" applyBorder="1" applyAlignment="1">
      <alignment wrapText="1"/>
    </xf>
    <xf numFmtId="164" fontId="4" fillId="18" borderId="7" xfId="1" applyNumberFormat="1" applyFont="1" applyFill="1" applyBorder="1"/>
    <xf numFmtId="164" fontId="4" fillId="18" borderId="0" xfId="1" applyNumberFormat="1" applyFont="1" applyFill="1" applyBorder="1"/>
    <xf numFmtId="164" fontId="4" fillId="18" borderId="8" xfId="1" applyNumberFormat="1" applyFont="1" applyFill="1" applyBorder="1" applyAlignment="1">
      <alignment wrapText="1"/>
    </xf>
    <xf numFmtId="164" fontId="4" fillId="18" borderId="8" xfId="1" applyNumberFormat="1" applyFont="1" applyFill="1" applyBorder="1"/>
    <xf numFmtId="165" fontId="4" fillId="18" borderId="8" xfId="2" applyNumberFormat="1" applyFont="1" applyFill="1" applyBorder="1"/>
    <xf numFmtId="164" fontId="4" fillId="16" borderId="21" xfId="1" applyNumberFormat="1" applyFont="1" applyFill="1" applyBorder="1" applyAlignment="1">
      <alignment wrapText="1"/>
    </xf>
    <xf numFmtId="164" fontId="4" fillId="16" borderId="7" xfId="1" applyNumberFormat="1" applyFont="1" applyFill="1" applyBorder="1"/>
    <xf numFmtId="164" fontId="4" fillId="16" borderId="0" xfId="1" applyNumberFormat="1" applyFont="1" applyFill="1" applyBorder="1"/>
    <xf numFmtId="164" fontId="4" fillId="16" borderId="8" xfId="1" applyNumberFormat="1" applyFont="1" applyFill="1" applyBorder="1" applyAlignment="1">
      <alignment wrapText="1"/>
    </xf>
    <xf numFmtId="164" fontId="4" fillId="16" borderId="8" xfId="1" applyNumberFormat="1" applyFont="1" applyFill="1" applyBorder="1"/>
    <xf numFmtId="165" fontId="4" fillId="16" borderId="8" xfId="2" applyNumberFormat="1" applyFont="1" applyFill="1" applyBorder="1"/>
    <xf numFmtId="165" fontId="4" fillId="16" borderId="8" xfId="2" applyNumberFormat="1" applyFont="1" applyFill="1" applyBorder="1" applyAlignment="1"/>
    <xf numFmtId="165" fontId="4" fillId="16" borderId="0" xfId="2" applyNumberFormat="1" applyFont="1" applyFill="1" applyAlignment="1"/>
    <xf numFmtId="165" fontId="4" fillId="18" borderId="8" xfId="2" applyNumberFormat="1" applyFont="1" applyFill="1" applyBorder="1" applyAlignment="1"/>
    <xf numFmtId="165" fontId="4" fillId="18" borderId="0" xfId="2" applyNumberFormat="1" applyFont="1" applyFill="1" applyAlignment="1"/>
    <xf numFmtId="0" fontId="4" fillId="16" borderId="21" xfId="0" applyFont="1" applyFill="1" applyBorder="1"/>
    <xf numFmtId="164" fontId="4" fillId="4" borderId="21" xfId="1" applyNumberFormat="1" applyFont="1" applyFill="1" applyBorder="1" applyAlignment="1">
      <alignment wrapText="1"/>
    </xf>
    <xf numFmtId="164" fontId="4" fillId="4" borderId="7" xfId="1" applyNumberFormat="1" applyFont="1" applyFill="1" applyBorder="1"/>
    <xf numFmtId="164" fontId="4" fillId="4" borderId="0" xfId="1" applyNumberFormat="1" applyFont="1" applyFill="1" applyBorder="1"/>
    <xf numFmtId="164" fontId="4" fillId="4" borderId="8" xfId="1" applyNumberFormat="1" applyFont="1" applyFill="1" applyBorder="1" applyAlignment="1">
      <alignment wrapText="1"/>
    </xf>
    <xf numFmtId="164" fontId="4" fillId="4" borderId="8" xfId="1" applyNumberFormat="1" applyFont="1" applyFill="1" applyBorder="1"/>
    <xf numFmtId="164" fontId="4" fillId="7" borderId="21" xfId="1" applyNumberFormat="1" applyFont="1" applyFill="1" applyBorder="1" applyAlignment="1">
      <alignment wrapText="1"/>
    </xf>
    <xf numFmtId="164" fontId="4" fillId="7" borderId="7" xfId="1" applyNumberFormat="1" applyFont="1" applyFill="1" applyBorder="1"/>
    <xf numFmtId="164" fontId="4" fillId="7" borderId="0" xfId="1" applyNumberFormat="1" applyFont="1" applyFill="1" applyBorder="1"/>
    <xf numFmtId="164" fontId="4" fillId="7" borderId="8" xfId="1" applyNumberFormat="1" applyFont="1" applyFill="1" applyBorder="1" applyAlignment="1">
      <alignment wrapText="1"/>
    </xf>
    <xf numFmtId="165" fontId="4" fillId="7" borderId="8" xfId="2" applyNumberFormat="1" applyFont="1" applyFill="1" applyBorder="1" applyAlignment="1">
      <alignment wrapText="1"/>
    </xf>
    <xf numFmtId="165" fontId="4" fillId="7" borderId="8" xfId="2" applyNumberFormat="1" applyFont="1" applyFill="1" applyBorder="1"/>
    <xf numFmtId="165" fontId="4" fillId="7" borderId="8" xfId="2" applyNumberFormat="1" applyFont="1" applyFill="1" applyBorder="1" applyAlignment="1"/>
    <xf numFmtId="165" fontId="4" fillId="7" borderId="0" xfId="2" applyNumberFormat="1" applyFont="1" applyFill="1" applyAlignment="1"/>
    <xf numFmtId="0" fontId="4" fillId="4" borderId="0" xfId="0" applyFont="1" applyFill="1"/>
    <xf numFmtId="164" fontId="4" fillId="8" borderId="21" xfId="1" applyNumberFormat="1" applyFont="1" applyFill="1" applyBorder="1" applyAlignment="1">
      <alignment wrapText="1"/>
    </xf>
    <xf numFmtId="164" fontId="4" fillId="8" borderId="7" xfId="1" applyNumberFormat="1" applyFont="1" applyFill="1" applyBorder="1"/>
    <xf numFmtId="164" fontId="4" fillId="8" borderId="0" xfId="1" applyNumberFormat="1" applyFont="1" applyFill="1" applyBorder="1"/>
    <xf numFmtId="164" fontId="4" fillId="8" borderId="8" xfId="1" applyNumberFormat="1" applyFont="1" applyFill="1" applyBorder="1" applyAlignment="1">
      <alignment wrapText="1"/>
    </xf>
    <xf numFmtId="164" fontId="4" fillId="8" borderId="8" xfId="1" applyNumberFormat="1" applyFont="1" applyFill="1" applyBorder="1"/>
    <xf numFmtId="165" fontId="4" fillId="8" borderId="8" xfId="2" applyNumberFormat="1" applyFont="1" applyFill="1" applyBorder="1"/>
    <xf numFmtId="165" fontId="4" fillId="8" borderId="8" xfId="2" applyNumberFormat="1" applyFont="1" applyFill="1" applyBorder="1" applyAlignment="1"/>
    <xf numFmtId="164" fontId="4" fillId="5" borderId="21" xfId="1" applyNumberFormat="1" applyFont="1" applyFill="1" applyBorder="1" applyAlignment="1">
      <alignment wrapText="1"/>
    </xf>
    <xf numFmtId="164" fontId="4" fillId="5" borderId="7" xfId="1" applyNumberFormat="1" applyFont="1" applyFill="1" applyBorder="1"/>
    <xf numFmtId="164" fontId="4" fillId="5" borderId="0" xfId="1" applyNumberFormat="1" applyFont="1" applyFill="1" applyBorder="1"/>
    <xf numFmtId="164" fontId="4" fillId="5" borderId="8" xfId="1" applyNumberFormat="1" applyFont="1" applyFill="1" applyBorder="1" applyAlignment="1">
      <alignment wrapText="1"/>
    </xf>
    <xf numFmtId="164" fontId="4" fillId="5" borderId="8" xfId="1" applyNumberFormat="1" applyFont="1" applyFill="1" applyBorder="1"/>
    <xf numFmtId="165" fontId="4" fillId="5" borderId="8" xfId="2" applyNumberFormat="1" applyFont="1" applyFill="1" applyBorder="1"/>
    <xf numFmtId="165" fontId="4" fillId="18" borderId="8" xfId="2" applyNumberFormat="1" applyFont="1" applyFill="1" applyBorder="1" applyAlignment="1">
      <alignment wrapText="1"/>
    </xf>
    <xf numFmtId="164" fontId="7" fillId="14" borderId="21" xfId="1" applyNumberFormat="1" applyFont="1" applyFill="1" applyBorder="1" applyAlignment="1">
      <alignment wrapText="1"/>
    </xf>
    <xf numFmtId="164" fontId="4" fillId="14" borderId="7" xfId="1" applyNumberFormat="1" applyFont="1" applyFill="1" applyBorder="1"/>
    <xf numFmtId="164" fontId="4" fillId="14" borderId="0" xfId="1" applyNumberFormat="1" applyFont="1" applyFill="1" applyBorder="1"/>
    <xf numFmtId="164" fontId="4" fillId="14" borderId="8" xfId="1" applyNumberFormat="1" applyFont="1" applyFill="1" applyBorder="1" applyAlignment="1">
      <alignment wrapText="1"/>
    </xf>
    <xf numFmtId="164" fontId="4" fillId="14" borderId="8" xfId="1" applyNumberFormat="1" applyFont="1" applyFill="1" applyBorder="1"/>
    <xf numFmtId="165" fontId="4" fillId="14" borderId="8" xfId="2" applyNumberFormat="1" applyFont="1" applyFill="1" applyBorder="1" applyAlignment="1">
      <alignment wrapText="1"/>
    </xf>
    <xf numFmtId="165" fontId="4" fillId="4" borderId="8" xfId="2" applyNumberFormat="1" applyFont="1" applyFill="1" applyBorder="1"/>
    <xf numFmtId="164" fontId="4" fillId="4" borderId="7" xfId="1" applyNumberFormat="1" applyFont="1" applyFill="1" applyBorder="1" applyAlignment="1">
      <alignment horizontal="center"/>
    </xf>
    <xf numFmtId="165" fontId="4" fillId="4" borderId="8" xfId="2" applyNumberFormat="1" applyFont="1" applyFill="1" applyBorder="1" applyAlignment="1"/>
    <xf numFmtId="165" fontId="4" fillId="4" borderId="0" xfId="2" applyNumberFormat="1" applyFont="1" applyFill="1" applyAlignment="1"/>
    <xf numFmtId="164" fontId="4" fillId="17" borderId="21" xfId="1" applyNumberFormat="1" applyFont="1" applyFill="1" applyBorder="1" applyAlignment="1">
      <alignment wrapText="1"/>
    </xf>
    <xf numFmtId="164" fontId="4" fillId="17" borderId="7" xfId="1" applyNumberFormat="1" applyFont="1" applyFill="1" applyBorder="1"/>
    <xf numFmtId="164" fontId="4" fillId="17" borderId="0" xfId="1" applyNumberFormat="1" applyFont="1" applyFill="1" applyBorder="1"/>
    <xf numFmtId="164" fontId="4" fillId="17" borderId="8" xfId="1" applyNumberFormat="1" applyFont="1" applyFill="1" applyBorder="1" applyAlignment="1">
      <alignment wrapText="1"/>
    </xf>
    <xf numFmtId="164" fontId="4" fillId="17" borderId="8" xfId="1" applyNumberFormat="1" applyFont="1" applyFill="1" applyBorder="1"/>
    <xf numFmtId="165" fontId="4" fillId="17" borderId="8" xfId="2" applyNumberFormat="1" applyFont="1" applyFill="1" applyBorder="1"/>
    <xf numFmtId="165" fontId="4" fillId="17" borderId="0" xfId="2" applyNumberFormat="1" applyFont="1" applyFill="1" applyBorder="1"/>
    <xf numFmtId="165" fontId="4" fillId="17" borderId="8" xfId="2" applyNumberFormat="1" applyFont="1" applyFill="1" applyBorder="1" applyAlignment="1">
      <alignment wrapText="1"/>
    </xf>
    <xf numFmtId="165" fontId="4" fillId="18" borderId="0" xfId="2" applyNumberFormat="1" applyFont="1" applyFill="1" applyBorder="1"/>
    <xf numFmtId="165" fontId="4" fillId="18" borderId="0" xfId="2" applyNumberFormat="1" applyFont="1" applyFill="1" applyAlignment="1">
      <alignment wrapText="1"/>
    </xf>
    <xf numFmtId="164" fontId="4" fillId="9" borderId="21" xfId="1" applyNumberFormat="1" applyFont="1" applyFill="1" applyBorder="1" applyAlignment="1">
      <alignment wrapText="1"/>
    </xf>
    <xf numFmtId="164" fontId="4" fillId="9" borderId="7" xfId="1" applyNumberFormat="1" applyFont="1" applyFill="1" applyBorder="1"/>
    <xf numFmtId="164" fontId="4" fillId="9" borderId="0" xfId="1" applyNumberFormat="1" applyFont="1" applyFill="1" applyBorder="1"/>
    <xf numFmtId="164" fontId="4" fillId="9" borderId="8" xfId="1" applyNumberFormat="1" applyFont="1" applyFill="1" applyBorder="1" applyAlignment="1">
      <alignment wrapText="1"/>
    </xf>
    <xf numFmtId="164" fontId="4" fillId="9" borderId="8" xfId="1" applyNumberFormat="1" applyFont="1" applyFill="1" applyBorder="1"/>
    <xf numFmtId="165" fontId="4" fillId="9" borderId="8" xfId="2" applyNumberFormat="1" applyFont="1" applyFill="1" applyBorder="1"/>
    <xf numFmtId="165" fontId="4" fillId="9" borderId="0" xfId="2" applyNumberFormat="1" applyFont="1" applyFill="1" applyBorder="1"/>
    <xf numFmtId="165" fontId="4" fillId="9" borderId="8" xfId="2" applyNumberFormat="1" applyFont="1" applyFill="1" applyBorder="1" applyAlignment="1">
      <alignment wrapText="1"/>
    </xf>
    <xf numFmtId="165" fontId="4" fillId="18" borderId="0" xfId="2" applyNumberFormat="1" applyFont="1" applyFill="1"/>
    <xf numFmtId="164" fontId="4" fillId="11" borderId="21" xfId="1" applyNumberFormat="1" applyFont="1" applyFill="1" applyBorder="1" applyAlignment="1">
      <alignment wrapText="1"/>
    </xf>
    <xf numFmtId="164" fontId="4" fillId="11" borderId="7" xfId="1" applyNumberFormat="1" applyFont="1" applyFill="1" applyBorder="1"/>
    <xf numFmtId="164" fontId="4" fillId="11" borderId="0" xfId="1" applyNumberFormat="1" applyFont="1" applyFill="1" applyBorder="1"/>
    <xf numFmtId="164" fontId="4" fillId="11" borderId="8" xfId="1" applyNumberFormat="1" applyFont="1" applyFill="1" applyBorder="1" applyAlignment="1">
      <alignment wrapText="1"/>
    </xf>
    <xf numFmtId="164" fontId="4" fillId="11" borderId="8" xfId="1" applyNumberFormat="1" applyFont="1" applyFill="1" applyBorder="1"/>
    <xf numFmtId="165" fontId="4" fillId="11" borderId="8" xfId="2" applyNumberFormat="1" applyFont="1" applyFill="1" applyBorder="1"/>
    <xf numFmtId="164" fontId="4" fillId="13" borderId="21" xfId="1" applyNumberFormat="1" applyFont="1" applyFill="1" applyBorder="1" applyAlignment="1">
      <alignment wrapText="1"/>
    </xf>
    <xf numFmtId="164" fontId="4" fillId="13" borderId="7" xfId="1" applyNumberFormat="1" applyFont="1" applyFill="1" applyBorder="1"/>
    <xf numFmtId="164" fontId="4" fillId="13" borderId="0" xfId="1" applyNumberFormat="1" applyFont="1" applyFill="1" applyBorder="1"/>
    <xf numFmtId="164" fontId="4" fillId="13" borderId="8" xfId="1" applyNumberFormat="1" applyFont="1" applyFill="1" applyBorder="1" applyAlignment="1">
      <alignment wrapText="1"/>
    </xf>
    <xf numFmtId="164" fontId="4" fillId="13" borderId="8" xfId="1" applyNumberFormat="1" applyFont="1" applyFill="1" applyBorder="1"/>
    <xf numFmtId="165" fontId="4" fillId="13" borderId="8" xfId="2" applyNumberFormat="1" applyFont="1" applyFill="1" applyBorder="1"/>
    <xf numFmtId="164" fontId="4" fillId="3" borderId="21" xfId="1" applyNumberFormat="1" applyFont="1" applyFill="1" applyBorder="1" applyAlignment="1">
      <alignment wrapText="1"/>
    </xf>
    <xf numFmtId="164" fontId="4" fillId="3" borderId="7" xfId="1" applyNumberFormat="1" applyFont="1" applyFill="1" applyBorder="1"/>
    <xf numFmtId="164" fontId="4" fillId="3" borderId="0" xfId="1" applyNumberFormat="1" applyFont="1" applyFill="1" applyBorder="1"/>
    <xf numFmtId="164" fontId="4" fillId="3" borderId="8" xfId="1" applyNumberFormat="1" applyFont="1" applyFill="1" applyBorder="1" applyAlignment="1">
      <alignment wrapText="1"/>
    </xf>
    <xf numFmtId="164" fontId="4" fillId="3" borderId="8" xfId="1" applyNumberFormat="1" applyFont="1" applyFill="1" applyBorder="1"/>
    <xf numFmtId="165" fontId="4" fillId="3" borderId="8" xfId="2" applyNumberFormat="1" applyFont="1" applyFill="1" applyBorder="1"/>
    <xf numFmtId="165" fontId="4" fillId="3" borderId="8" xfId="2" applyNumberFormat="1" applyFont="1" applyFill="1" applyBorder="1" applyAlignment="1"/>
    <xf numFmtId="165" fontId="4" fillId="4" borderId="0" xfId="2" applyNumberFormat="1" applyFont="1" applyFill="1"/>
    <xf numFmtId="165" fontId="4" fillId="4" borderId="0" xfId="2" applyNumberFormat="1" applyFont="1" applyFill="1" applyAlignment="1">
      <alignment wrapText="1"/>
    </xf>
    <xf numFmtId="164" fontId="4" fillId="2" borderId="21" xfId="1" applyNumberFormat="1" applyFont="1" applyFill="1" applyBorder="1" applyAlignment="1">
      <alignment wrapText="1"/>
    </xf>
    <xf numFmtId="164" fontId="4" fillId="2" borderId="7" xfId="1" applyNumberFormat="1" applyFont="1" applyFill="1" applyBorder="1"/>
    <xf numFmtId="164" fontId="4" fillId="2" borderId="0" xfId="1" applyNumberFormat="1" applyFont="1" applyFill="1" applyBorder="1"/>
    <xf numFmtId="164" fontId="4" fillId="2" borderId="8" xfId="1" applyNumberFormat="1" applyFont="1" applyFill="1" applyBorder="1" applyAlignment="1">
      <alignment wrapText="1"/>
    </xf>
    <xf numFmtId="164" fontId="4" fillId="2" borderId="8" xfId="1" applyNumberFormat="1" applyFont="1" applyFill="1" applyBorder="1"/>
    <xf numFmtId="165" fontId="4" fillId="2" borderId="0" xfId="2" applyNumberFormat="1" applyFont="1" applyFill="1" applyAlignment="1"/>
    <xf numFmtId="165" fontId="4" fillId="2" borderId="8" xfId="2" applyNumberFormat="1" applyFont="1" applyFill="1" applyBorder="1"/>
    <xf numFmtId="164" fontId="4" fillId="18" borderId="7" xfId="1" applyNumberFormat="1" applyFont="1" applyFill="1" applyBorder="1" applyAlignment="1">
      <alignment horizontal="center"/>
    </xf>
    <xf numFmtId="164" fontId="4" fillId="6" borderId="21" xfId="1" applyNumberFormat="1" applyFont="1" applyFill="1" applyBorder="1" applyAlignment="1">
      <alignment wrapText="1"/>
    </xf>
    <xf numFmtId="164" fontId="4" fillId="6" borderId="7" xfId="1" applyNumberFormat="1" applyFont="1" applyFill="1" applyBorder="1"/>
    <xf numFmtId="164" fontId="4" fillId="6" borderId="0" xfId="1" applyNumberFormat="1" applyFont="1" applyFill="1" applyBorder="1"/>
    <xf numFmtId="164" fontId="4" fillId="6" borderId="8" xfId="1" applyNumberFormat="1" applyFont="1" applyFill="1" applyBorder="1" applyAlignment="1">
      <alignment wrapText="1"/>
    </xf>
    <xf numFmtId="164" fontId="4" fillId="6" borderId="8" xfId="1" applyNumberFormat="1" applyFont="1" applyFill="1" applyBorder="1"/>
    <xf numFmtId="165" fontId="4" fillId="6" borderId="0" xfId="2" applyNumberFormat="1" applyFont="1" applyFill="1" applyAlignment="1"/>
    <xf numFmtId="164" fontId="4" fillId="10" borderId="21" xfId="1" applyNumberFormat="1" applyFont="1" applyFill="1" applyBorder="1" applyAlignment="1">
      <alignment wrapText="1"/>
    </xf>
    <xf numFmtId="164" fontId="4" fillId="10" borderId="7" xfId="1" applyNumberFormat="1" applyFont="1" applyFill="1" applyBorder="1"/>
    <xf numFmtId="164" fontId="4" fillId="10" borderId="0" xfId="1" applyNumberFormat="1" applyFont="1" applyFill="1" applyBorder="1"/>
    <xf numFmtId="164" fontId="4" fillId="10" borderId="8" xfId="1" applyNumberFormat="1" applyFont="1" applyFill="1" applyBorder="1" applyAlignment="1">
      <alignment wrapText="1"/>
    </xf>
    <xf numFmtId="164" fontId="4" fillId="10" borderId="8" xfId="1" applyNumberFormat="1" applyFont="1" applyFill="1" applyBorder="1"/>
    <xf numFmtId="165" fontId="4" fillId="10" borderId="0" xfId="2" applyNumberFormat="1" applyFont="1" applyFill="1" applyAlignment="1"/>
    <xf numFmtId="164" fontId="4" fillId="15" borderId="21" xfId="1" applyNumberFormat="1" applyFont="1" applyFill="1" applyBorder="1" applyAlignment="1">
      <alignment wrapText="1"/>
    </xf>
    <xf numFmtId="164" fontId="4" fillId="15" borderId="7" xfId="1" applyNumberFormat="1" applyFont="1" applyFill="1" applyBorder="1"/>
    <xf numFmtId="164" fontId="4" fillId="15" borderId="0" xfId="1" applyNumberFormat="1" applyFont="1" applyFill="1" applyBorder="1"/>
    <xf numFmtId="164" fontId="4" fillId="15" borderId="8" xfId="1" applyNumberFormat="1" applyFont="1" applyFill="1" applyBorder="1" applyAlignment="1">
      <alignment wrapText="1"/>
    </xf>
    <xf numFmtId="164" fontId="4" fillId="15" borderId="8" xfId="1" applyNumberFormat="1" applyFont="1" applyFill="1" applyBorder="1"/>
    <xf numFmtId="165" fontId="4" fillId="15" borderId="8" xfId="2" applyNumberFormat="1" applyFont="1" applyFill="1" applyBorder="1"/>
    <xf numFmtId="164" fontId="4" fillId="12" borderId="21" xfId="1" applyNumberFormat="1" applyFont="1" applyFill="1" applyBorder="1" applyAlignment="1">
      <alignment wrapText="1"/>
    </xf>
    <xf numFmtId="164" fontId="4" fillId="12" borderId="7" xfId="1" applyNumberFormat="1" applyFont="1" applyFill="1" applyBorder="1"/>
    <xf numFmtId="164" fontId="4" fillId="12" borderId="0" xfId="1" applyNumberFormat="1" applyFont="1" applyFill="1" applyBorder="1"/>
    <xf numFmtId="164" fontId="4" fillId="12" borderId="8" xfId="1" applyNumberFormat="1" applyFont="1" applyFill="1" applyBorder="1" applyAlignment="1">
      <alignment wrapText="1"/>
    </xf>
    <xf numFmtId="164" fontId="4" fillId="12" borderId="8" xfId="1" applyNumberFormat="1" applyFont="1" applyFill="1" applyBorder="1"/>
    <xf numFmtId="165" fontId="4" fillId="12" borderId="8" xfId="2" applyNumberFormat="1" applyFont="1" applyFill="1" applyBorder="1"/>
    <xf numFmtId="164" fontId="4" fillId="0" borderId="0" xfId="0" applyNumberFormat="1" applyFont="1" applyAlignment="1">
      <alignment wrapText="1"/>
    </xf>
    <xf numFmtId="164" fontId="4" fillId="0" borderId="0" xfId="1" applyNumberFormat="1" applyFont="1" applyAlignment="1">
      <alignment wrapText="1"/>
    </xf>
    <xf numFmtId="164" fontId="8" fillId="0" borderId="0" xfId="1" applyNumberFormat="1" applyFont="1"/>
    <xf numFmtId="165" fontId="9" fillId="0" borderId="0" xfId="2" applyNumberFormat="1" applyFont="1"/>
    <xf numFmtId="0" fontId="7" fillId="0" borderId="0" xfId="0" applyFont="1" applyFill="1"/>
    <xf numFmtId="0" fontId="4" fillId="18" borderId="0" xfId="0" applyFont="1" applyFill="1"/>
    <xf numFmtId="3" fontId="4" fillId="18" borderId="0" xfId="0" applyNumberFormat="1" applyFont="1" applyFill="1"/>
    <xf numFmtId="164" fontId="4" fillId="18" borderId="0" xfId="1" applyNumberFormat="1" applyFont="1" applyFill="1"/>
    <xf numFmtId="9" fontId="4" fillId="18" borderId="0" xfId="0" applyNumberFormat="1" applyFont="1" applyFill="1"/>
    <xf numFmtId="0" fontId="4" fillId="16" borderId="0" xfId="0" applyFont="1" applyFill="1"/>
    <xf numFmtId="3" fontId="4" fillId="16" borderId="0" xfId="0" applyNumberFormat="1" applyFont="1" applyFill="1"/>
    <xf numFmtId="164" fontId="4" fillId="16" borderId="0" xfId="1" applyNumberFormat="1" applyFont="1" applyFill="1"/>
    <xf numFmtId="9" fontId="4" fillId="16" borderId="0" xfId="0" applyNumberFormat="1" applyFont="1" applyFill="1"/>
    <xf numFmtId="0" fontId="4" fillId="8" borderId="0" xfId="0" applyFont="1" applyFill="1"/>
    <xf numFmtId="3" fontId="4" fillId="8" borderId="0" xfId="0" applyNumberFormat="1" applyFont="1" applyFill="1"/>
    <xf numFmtId="164" fontId="4" fillId="8" borderId="0" xfId="1" applyNumberFormat="1" applyFont="1" applyFill="1"/>
    <xf numFmtId="9" fontId="4" fillId="8" borderId="0" xfId="0" applyNumberFormat="1" applyFont="1" applyFill="1"/>
    <xf numFmtId="0" fontId="4" fillId="9" borderId="0" xfId="0" applyFont="1" applyFill="1"/>
    <xf numFmtId="3" fontId="4" fillId="9" borderId="0" xfId="0" applyNumberFormat="1" applyFont="1" applyFill="1"/>
    <xf numFmtId="164" fontId="4" fillId="9" borderId="0" xfId="1" applyNumberFormat="1" applyFont="1" applyFill="1"/>
    <xf numFmtId="9" fontId="4" fillId="9" borderId="0" xfId="0" applyNumberFormat="1" applyFont="1" applyFill="1"/>
    <xf numFmtId="0" fontId="4" fillId="2" borderId="0" xfId="0" applyFont="1" applyFill="1"/>
    <xf numFmtId="3" fontId="4" fillId="2" borderId="0" xfId="0" applyNumberFormat="1" applyFont="1" applyFill="1"/>
    <xf numFmtId="164" fontId="4" fillId="2" borderId="0" xfId="1" applyNumberFormat="1" applyFont="1" applyFill="1"/>
    <xf numFmtId="9" fontId="4" fillId="2" borderId="0" xfId="0" applyNumberFormat="1" applyFont="1" applyFill="1"/>
    <xf numFmtId="0" fontId="4" fillId="6" borderId="0" xfId="0" applyFont="1" applyFill="1"/>
    <xf numFmtId="3" fontId="4" fillId="6" borderId="0" xfId="0" applyNumberFormat="1" applyFont="1" applyFill="1"/>
    <xf numFmtId="164" fontId="4" fillId="6" borderId="0" xfId="1" applyNumberFormat="1" applyFont="1" applyFill="1"/>
    <xf numFmtId="9" fontId="4" fillId="6" borderId="0" xfId="0" applyNumberFormat="1" applyFont="1" applyFill="1"/>
    <xf numFmtId="0" fontId="4" fillId="17" borderId="0" xfId="0" applyFont="1" applyFill="1"/>
    <xf numFmtId="3" fontId="4" fillId="17" borderId="0" xfId="0" applyNumberFormat="1" applyFont="1" applyFill="1"/>
    <xf numFmtId="164" fontId="4" fillId="17" borderId="0" xfId="1" applyNumberFormat="1" applyFont="1" applyFill="1"/>
    <xf numFmtId="9" fontId="4" fillId="17" borderId="0" xfId="0" applyNumberFormat="1" applyFont="1" applyFill="1"/>
    <xf numFmtId="3" fontId="4" fillId="4" borderId="0" xfId="0" applyNumberFormat="1" applyFont="1" applyFill="1"/>
    <xf numFmtId="164" fontId="4" fillId="4" borderId="0" xfId="1" applyNumberFormat="1" applyFont="1" applyFill="1"/>
    <xf numFmtId="9" fontId="4" fillId="4" borderId="0" xfId="0" applyNumberFormat="1" applyFont="1" applyFill="1"/>
    <xf numFmtId="0" fontId="4" fillId="7" borderId="0" xfId="0" applyFont="1" applyFill="1"/>
    <xf numFmtId="3" fontId="4" fillId="7" borderId="0" xfId="0" applyNumberFormat="1" applyFont="1" applyFill="1"/>
    <xf numFmtId="164" fontId="4" fillId="7" borderId="0" xfId="1" applyNumberFormat="1" applyFont="1" applyFill="1"/>
    <xf numFmtId="9" fontId="4" fillId="7" borderId="0" xfId="0" applyNumberFormat="1" applyFont="1" applyFill="1"/>
    <xf numFmtId="0" fontId="7" fillId="14" borderId="0" xfId="0" applyFont="1" applyFill="1"/>
    <xf numFmtId="3" fontId="4" fillId="14" borderId="0" xfId="0" applyNumberFormat="1" applyFont="1" applyFill="1"/>
    <xf numFmtId="164" fontId="4" fillId="14" borderId="0" xfId="1" applyNumberFormat="1" applyFont="1" applyFill="1"/>
    <xf numFmtId="9" fontId="4" fillId="14" borderId="0" xfId="0" applyNumberFormat="1" applyFont="1" applyFill="1"/>
    <xf numFmtId="0" fontId="4" fillId="11" borderId="0" xfId="0" applyFont="1" applyFill="1"/>
    <xf numFmtId="3" fontId="4" fillId="11" borderId="0" xfId="0" applyNumberFormat="1" applyFont="1" applyFill="1"/>
    <xf numFmtId="164" fontId="4" fillId="11" borderId="0" xfId="1" applyNumberFormat="1" applyFont="1" applyFill="1"/>
    <xf numFmtId="9" fontId="4" fillId="11" borderId="0" xfId="0" applyNumberFormat="1" applyFont="1" applyFill="1"/>
    <xf numFmtId="0" fontId="4" fillId="13" borderId="0" xfId="0" applyFont="1" applyFill="1"/>
    <xf numFmtId="3" fontId="4" fillId="13" borderId="0" xfId="0" applyNumberFormat="1" applyFont="1" applyFill="1"/>
    <xf numFmtId="164" fontId="4" fillId="13" borderId="0" xfId="1" applyNumberFormat="1" applyFont="1" applyFill="1"/>
    <xf numFmtId="9" fontId="4" fillId="13" borderId="0" xfId="0" applyNumberFormat="1" applyFont="1" applyFill="1"/>
    <xf numFmtId="0" fontId="4" fillId="3" borderId="0" xfId="0" applyFont="1" applyFill="1"/>
    <xf numFmtId="3" fontId="4" fillId="3" borderId="0" xfId="0" applyNumberFormat="1" applyFont="1" applyFill="1"/>
    <xf numFmtId="164" fontId="4" fillId="3" borderId="0" xfId="1" applyNumberFormat="1" applyFont="1" applyFill="1"/>
    <xf numFmtId="9" fontId="4" fillId="3" borderId="0" xfId="0" applyNumberFormat="1" applyFont="1" applyFill="1"/>
    <xf numFmtId="0" fontId="4" fillId="10" borderId="0" xfId="0" applyFont="1" applyFill="1"/>
    <xf numFmtId="3" fontId="4" fillId="10" borderId="0" xfId="0" applyNumberFormat="1" applyFont="1" applyFill="1"/>
    <xf numFmtId="164" fontId="4" fillId="10" borderId="0" xfId="1" applyNumberFormat="1" applyFont="1" applyFill="1"/>
    <xf numFmtId="9" fontId="4" fillId="10" borderId="0" xfId="0" applyNumberFormat="1" applyFont="1" applyFill="1"/>
    <xf numFmtId="0" fontId="4" fillId="15" borderId="0" xfId="0" applyFont="1" applyFill="1"/>
    <xf numFmtId="3" fontId="4" fillId="15" borderId="0" xfId="0" applyNumberFormat="1" applyFont="1" applyFill="1"/>
    <xf numFmtId="164" fontId="4" fillId="15" borderId="0" xfId="1" applyNumberFormat="1" applyFont="1" applyFill="1"/>
    <xf numFmtId="9" fontId="4" fillId="15" borderId="0" xfId="0" applyNumberFormat="1" applyFont="1" applyFill="1"/>
    <xf numFmtId="0" fontId="4" fillId="12" borderId="0" xfId="0" applyFont="1" applyFill="1"/>
    <xf numFmtId="3" fontId="4" fillId="12" borderId="0" xfId="0" applyNumberFormat="1" applyFont="1" applyFill="1"/>
    <xf numFmtId="164" fontId="4" fillId="12" borderId="0" xfId="1" applyNumberFormat="1" applyFont="1" applyFill="1"/>
    <xf numFmtId="9" fontId="4" fillId="12" borderId="0" xfId="0" applyNumberFormat="1" applyFont="1" applyFill="1"/>
    <xf numFmtId="0" fontId="4" fillId="5" borderId="0" xfId="0" applyFont="1" applyFill="1"/>
    <xf numFmtId="3" fontId="4" fillId="5" borderId="0" xfId="0" applyNumberFormat="1" applyFont="1" applyFill="1"/>
    <xf numFmtId="164" fontId="4" fillId="5" borderId="0" xfId="1" applyNumberFormat="1" applyFont="1" applyFill="1"/>
    <xf numFmtId="9" fontId="4" fillId="5" borderId="0" xfId="0" applyNumberFormat="1" applyFont="1" applyFill="1"/>
    <xf numFmtId="168" fontId="4" fillId="0" borderId="0" xfId="3" applyNumberFormat="1" applyFont="1" applyFill="1"/>
    <xf numFmtId="10" fontId="4" fillId="0" borderId="0" xfId="3" applyNumberFormat="1" applyFont="1" applyFill="1"/>
    <xf numFmtId="3" fontId="4" fillId="18" borderId="1" xfId="0" applyNumberFormat="1" applyFont="1" applyFill="1" applyBorder="1"/>
    <xf numFmtId="164" fontId="4" fillId="18" borderId="1" xfId="1" applyNumberFormat="1" applyFont="1" applyFill="1" applyBorder="1"/>
    <xf numFmtId="9" fontId="4" fillId="18" borderId="1" xfId="0" applyNumberFormat="1" applyFont="1" applyFill="1" applyBorder="1"/>
    <xf numFmtId="0" fontId="5" fillId="0" borderId="0" xfId="0" applyFont="1" applyFill="1" applyAlignment="1">
      <alignment horizontal="left"/>
    </xf>
    <xf numFmtId="3" fontId="5" fillId="0" borderId="0" xfId="0" applyNumberFormat="1" applyFont="1" applyFill="1"/>
    <xf numFmtId="164" fontId="5" fillId="0" borderId="0" xfId="1" applyNumberFormat="1" applyFont="1" applyFill="1"/>
    <xf numFmtId="43" fontId="4" fillId="0" borderId="0" xfId="0" applyNumberFormat="1" applyFont="1" applyFill="1"/>
    <xf numFmtId="3" fontId="4" fillId="0" borderId="0" xfId="0" applyNumberFormat="1" applyFont="1" applyFill="1"/>
    <xf numFmtId="0" fontId="4" fillId="0" borderId="0" xfId="0" applyFont="1" applyFill="1" applyAlignment="1">
      <alignment horizontal="left"/>
    </xf>
    <xf numFmtId="0" fontId="4" fillId="0" borderId="1" xfId="0" applyFont="1" applyFill="1" applyBorder="1"/>
    <xf numFmtId="0" fontId="5" fillId="18" borderId="0" xfId="0" applyFont="1" applyFill="1" applyAlignment="1">
      <alignment horizontal="left"/>
    </xf>
    <xf numFmtId="0" fontId="5" fillId="18" borderId="0" xfId="0" applyFont="1" applyFill="1"/>
    <xf numFmtId="164" fontId="5" fillId="18" borderId="0" xfId="1" applyNumberFormat="1" applyFont="1" applyFill="1"/>
    <xf numFmtId="164" fontId="5" fillId="18" borderId="1" xfId="1" applyNumberFormat="1" applyFont="1" applyFill="1" applyBorder="1"/>
    <xf numFmtId="164" fontId="4" fillId="18" borderId="0" xfId="0" applyNumberFormat="1" applyFont="1" applyFill="1" applyBorder="1"/>
    <xf numFmtId="164" fontId="5" fillId="0" borderId="2" xfId="1" applyNumberFormat="1" applyFont="1" applyFill="1" applyBorder="1"/>
    <xf numFmtId="164" fontId="4" fillId="18" borderId="0" xfId="0" applyNumberFormat="1" applyFont="1" applyFill="1"/>
    <xf numFmtId="0" fontId="5" fillId="0" borderId="13" xfId="0" applyFont="1" applyFill="1" applyBorder="1" applyAlignment="1">
      <alignment horizontal="left"/>
    </xf>
    <xf numFmtId="0" fontId="4" fillId="0" borderId="14" xfId="0" applyFont="1" applyFill="1" applyBorder="1"/>
    <xf numFmtId="164" fontId="4" fillId="0" borderId="14" xfId="1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4" fontId="5" fillId="0" borderId="2" xfId="0" applyNumberFormat="1" applyFont="1" applyFill="1" applyBorder="1"/>
    <xf numFmtId="0" fontId="4" fillId="0" borderId="16" xfId="0" applyFont="1" applyBorder="1" applyAlignment="1">
      <alignment horizontal="left"/>
    </xf>
    <xf numFmtId="0" fontId="4" fillId="0" borderId="0" xfId="0" applyFont="1" applyBorder="1"/>
    <xf numFmtId="164" fontId="4" fillId="0" borderId="0" xfId="1" applyNumberFormat="1" applyFont="1" applyBorder="1"/>
    <xf numFmtId="164" fontId="4" fillId="0" borderId="17" xfId="1" applyNumberFormat="1" applyFont="1" applyBorder="1"/>
    <xf numFmtId="0" fontId="4" fillId="0" borderId="13" xfId="0" applyFont="1" applyFill="1" applyBorder="1"/>
    <xf numFmtId="164" fontId="4" fillId="5" borderId="16" xfId="1" applyNumberFormat="1" applyFont="1" applyFill="1" applyBorder="1"/>
    <xf numFmtId="164" fontId="4" fillId="5" borderId="17" xfId="1" applyNumberFormat="1" applyFont="1" applyFill="1" applyBorder="1"/>
    <xf numFmtId="164" fontId="4" fillId="19" borderId="16" xfId="1" applyNumberFormat="1" applyFont="1" applyFill="1" applyBorder="1"/>
    <xf numFmtId="164" fontId="4" fillId="19" borderId="0" xfId="1" applyNumberFormat="1" applyFont="1" applyFill="1" applyBorder="1"/>
    <xf numFmtId="164" fontId="4" fillId="19" borderId="17" xfId="1" applyNumberFormat="1" applyFont="1" applyFill="1" applyBorder="1"/>
    <xf numFmtId="0" fontId="4" fillId="0" borderId="16" xfId="0" applyFont="1" applyBorder="1"/>
    <xf numFmtId="164" fontId="4" fillId="0" borderId="16" xfId="1" applyNumberFormat="1" applyFont="1" applyFill="1" applyBorder="1"/>
    <xf numFmtId="164" fontId="8" fillId="0" borderId="17" xfId="1" applyNumberFormat="1" applyFont="1" applyBorder="1"/>
    <xf numFmtId="164" fontId="10" fillId="0" borderId="0" xfId="1" applyNumberFormat="1" applyFont="1" applyBorder="1"/>
    <xf numFmtId="164" fontId="10" fillId="0" borderId="17" xfId="1" applyNumberFormat="1" applyFont="1" applyBorder="1"/>
    <xf numFmtId="0" fontId="4" fillId="0" borderId="16" xfId="0" applyFont="1" applyFill="1" applyBorder="1"/>
    <xf numFmtId="164" fontId="9" fillId="0" borderId="17" xfId="1" applyNumberFormat="1" applyFont="1" applyBorder="1"/>
    <xf numFmtId="0" fontId="4" fillId="0" borderId="18" xfId="0" applyFont="1" applyFill="1" applyBorder="1"/>
    <xf numFmtId="164" fontId="4" fillId="0" borderId="19" xfId="1" applyNumberFormat="1" applyFont="1" applyBorder="1"/>
    <xf numFmtId="164" fontId="8" fillId="0" borderId="0" xfId="1" applyNumberFormat="1" applyFont="1" applyBorder="1"/>
    <xf numFmtId="0" fontId="4" fillId="0" borderId="18" xfId="0" applyFont="1" applyBorder="1"/>
    <xf numFmtId="0" fontId="4" fillId="0" borderId="1" xfId="0" applyFont="1" applyBorder="1"/>
    <xf numFmtId="164" fontId="8" fillId="0" borderId="0" xfId="0" applyNumberFormat="1" applyFont="1"/>
    <xf numFmtId="0" fontId="4" fillId="0" borderId="13" xfId="0" applyFont="1" applyBorder="1"/>
    <xf numFmtId="3" fontId="4" fillId="0" borderId="14" xfId="0" applyNumberFormat="1" applyFont="1" applyBorder="1"/>
    <xf numFmtId="3" fontId="4" fillId="0" borderId="24" xfId="0" applyNumberFormat="1" applyFont="1" applyBorder="1"/>
    <xf numFmtId="3" fontId="4" fillId="0" borderId="0" xfId="0" applyNumberFormat="1" applyFont="1" applyBorder="1"/>
    <xf numFmtId="3" fontId="4" fillId="0" borderId="25" xfId="0" applyNumberFormat="1" applyFont="1" applyBorder="1"/>
    <xf numFmtId="3" fontId="4" fillId="0" borderId="1" xfId="0" applyNumberFormat="1" applyFont="1" applyBorder="1"/>
    <xf numFmtId="3" fontId="4" fillId="0" borderId="26" xfId="0" applyNumberFormat="1" applyFont="1" applyBorder="1"/>
    <xf numFmtId="164" fontId="4" fillId="4" borderId="0" xfId="0" applyNumberFormat="1" applyFont="1" applyFill="1" applyBorder="1"/>
    <xf numFmtId="167" fontId="4" fillId="0" borderId="17" xfId="1" applyNumberFormat="1" applyFont="1" applyBorder="1"/>
    <xf numFmtId="164" fontId="4" fillId="5" borderId="0" xfId="0" applyNumberFormat="1" applyFont="1" applyFill="1" applyBorder="1"/>
    <xf numFmtId="164" fontId="4" fillId="7" borderId="0" xfId="0" applyNumberFormat="1" applyFont="1" applyFill="1" applyBorder="1"/>
    <xf numFmtId="164" fontId="4" fillId="3" borderId="0" xfId="0" applyNumberFormat="1" applyFont="1" applyFill="1" applyBorder="1"/>
    <xf numFmtId="164" fontId="4" fillId="6" borderId="0" xfId="0" applyNumberFormat="1" applyFont="1" applyFill="1" applyBorder="1"/>
    <xf numFmtId="164" fontId="4" fillId="8" borderId="0" xfId="0" applyNumberFormat="1" applyFont="1" applyFill="1" applyBorder="1"/>
    <xf numFmtId="164" fontId="4" fillId="16" borderId="0" xfId="0" applyNumberFormat="1" applyFont="1" applyFill="1" applyBorder="1"/>
    <xf numFmtId="164" fontId="4" fillId="10" borderId="0" xfId="0" applyNumberFormat="1" applyFont="1" applyFill="1" applyBorder="1"/>
    <xf numFmtId="164" fontId="4" fillId="11" borderId="0" xfId="0" applyNumberFormat="1" applyFont="1" applyFill="1" applyBorder="1"/>
    <xf numFmtId="164" fontId="4" fillId="17" borderId="0" xfId="0" applyNumberFormat="1" applyFont="1" applyFill="1" applyBorder="1"/>
    <xf numFmtId="164" fontId="4" fillId="9" borderId="0" xfId="0" applyNumberFormat="1" applyFont="1" applyFill="1" applyBorder="1"/>
    <xf numFmtId="164" fontId="4" fillId="13" borderId="0" xfId="0" applyNumberFormat="1" applyFont="1" applyFill="1" applyBorder="1"/>
    <xf numFmtId="164" fontId="4" fillId="12" borderId="0" xfId="0" applyNumberFormat="1" applyFont="1" applyFill="1" applyBorder="1"/>
    <xf numFmtId="164" fontId="4" fillId="2" borderId="0" xfId="0" applyNumberFormat="1" applyFont="1" applyFill="1" applyBorder="1"/>
    <xf numFmtId="164" fontId="4" fillId="14" borderId="0" xfId="0" applyNumberFormat="1" applyFont="1" applyFill="1" applyBorder="1"/>
    <xf numFmtId="164" fontId="4" fillId="15" borderId="0" xfId="0" applyNumberFormat="1" applyFont="1" applyFill="1" applyBorder="1"/>
    <xf numFmtId="164" fontId="8" fillId="18" borderId="0" xfId="0" applyNumberFormat="1" applyFont="1" applyFill="1" applyBorder="1"/>
    <xf numFmtId="167" fontId="8" fillId="0" borderId="17" xfId="1" applyNumberFormat="1" applyFont="1" applyBorder="1"/>
    <xf numFmtId="167" fontId="4" fillId="0" borderId="19" xfId="0" applyNumberFormat="1" applyFont="1" applyBorder="1"/>
    <xf numFmtId="164" fontId="4" fillId="0" borderId="14" xfId="0" applyNumberFormat="1" applyFont="1" applyBorder="1"/>
    <xf numFmtId="0" fontId="4" fillId="0" borderId="15" xfId="0" applyFont="1" applyBorder="1"/>
    <xf numFmtId="164" fontId="8" fillId="19" borderId="0" xfId="0" applyNumberFormat="1" applyFont="1" applyFill="1" applyBorder="1"/>
    <xf numFmtId="164" fontId="8" fillId="0" borderId="0" xfId="0" applyNumberFormat="1" applyFont="1" applyBorder="1"/>
    <xf numFmtId="0" fontId="5" fillId="0" borderId="18" xfId="0" applyFont="1" applyBorder="1"/>
    <xf numFmtId="164" fontId="5" fillId="0" borderId="1" xfId="0" applyNumberFormat="1" applyFont="1" applyBorder="1"/>
    <xf numFmtId="167" fontId="5" fillId="0" borderId="19" xfId="1" applyNumberFormat="1" applyFont="1" applyBorder="1"/>
    <xf numFmtId="0" fontId="5" fillId="0" borderId="13" xfId="0" applyFont="1" applyFill="1" applyBorder="1"/>
    <xf numFmtId="164" fontId="5" fillId="0" borderId="14" xfId="1" applyNumberFormat="1" applyFont="1" applyBorder="1"/>
    <xf numFmtId="164" fontId="5" fillId="0" borderId="15" xfId="1" applyNumberFormat="1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99FF"/>
      <color rgb="FF9933FF"/>
      <color rgb="FFFF6600"/>
      <color rgb="FFD4CBB6"/>
      <color rgb="FFF810BB"/>
      <color rgb="FFFF6357"/>
      <color rgb="FF009999"/>
      <color rgb="FF00FF00"/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Regulation/Studies/Cost%20Allocation/COS%20Study%202020/Final%20Report/Copy%20of%20MECL%20Cost%20Allocation%20Update%20Jan%2027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.0"/>
      <sheetName val="1.1"/>
      <sheetName val="1.2"/>
      <sheetName val="1.3"/>
      <sheetName val="1.4"/>
      <sheetName val="2.0"/>
      <sheetName val="2.1"/>
      <sheetName val="2.2"/>
      <sheetName val="2.4"/>
      <sheetName val="2.5"/>
      <sheetName val="3.0"/>
      <sheetName val="3.1"/>
      <sheetName val="3.2"/>
      <sheetName val="3.3"/>
      <sheetName val="3.4"/>
      <sheetName val="3.5"/>
      <sheetName val="3.6"/>
      <sheetName val="4.0"/>
      <sheetName val="4.1"/>
      <sheetName val="4.2"/>
      <sheetName val="5.0"/>
      <sheetName val="5.1"/>
      <sheetName val="5.2"/>
      <sheetName val="6.0"/>
      <sheetName val="6.1"/>
      <sheetName val="6.2"/>
      <sheetName val="6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D39">
            <v>0.25000000000000006</v>
          </cell>
        </row>
      </sheetData>
      <sheetData sheetId="18"/>
      <sheetData sheetId="19"/>
      <sheetData sheetId="20"/>
      <sheetData sheetId="21"/>
      <sheetData sheetId="22">
        <row r="27">
          <cell r="D27">
            <v>1</v>
          </cell>
        </row>
      </sheetData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31"/>
  <sheetViews>
    <sheetView tabSelected="1" topLeftCell="M1" workbookViewId="0">
      <selection activeCell="D27" sqref="D27"/>
    </sheetView>
  </sheetViews>
  <sheetFormatPr defaultRowHeight="12.75" x14ac:dyDescent="0.2"/>
  <cols>
    <col min="1" max="1" width="32" style="1" bestFit="1" customWidth="1"/>
    <col min="2" max="9" width="11.28515625" style="1" customWidth="1"/>
    <col min="10" max="10" width="1.85546875" style="1" customWidth="1"/>
    <col min="11" max="11" width="12.28515625" style="1" customWidth="1"/>
    <col min="12" max="12" width="12.28515625" style="1" bestFit="1" customWidth="1"/>
    <col min="13" max="13" width="13.42578125" style="1" bestFit="1" customWidth="1"/>
    <col min="14" max="14" width="12.28515625" style="1" customWidth="1"/>
    <col min="15" max="15" width="12.140625" style="1" bestFit="1" customWidth="1"/>
    <col min="16" max="16" width="14" style="1" bestFit="1" customWidth="1"/>
    <col min="17" max="17" width="10.140625" style="1" customWidth="1"/>
    <col min="18" max="18" width="16.42578125" style="1" bestFit="1" customWidth="1"/>
    <col min="19" max="19" width="17.42578125" style="1" bestFit="1" customWidth="1"/>
    <col min="20" max="20" width="15.140625" style="1" bestFit="1" customWidth="1"/>
    <col min="21" max="21" width="12.7109375" style="1" bestFit="1" customWidth="1"/>
    <col min="22" max="22" width="15.42578125" style="1" bestFit="1" customWidth="1"/>
    <col min="23" max="23" width="14.42578125" style="1" bestFit="1" customWidth="1"/>
    <col min="24" max="24" width="16.85546875" style="1" customWidth="1"/>
    <col min="25" max="25" width="11.5703125" style="1" bestFit="1" customWidth="1"/>
    <col min="26" max="16384" width="9.140625" style="1"/>
  </cols>
  <sheetData>
    <row r="2" spans="1:25" x14ac:dyDescent="0.2">
      <c r="R2" s="2">
        <f>+R7*0.47</f>
        <v>12147368.974879999</v>
      </c>
    </row>
    <row r="3" spans="1:25" x14ac:dyDescent="0.2">
      <c r="R3" s="3">
        <f>+R5*0.25</f>
        <v>938073.11125000031</v>
      </c>
      <c r="S3" s="3">
        <f>+S7*0.27837</f>
        <v>10579596.06337315</v>
      </c>
      <c r="T3" s="3">
        <f>+S7*0.47</f>
        <v>17862593.489906888</v>
      </c>
      <c r="U3" s="4">
        <f>+T3-S3</f>
        <v>7282997.4265337382</v>
      </c>
      <c r="V3" s="3">
        <f>+R5*0.75</f>
        <v>2814219.3337500012</v>
      </c>
      <c r="W3" s="3"/>
    </row>
    <row r="4" spans="1:25" ht="51" x14ac:dyDescent="0.2">
      <c r="A4" s="5" t="s">
        <v>185</v>
      </c>
      <c r="B4" s="5">
        <v>2014</v>
      </c>
      <c r="C4" s="5">
        <v>2015</v>
      </c>
      <c r="D4" s="5">
        <v>2016</v>
      </c>
      <c r="E4" s="5">
        <v>2017</v>
      </c>
      <c r="F4" s="5">
        <v>2018</v>
      </c>
      <c r="G4" s="5">
        <v>2019</v>
      </c>
      <c r="H4" s="5">
        <v>2020</v>
      </c>
      <c r="I4" s="5" t="s">
        <v>3</v>
      </c>
      <c r="K4" s="6" t="s">
        <v>4</v>
      </c>
      <c r="L4" s="6" t="s">
        <v>5</v>
      </c>
      <c r="M4" s="6" t="s">
        <v>109</v>
      </c>
      <c r="N4" s="7" t="s">
        <v>190</v>
      </c>
      <c r="O4" s="7" t="s">
        <v>6</v>
      </c>
      <c r="P4" s="7" t="s">
        <v>7</v>
      </c>
      <c r="Q4" s="8" t="s">
        <v>155</v>
      </c>
      <c r="R4" s="7" t="s">
        <v>9</v>
      </c>
      <c r="S4" s="7" t="s">
        <v>8</v>
      </c>
      <c r="T4" s="7" t="s">
        <v>10</v>
      </c>
      <c r="U4" s="7" t="s">
        <v>122</v>
      </c>
      <c r="V4" s="7" t="s">
        <v>192</v>
      </c>
      <c r="W4" s="7" t="s">
        <v>193</v>
      </c>
      <c r="X4" s="6" t="s">
        <v>124</v>
      </c>
    </row>
    <row r="5" spans="1:25" x14ac:dyDescent="0.2">
      <c r="A5" s="9" t="s">
        <v>148</v>
      </c>
      <c r="B5" s="10">
        <v>351851.99</v>
      </c>
      <c r="C5" s="10">
        <v>531860.28000000026</v>
      </c>
      <c r="D5" s="10">
        <v>522931.71999999986</v>
      </c>
      <c r="E5" s="10">
        <v>922021.40000000026</v>
      </c>
      <c r="F5" s="10">
        <v>644077.7700000006</v>
      </c>
      <c r="G5" s="10">
        <v>431171.42999999953</v>
      </c>
      <c r="H5" s="10">
        <v>927869.33000000089</v>
      </c>
      <c r="I5" s="10">
        <f>SUM(B5:H5)</f>
        <v>4331783.9200000018</v>
      </c>
      <c r="K5" s="3">
        <f>-B5*0.5</f>
        <v>-175925.995</v>
      </c>
      <c r="L5" s="3">
        <f>-H5*0.5</f>
        <v>-463934.66500000044</v>
      </c>
      <c r="M5" s="3">
        <f>+I5+K5+L5</f>
        <v>3691923.2600000012</v>
      </c>
      <c r="N5" s="3">
        <v>0</v>
      </c>
      <c r="O5" s="3">
        <v>0</v>
      </c>
      <c r="P5" s="3">
        <v>60369.184999999998</v>
      </c>
      <c r="Q5" s="11">
        <f>SUM(P5:P5)/M5</f>
        <v>1.6351690094446866E-2</v>
      </c>
      <c r="R5" s="4">
        <f t="shared" ref="R5:R12" si="0">SUM(M5:P5)</f>
        <v>3752292.4450000012</v>
      </c>
      <c r="S5" s="12">
        <v>8025175.250462288</v>
      </c>
      <c r="T5" s="13">
        <f>SUM(R5:S5)</f>
        <v>11777467.69546229</v>
      </c>
      <c r="U5" s="14">
        <f>+'[1]3.6'!$D$39</f>
        <v>0.25000000000000006</v>
      </c>
      <c r="V5" s="15">
        <f>+T5*U5</f>
        <v>2944366.923865573</v>
      </c>
      <c r="W5" s="3">
        <v>882605.8578035275</v>
      </c>
      <c r="X5" s="4">
        <f>+V5-W5</f>
        <v>2061761.0660620455</v>
      </c>
      <c r="Y5" s="3"/>
    </row>
    <row r="6" spans="1:25" x14ac:dyDescent="0.2">
      <c r="A6" s="9" t="s">
        <v>175</v>
      </c>
      <c r="B6" s="10">
        <v>32379.29</v>
      </c>
      <c r="C6" s="10"/>
      <c r="D6" s="10">
        <v>2637.2400000000002</v>
      </c>
      <c r="E6" s="10">
        <v>100398.08000000002</v>
      </c>
      <c r="F6" s="10">
        <v>23122.060000000012</v>
      </c>
      <c r="G6" s="10">
        <v>0</v>
      </c>
      <c r="H6" s="10">
        <v>11793</v>
      </c>
      <c r="I6" s="10">
        <f t="shared" ref="I6:I12" si="1">SUM(B6:H6)</f>
        <v>170329.67000000004</v>
      </c>
      <c r="K6" s="3">
        <f t="shared" ref="K6:K12" si="2">-B6*0.5</f>
        <v>-16189.645</v>
      </c>
      <c r="L6" s="3">
        <f t="shared" ref="L6:L12" si="3">-H6*0.5</f>
        <v>-5896.5</v>
      </c>
      <c r="M6" s="3">
        <f t="shared" ref="M6:M12" si="4">+I6+K6+L6</f>
        <v>148243.52500000005</v>
      </c>
      <c r="N6" s="3">
        <v>0</v>
      </c>
      <c r="O6" s="3">
        <v>0</v>
      </c>
      <c r="P6" s="3">
        <v>2355.0749999999998</v>
      </c>
      <c r="Q6" s="11"/>
      <c r="R6" s="4">
        <f t="shared" si="0"/>
        <v>150598.60000000006</v>
      </c>
      <c r="S6" s="12">
        <v>380809.69975639251</v>
      </c>
      <c r="T6" s="13">
        <f t="shared" ref="T6:T17" si="5">SUM(R6:S6)</f>
        <v>531408.2997563926</v>
      </c>
      <c r="U6" s="14">
        <v>1</v>
      </c>
      <c r="V6" s="15">
        <f t="shared" ref="V6:V17" si="6">+T6*U6</f>
        <v>531408.2997563926</v>
      </c>
      <c r="W6" s="3">
        <v>18936.043137069257</v>
      </c>
      <c r="X6" s="4">
        <f t="shared" ref="X6:X12" si="7">+V6-W6</f>
        <v>512472.25661932334</v>
      </c>
      <c r="Y6" s="3"/>
    </row>
    <row r="7" spans="1:25" x14ac:dyDescent="0.2">
      <c r="A7" s="9" t="s">
        <v>176</v>
      </c>
      <c r="B7" s="10">
        <v>2688995.2079999996</v>
      </c>
      <c r="C7" s="10">
        <v>3354097.5599999987</v>
      </c>
      <c r="D7" s="10">
        <v>2757503.6999999993</v>
      </c>
      <c r="E7" s="10">
        <v>4290751.7299999967</v>
      </c>
      <c r="F7" s="10">
        <v>4099769.5299999993</v>
      </c>
      <c r="G7" s="10">
        <v>6624343.9800000042</v>
      </c>
      <c r="H7" s="10">
        <v>5190364.1800000016</v>
      </c>
      <c r="I7" s="10">
        <f t="shared" si="1"/>
        <v>29005825.887999997</v>
      </c>
      <c r="K7" s="3">
        <f t="shared" si="2"/>
        <v>-1344497.6039999998</v>
      </c>
      <c r="L7" s="3">
        <f t="shared" si="3"/>
        <v>-2595182.0900000008</v>
      </c>
      <c r="M7" s="3">
        <f t="shared" si="4"/>
        <v>25066146.193999998</v>
      </c>
      <c r="N7" s="3">
        <v>71467.290000001376</v>
      </c>
      <c r="O7" s="3">
        <v>-156314.69</v>
      </c>
      <c r="P7" s="3">
        <v>864167.11</v>
      </c>
      <c r="Q7" s="11">
        <f>SUM(P6:P7)/SUM(M6:M7)</f>
        <v>3.4366177197104344E-2</v>
      </c>
      <c r="R7" s="4">
        <f>SUM(M7:P7)</f>
        <v>25845465.903999999</v>
      </c>
      <c r="S7" s="12">
        <v>38005518.063631676</v>
      </c>
      <c r="T7" s="13">
        <f t="shared" si="5"/>
        <v>63850983.967631675</v>
      </c>
      <c r="U7" s="14">
        <v>0.53</v>
      </c>
      <c r="V7" s="15">
        <f t="shared" si="6"/>
        <v>33841021.502844788</v>
      </c>
      <c r="W7" s="16">
        <v>4470546</v>
      </c>
      <c r="X7" s="4">
        <f t="shared" si="7"/>
        <v>29370475.502844788</v>
      </c>
      <c r="Y7" s="3"/>
    </row>
    <row r="8" spans="1:25" x14ac:dyDescent="0.2">
      <c r="A8" s="9" t="s">
        <v>177</v>
      </c>
      <c r="B8" s="10"/>
      <c r="C8" s="10"/>
      <c r="D8" s="10">
        <v>225</v>
      </c>
      <c r="E8" s="10">
        <v>6505.78</v>
      </c>
      <c r="F8" s="10">
        <v>750</v>
      </c>
      <c r="G8" s="10"/>
      <c r="H8" s="10"/>
      <c r="I8" s="10">
        <f t="shared" si="1"/>
        <v>7480.78</v>
      </c>
      <c r="K8" s="3">
        <f t="shared" si="2"/>
        <v>0</v>
      </c>
      <c r="L8" s="3">
        <f t="shared" si="3"/>
        <v>0</v>
      </c>
      <c r="M8" s="3">
        <f t="shared" si="4"/>
        <v>7480.78</v>
      </c>
      <c r="N8" s="3">
        <v>-2200</v>
      </c>
      <c r="O8" s="3">
        <v>0</v>
      </c>
      <c r="P8" s="3">
        <v>119.53999999999999</v>
      </c>
      <c r="Q8" s="11"/>
      <c r="R8" s="4">
        <f t="shared" si="0"/>
        <v>5400.32</v>
      </c>
      <c r="S8" s="12">
        <v>427117.38</v>
      </c>
      <c r="T8" s="13">
        <f t="shared" si="5"/>
        <v>432517.7</v>
      </c>
      <c r="U8" s="14">
        <v>1</v>
      </c>
      <c r="V8" s="15">
        <f t="shared" si="6"/>
        <v>432517.7</v>
      </c>
      <c r="W8" s="16">
        <v>247022.25</v>
      </c>
      <c r="X8" s="4">
        <f t="shared" si="7"/>
        <v>185495.45</v>
      </c>
      <c r="Y8" s="3"/>
    </row>
    <row r="9" spans="1:25" x14ac:dyDescent="0.2">
      <c r="A9" s="9" t="s">
        <v>178</v>
      </c>
      <c r="B9" s="10">
        <v>2183181.5925000007</v>
      </c>
      <c r="C9" s="10">
        <v>3111787.2749999985</v>
      </c>
      <c r="D9" s="10">
        <v>3948479.8399999933</v>
      </c>
      <c r="E9" s="10">
        <v>3724326.2399999965</v>
      </c>
      <c r="F9" s="10">
        <v>2435477.0599999968</v>
      </c>
      <c r="G9" s="10">
        <v>2152611.2499999916</v>
      </c>
      <c r="H9" s="10">
        <v>1952092.2700000003</v>
      </c>
      <c r="I9" s="10">
        <f t="shared" si="1"/>
        <v>19507955.527499977</v>
      </c>
      <c r="K9" s="3">
        <f t="shared" si="2"/>
        <v>-1091590.7962500004</v>
      </c>
      <c r="L9" s="3">
        <f t="shared" si="3"/>
        <v>-976046.13500000013</v>
      </c>
      <c r="M9" s="3">
        <f t="shared" si="4"/>
        <v>17440318.596249975</v>
      </c>
      <c r="N9" s="3">
        <v>0</v>
      </c>
      <c r="O9" s="3">
        <v>-128870.23999999999</v>
      </c>
      <c r="P9" s="3">
        <v>609243.16500000015</v>
      </c>
      <c r="Q9" s="11"/>
      <c r="R9" s="4">
        <f t="shared" si="0"/>
        <v>17920691.521249976</v>
      </c>
      <c r="S9" s="12">
        <v>30618966.582554765</v>
      </c>
      <c r="T9" s="13">
        <f t="shared" si="5"/>
        <v>48539658.103804737</v>
      </c>
      <c r="U9" s="14">
        <v>1</v>
      </c>
      <c r="V9" s="15">
        <f t="shared" si="6"/>
        <v>48539658.103804737</v>
      </c>
      <c r="W9" s="16">
        <v>14485747</v>
      </c>
      <c r="X9" s="4">
        <f t="shared" si="7"/>
        <v>34053911.103804737</v>
      </c>
      <c r="Y9" s="3"/>
    </row>
    <row r="10" spans="1:25" x14ac:dyDescent="0.2">
      <c r="A10" s="9" t="s">
        <v>179</v>
      </c>
      <c r="B10" s="10">
        <v>1779402.080000001</v>
      </c>
      <c r="C10" s="10">
        <v>1659622.5020000008</v>
      </c>
      <c r="D10" s="10">
        <v>1360616.8999999997</v>
      </c>
      <c r="E10" s="10">
        <v>1793189.2599999986</v>
      </c>
      <c r="F10" s="10">
        <v>668800.32999999891</v>
      </c>
      <c r="G10" s="10">
        <v>330250.59000000014</v>
      </c>
      <c r="H10" s="10">
        <v>613401.75</v>
      </c>
      <c r="I10" s="10">
        <f t="shared" si="1"/>
        <v>8205283.4119999995</v>
      </c>
      <c r="K10" s="3">
        <f t="shared" si="2"/>
        <v>-889701.0400000005</v>
      </c>
      <c r="L10" s="3">
        <f t="shared" si="3"/>
        <v>-306700.875</v>
      </c>
      <c r="M10" s="3">
        <f t="shared" si="4"/>
        <v>7008881.4969999995</v>
      </c>
      <c r="N10" s="3">
        <v>54701.070000000007</v>
      </c>
      <c r="O10" s="3">
        <v>534588.66499999992</v>
      </c>
      <c r="P10" s="3">
        <v>246039.42</v>
      </c>
      <c r="Q10" s="11"/>
      <c r="R10" s="4">
        <f t="shared" si="0"/>
        <v>7844210.6519999998</v>
      </c>
      <c r="S10" s="12">
        <v>16223992.321403177</v>
      </c>
      <c r="T10" s="13">
        <f t="shared" si="5"/>
        <v>24068202.973403178</v>
      </c>
      <c r="U10" s="14">
        <v>1</v>
      </c>
      <c r="V10" s="15">
        <f t="shared" si="6"/>
        <v>24068202.973403178</v>
      </c>
      <c r="W10" s="16">
        <v>7709990</v>
      </c>
      <c r="X10" s="4">
        <f t="shared" si="7"/>
        <v>16358212.973403178</v>
      </c>
      <c r="Y10" s="3"/>
    </row>
    <row r="11" spans="1:25" x14ac:dyDescent="0.2">
      <c r="A11" s="9" t="s">
        <v>180</v>
      </c>
      <c r="B11" s="10">
        <v>186319.43000000005</v>
      </c>
      <c r="C11" s="10">
        <v>63319.270000000019</v>
      </c>
      <c r="D11" s="10">
        <v>380367.01000000007</v>
      </c>
      <c r="E11" s="10">
        <v>541728.89</v>
      </c>
      <c r="F11" s="10">
        <v>632.7800000000002</v>
      </c>
      <c r="G11" s="10">
        <v>428.30000000000018</v>
      </c>
      <c r="H11" s="10">
        <v>0</v>
      </c>
      <c r="I11" s="10">
        <f t="shared" si="1"/>
        <v>1172795.6800000002</v>
      </c>
      <c r="K11" s="3">
        <f t="shared" si="2"/>
        <v>-93159.715000000026</v>
      </c>
      <c r="L11" s="3">
        <f t="shared" si="3"/>
        <v>0</v>
      </c>
      <c r="M11" s="3">
        <f t="shared" si="4"/>
        <v>1079635.9650000001</v>
      </c>
      <c r="N11" s="3">
        <v>0</v>
      </c>
      <c r="O11" s="3">
        <v>-239.1</v>
      </c>
      <c r="P11" s="3">
        <v>37792.500000000007</v>
      </c>
      <c r="Q11" s="11">
        <v>3.3013436436455157E-2</v>
      </c>
      <c r="R11" s="4">
        <f t="shared" si="0"/>
        <v>1117189.365</v>
      </c>
      <c r="S11" s="12">
        <v>1600163.906705519</v>
      </c>
      <c r="T11" s="13">
        <f t="shared" si="5"/>
        <v>2717353.2717055189</v>
      </c>
      <c r="U11" s="14">
        <f>+'[1]5.1'!$D$27</f>
        <v>1</v>
      </c>
      <c r="V11" s="15">
        <f t="shared" si="6"/>
        <v>2717353.2717055189</v>
      </c>
      <c r="W11" s="3">
        <v>29441.073574485396</v>
      </c>
      <c r="X11" s="4">
        <f t="shared" si="7"/>
        <v>2687912.1981310337</v>
      </c>
      <c r="Y11" s="3"/>
    </row>
    <row r="12" spans="1:25" x14ac:dyDescent="0.2">
      <c r="A12" s="9" t="s">
        <v>181</v>
      </c>
      <c r="B12" s="10">
        <v>-63403.030000000021</v>
      </c>
      <c r="C12" s="10">
        <v>15580.09</v>
      </c>
      <c r="D12" s="10">
        <v>600</v>
      </c>
      <c r="E12" s="10">
        <v>8158.6</v>
      </c>
      <c r="F12" s="10">
        <v>9698.8000000000011</v>
      </c>
      <c r="G12" s="10">
        <v>10245.650000000001</v>
      </c>
      <c r="H12" s="10">
        <v>29656.02</v>
      </c>
      <c r="I12" s="10">
        <f t="shared" si="1"/>
        <v>10536.129999999986</v>
      </c>
      <c r="K12" s="17">
        <f t="shared" si="2"/>
        <v>31701.51500000001</v>
      </c>
      <c r="L12" s="17">
        <f t="shared" si="3"/>
        <v>-14828.01</v>
      </c>
      <c r="M12" s="17">
        <f t="shared" si="4"/>
        <v>27409.634999999995</v>
      </c>
      <c r="N12" s="17">
        <v>0</v>
      </c>
      <c r="O12" s="17">
        <v>0</v>
      </c>
      <c r="P12" s="17">
        <v>0</v>
      </c>
      <c r="Q12" s="11">
        <f>SUM(N12:P12)/M12</f>
        <v>0</v>
      </c>
      <c r="R12" s="18">
        <f t="shared" si="0"/>
        <v>27409.634999999995</v>
      </c>
      <c r="S12" s="19">
        <v>4470347.6850000005</v>
      </c>
      <c r="T12" s="20">
        <f t="shared" si="5"/>
        <v>4497757.32</v>
      </c>
      <c r="U12" s="21">
        <v>1</v>
      </c>
      <c r="V12" s="17">
        <f t="shared" si="6"/>
        <v>4497757.32</v>
      </c>
      <c r="W12" s="17">
        <v>3373009.2044358198</v>
      </c>
      <c r="X12" s="18">
        <f t="shared" si="7"/>
        <v>1124748.1155641805</v>
      </c>
      <c r="Y12" s="3"/>
    </row>
    <row r="13" spans="1:25" x14ac:dyDescent="0.2">
      <c r="A13" s="22" t="s">
        <v>3</v>
      </c>
      <c r="B13" s="23">
        <f>SUM(B5:B12)</f>
        <v>7158726.5605000006</v>
      </c>
      <c r="C13" s="23">
        <f t="shared" ref="C13:I13" si="8">SUM(C5:C12)</f>
        <v>8736266.9769999981</v>
      </c>
      <c r="D13" s="23">
        <f t="shared" si="8"/>
        <v>8973361.4099999927</v>
      </c>
      <c r="E13" s="23">
        <f t="shared" si="8"/>
        <v>11387079.979999991</v>
      </c>
      <c r="F13" s="23">
        <f t="shared" si="8"/>
        <v>7882328.3299999963</v>
      </c>
      <c r="G13" s="23">
        <f t="shared" si="8"/>
        <v>9549051.1999999974</v>
      </c>
      <c r="H13" s="23">
        <f t="shared" si="8"/>
        <v>8725176.5500000026</v>
      </c>
      <c r="I13" s="23">
        <f t="shared" si="8"/>
        <v>62411991.007499978</v>
      </c>
      <c r="K13" s="4">
        <f t="shared" ref="K13:P13" si="9">SUM(K5:K12)</f>
        <v>-3579363.2802500003</v>
      </c>
      <c r="L13" s="4">
        <f t="shared" si="9"/>
        <v>-4362588.2750000013</v>
      </c>
      <c r="M13" s="4">
        <f t="shared" si="9"/>
        <v>54470039.452249974</v>
      </c>
      <c r="N13" s="4">
        <f t="shared" si="9"/>
        <v>123968.36000000138</v>
      </c>
      <c r="O13" s="4">
        <f t="shared" si="9"/>
        <v>249164.63499999992</v>
      </c>
      <c r="P13" s="4">
        <f t="shared" si="9"/>
        <v>1820085.9950000001</v>
      </c>
      <c r="R13" s="3">
        <f>SUM(R5:R12)</f>
        <v>56663258.442249976</v>
      </c>
      <c r="S13" s="13">
        <f>SUM(S5:S12)</f>
        <v>99752090.88951382</v>
      </c>
      <c r="T13" s="13">
        <f>SUM(T5:T12)</f>
        <v>156415349.33176377</v>
      </c>
      <c r="V13" s="4">
        <f>SUM(V5:V12)</f>
        <v>117572286.09538022</v>
      </c>
      <c r="W13" s="4">
        <f>SUM(W5:W12)</f>
        <v>31217297.428950906</v>
      </c>
      <c r="X13" s="4">
        <f>SUM(X5:X12)</f>
        <v>86354988.666429281</v>
      </c>
    </row>
    <row r="14" spans="1:25" x14ac:dyDescent="0.2">
      <c r="B14" s="10"/>
      <c r="C14" s="10"/>
      <c r="D14" s="10"/>
      <c r="E14" s="10"/>
      <c r="F14" s="10"/>
      <c r="G14" s="10"/>
      <c r="H14" s="10"/>
      <c r="O14" s="4"/>
      <c r="P14" s="24"/>
      <c r="R14" s="3">
        <f>-R5*0.75</f>
        <v>-2814219.3337500012</v>
      </c>
      <c r="S14" s="25"/>
      <c r="T14" s="13"/>
      <c r="U14" s="14"/>
      <c r="V14" s="3"/>
      <c r="W14" s="3"/>
    </row>
    <row r="15" spans="1:25" x14ac:dyDescent="0.2">
      <c r="A15" s="9" t="s">
        <v>182</v>
      </c>
      <c r="N15" s="24"/>
      <c r="O15" s="3"/>
      <c r="P15" s="26"/>
      <c r="Q15" s="27"/>
      <c r="R15" s="3">
        <f>-R7*0.47</f>
        <v>-12147368.974879999</v>
      </c>
      <c r="S15" s="12">
        <v>73263</v>
      </c>
      <c r="T15" s="13">
        <f>SUM(S15:S15)</f>
        <v>73263</v>
      </c>
      <c r="U15" s="14">
        <v>1</v>
      </c>
      <c r="V15" s="3">
        <f t="shared" si="6"/>
        <v>73263</v>
      </c>
      <c r="W15" s="3">
        <v>73263</v>
      </c>
      <c r="X15" s="26">
        <f t="shared" ref="X15:X17" si="10">+V15-W15</f>
        <v>0</v>
      </c>
    </row>
    <row r="16" spans="1:25" x14ac:dyDescent="0.2">
      <c r="A16" s="9" t="s">
        <v>183</v>
      </c>
      <c r="P16" s="26"/>
      <c r="Q16" s="3"/>
      <c r="R16" s="4">
        <f>SUM(R13:R15)</f>
        <v>41701670.133619979</v>
      </c>
      <c r="S16" s="12">
        <v>878834.26</v>
      </c>
      <c r="T16" s="13">
        <f>SUM(S16:S16)</f>
        <v>878834.26</v>
      </c>
      <c r="U16" s="14">
        <v>1</v>
      </c>
      <c r="V16" s="3">
        <f t="shared" si="6"/>
        <v>878834.26</v>
      </c>
      <c r="W16" s="3">
        <v>0</v>
      </c>
      <c r="X16" s="26">
        <f t="shared" si="10"/>
        <v>878834.26</v>
      </c>
    </row>
    <row r="17" spans="1:27" x14ac:dyDescent="0.2">
      <c r="A17" s="9" t="s">
        <v>184</v>
      </c>
      <c r="S17" s="19">
        <v>165585.82999999999</v>
      </c>
      <c r="T17" s="20">
        <f t="shared" si="5"/>
        <v>165585.82999999999</v>
      </c>
      <c r="U17" s="14">
        <v>1</v>
      </c>
      <c r="V17" s="17">
        <f t="shared" si="6"/>
        <v>165585.82999999999</v>
      </c>
      <c r="W17" s="3">
        <v>0</v>
      </c>
      <c r="X17" s="28">
        <f t="shared" si="10"/>
        <v>165585.82999999999</v>
      </c>
    </row>
    <row r="18" spans="1:27" ht="13.5" thickBot="1" x14ac:dyDescent="0.25">
      <c r="A18" s="29" t="s">
        <v>111</v>
      </c>
      <c r="K18" s="29"/>
      <c r="L18" s="29"/>
      <c r="M18" s="29"/>
      <c r="N18" s="29"/>
      <c r="O18" s="29"/>
      <c r="P18" s="30"/>
      <c r="Q18" s="29"/>
      <c r="R18" s="29"/>
      <c r="S18" s="31">
        <f>SUM(S13:S17)</f>
        <v>100869773.97951382</v>
      </c>
      <c r="T18" s="31">
        <f>SUM(T13:T17)</f>
        <v>157533032.42176378</v>
      </c>
      <c r="U18" s="29"/>
      <c r="V18" s="32">
        <f>SUM(V13:V17)</f>
        <v>118689969.18538022</v>
      </c>
      <c r="W18" s="32">
        <f>SUM(W13:W17)</f>
        <v>31290560.428950906</v>
      </c>
      <c r="X18" s="32">
        <f>SUM(X13:X17)</f>
        <v>87399408.756429285</v>
      </c>
    </row>
    <row r="19" spans="1:27" ht="13.5" thickTop="1" x14ac:dyDescent="0.2">
      <c r="S19" s="3">
        <f>+S7*(1-0.72163)+S5*0.75</f>
        <v>16598477.501219867</v>
      </c>
      <c r="X19" s="29"/>
    </row>
    <row r="20" spans="1:27" x14ac:dyDescent="0.2">
      <c r="B20" s="340" t="s">
        <v>198</v>
      </c>
      <c r="C20" s="341"/>
      <c r="D20" s="341"/>
      <c r="E20" s="341"/>
      <c r="F20" s="341"/>
      <c r="G20" s="341"/>
      <c r="H20" s="342"/>
      <c r="K20" s="1" t="s">
        <v>123</v>
      </c>
      <c r="S20" s="19">
        <v>27130704</v>
      </c>
      <c r="T20" s="33"/>
      <c r="V20" s="17">
        <f>+W18</f>
        <v>31290560.428950906</v>
      </c>
      <c r="W20" s="3"/>
    </row>
    <row r="21" spans="1:27" x14ac:dyDescent="0.2">
      <c r="B21" s="34">
        <f>90945.3*0.5</f>
        <v>45472.65</v>
      </c>
      <c r="C21" s="34">
        <v>125821.35</v>
      </c>
      <c r="D21" s="34">
        <v>99206.98</v>
      </c>
      <c r="E21" s="34">
        <v>146894.85</v>
      </c>
      <c r="F21" s="34">
        <v>136063.82</v>
      </c>
      <c r="G21" s="34">
        <v>227811.21</v>
      </c>
      <c r="H21" s="34">
        <f>165792.5*0.5</f>
        <v>82896.25</v>
      </c>
      <c r="X21" s="4"/>
    </row>
    <row r="22" spans="1:27" ht="13.5" thickBot="1" x14ac:dyDescent="0.25">
      <c r="B22" s="34">
        <f>-B7*0.5</f>
        <v>-1344497.6039999998</v>
      </c>
      <c r="C22" s="34"/>
      <c r="D22" s="34"/>
      <c r="E22" s="34"/>
      <c r="F22" s="34"/>
      <c r="G22" s="34"/>
      <c r="H22" s="34">
        <f>-H7*0.5</f>
        <v>-2595182.0900000008</v>
      </c>
      <c r="K22" s="29" t="s">
        <v>124</v>
      </c>
      <c r="S22" s="35">
        <f>+S18-S19-S20</f>
        <v>57140592.478293955</v>
      </c>
      <c r="T22" s="29"/>
      <c r="U22" s="29"/>
      <c r="V22" s="36">
        <f>+V18-V20</f>
        <v>87399408.756429315</v>
      </c>
      <c r="W22" s="37" t="s">
        <v>172</v>
      </c>
      <c r="X22" s="25"/>
      <c r="Y22" s="25"/>
      <c r="Z22" s="25"/>
      <c r="AA22" s="25"/>
    </row>
    <row r="23" spans="1:27" ht="13.5" thickTop="1" x14ac:dyDescent="0.2">
      <c r="B23" s="34"/>
      <c r="C23" s="34"/>
      <c r="D23" s="34"/>
      <c r="E23" s="34"/>
      <c r="F23" s="34">
        <v>-1405.1100000000001</v>
      </c>
      <c r="G23" s="34">
        <v>-154909.58000000002</v>
      </c>
      <c r="H23" s="34"/>
      <c r="V23" s="25"/>
      <c r="W23" s="37" t="s">
        <v>173</v>
      </c>
      <c r="X23" s="25"/>
      <c r="Y23" s="25"/>
      <c r="Z23" s="25"/>
      <c r="AA23" s="25"/>
    </row>
    <row r="24" spans="1:27" x14ac:dyDescent="0.2">
      <c r="B24" s="34">
        <v>0</v>
      </c>
      <c r="C24" s="34">
        <v>0</v>
      </c>
      <c r="D24" s="34">
        <v>0</v>
      </c>
      <c r="E24" s="34">
        <v>126168.3600000008</v>
      </c>
      <c r="F24" s="34">
        <v>0</v>
      </c>
      <c r="G24" s="34">
        <v>-36467.379999999888</v>
      </c>
      <c r="H24" s="34">
        <v>-18233.689999999999</v>
      </c>
      <c r="K24" s="1" t="s">
        <v>156</v>
      </c>
      <c r="P24" s="15">
        <v>27130704.060520895</v>
      </c>
      <c r="S24" s="38"/>
    </row>
    <row r="25" spans="1:27" ht="13.5" thickBot="1" x14ac:dyDescent="0.25">
      <c r="B25" s="34">
        <f t="shared" ref="B25:H25" si="11">+B7+B22+B21+B23+B24</f>
        <v>1389970.2539999997</v>
      </c>
      <c r="C25" s="34">
        <f t="shared" si="11"/>
        <v>3479918.9099999988</v>
      </c>
      <c r="D25" s="34">
        <f t="shared" si="11"/>
        <v>2856710.6799999992</v>
      </c>
      <c r="E25" s="34">
        <f t="shared" si="11"/>
        <v>4563814.9399999976</v>
      </c>
      <c r="F25" s="34">
        <f t="shared" si="11"/>
        <v>4234428.2399999993</v>
      </c>
      <c r="G25" s="34">
        <f t="shared" si="11"/>
        <v>6660778.2300000042</v>
      </c>
      <c r="H25" s="34">
        <f t="shared" si="11"/>
        <v>2659844.6500000008</v>
      </c>
      <c r="K25" s="1" t="s">
        <v>157</v>
      </c>
      <c r="P25" s="15">
        <f>V20-P24</f>
        <v>4159856.368430011</v>
      </c>
      <c r="S25" s="33"/>
      <c r="V25" s="39">
        <f>-'Worksheet for Presentation Sum'!K100</f>
        <v>1911437</v>
      </c>
      <c r="W25" s="29" t="s">
        <v>191</v>
      </c>
      <c r="X25" s="29"/>
      <c r="Y25" s="29"/>
      <c r="Z25" s="29"/>
    </row>
    <row r="26" spans="1:27" ht="13.5" thickTop="1" x14ac:dyDescent="0.2">
      <c r="B26" s="34">
        <f>+B25*0.47</f>
        <v>653286.01937999984</v>
      </c>
      <c r="C26" s="34">
        <f t="shared" ref="C26:H26" si="12">+C25*0.47</f>
        <v>1635561.8876999994</v>
      </c>
      <c r="D26" s="34">
        <f t="shared" si="12"/>
        <v>1342654.0195999995</v>
      </c>
      <c r="E26" s="34">
        <f t="shared" si="12"/>
        <v>2144993.0217999988</v>
      </c>
      <c r="F26" s="34">
        <f t="shared" si="12"/>
        <v>1990181.2727999995</v>
      </c>
      <c r="G26" s="34">
        <f t="shared" si="12"/>
        <v>3130565.7681000018</v>
      </c>
      <c r="H26" s="34">
        <f t="shared" si="12"/>
        <v>1250126.9855000004</v>
      </c>
      <c r="S26" s="40"/>
    </row>
    <row r="27" spans="1:27" ht="13.5" thickBot="1" x14ac:dyDescent="0.25">
      <c r="B27" s="41">
        <f>ROUND(-B26/1000000,2)</f>
        <v>-0.65</v>
      </c>
      <c r="C27" s="41">
        <f t="shared" ref="C27:H27" si="13">ROUND(-C26/1000000,2)</f>
        <v>-1.64</v>
      </c>
      <c r="D27" s="41">
        <f t="shared" si="13"/>
        <v>-1.34</v>
      </c>
      <c r="E27" s="41">
        <f t="shared" si="13"/>
        <v>-2.14</v>
      </c>
      <c r="F27" s="41">
        <f t="shared" si="13"/>
        <v>-1.99</v>
      </c>
      <c r="G27" s="41">
        <f t="shared" si="13"/>
        <v>-3.13</v>
      </c>
      <c r="H27" s="41">
        <f t="shared" si="13"/>
        <v>-1.25</v>
      </c>
      <c r="V27" s="42">
        <f>+V22+V25-S22</f>
        <v>32170253.278135359</v>
      </c>
      <c r="W27" s="29" t="s">
        <v>194</v>
      </c>
      <c r="X27" s="29"/>
    </row>
    <row r="28" spans="1:27" ht="13.5" thickTop="1" x14ac:dyDescent="0.2">
      <c r="P28" s="4"/>
    </row>
    <row r="29" spans="1:27" x14ac:dyDescent="0.2">
      <c r="P29" s="3"/>
    </row>
    <row r="30" spans="1:27" x14ac:dyDescent="0.2">
      <c r="P30" s="3"/>
    </row>
    <row r="31" spans="1:27" x14ac:dyDescent="0.2">
      <c r="P31" s="4"/>
    </row>
  </sheetData>
  <customSheetViews>
    <customSheetView guid="{0B883182-CA7E-436B-9583-BDCC5436016C}" topLeftCell="H3">
      <selection activeCell="U4" sqref="U4"/>
      <pageMargins left="0.7" right="0.7" top="0.75" bottom="0.75" header="0.3" footer="0.3"/>
      <pageSetup orientation="portrait" r:id="rId1"/>
    </customSheetView>
  </customSheetViews>
  <mergeCells count="1">
    <mergeCell ref="B20:H20"/>
  </mergeCells>
  <pageMargins left="0.7" right="0.7" top="0.75" bottom="0.75" header="0.3" footer="0.3"/>
  <pageSetup orientation="portrait" r:id="rId2"/>
  <headerFooter>
    <oddHeader>&amp;RIR-4 - Attachment 1</oddHeader>
  </headerFooter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E13"/>
  <sheetViews>
    <sheetView tabSelected="1" workbookViewId="0">
      <selection activeCell="D27" sqref="D27"/>
    </sheetView>
  </sheetViews>
  <sheetFormatPr defaultRowHeight="12.75" x14ac:dyDescent="0.2"/>
  <cols>
    <col min="1" max="1" width="13.140625" style="1" bestFit="1" customWidth="1"/>
    <col min="2" max="2" width="13.42578125" style="3" bestFit="1" customWidth="1"/>
    <col min="3" max="3" width="13.28515625" style="1" bestFit="1" customWidth="1"/>
    <col min="4" max="5" width="14" style="1" customWidth="1"/>
    <col min="6" max="16384" width="9.140625" style="1"/>
  </cols>
  <sheetData>
    <row r="1" spans="1:5" s="43" customFormat="1" ht="38.25" x14ac:dyDescent="0.2">
      <c r="B1" s="44" t="s">
        <v>201</v>
      </c>
      <c r="C1" s="45" t="s">
        <v>202</v>
      </c>
      <c r="D1" s="45" t="s">
        <v>199</v>
      </c>
      <c r="E1" s="45" t="s">
        <v>203</v>
      </c>
    </row>
    <row r="3" spans="1:5" x14ac:dyDescent="0.2">
      <c r="A3" s="1">
        <v>2014</v>
      </c>
      <c r="B3" s="3">
        <f>+'Worksheet for Presentation Sum'!B28</f>
        <v>444727.97000000003</v>
      </c>
      <c r="C3" s="3">
        <f>+'Orders - OATT Projects'!B31</f>
        <v>450000</v>
      </c>
      <c r="D3" s="3" t="str">
        <f>+'Orders - OATT Projects'!C31</f>
        <v>UE13-04</v>
      </c>
      <c r="E3" s="3" t="str">
        <f>+'Orders - OATT Projects'!D31</f>
        <v>UE15-01</v>
      </c>
    </row>
    <row r="4" spans="1:5" x14ac:dyDescent="0.2">
      <c r="A4" s="1">
        <f>+A3+1</f>
        <v>2015</v>
      </c>
      <c r="B4" s="3">
        <f>+'Worksheet for Presentation Sum'!C28</f>
        <v>600274.68000000028</v>
      </c>
      <c r="C4" s="3">
        <f>+'Orders - OATT Projects'!E31</f>
        <v>565000</v>
      </c>
      <c r="D4" s="3" t="str">
        <f>+'Orders - OATT Projects'!F31</f>
        <v>UE14-04</v>
      </c>
      <c r="E4" s="3" t="str">
        <f>+'Orders - OATT Projects'!G31</f>
        <v>UE16-08</v>
      </c>
    </row>
    <row r="5" spans="1:5" x14ac:dyDescent="0.2">
      <c r="A5" s="1">
        <f t="shared" ref="A5:A7" si="0">+A4+1</f>
        <v>2016</v>
      </c>
      <c r="B5" s="3">
        <f>+'Worksheet for Presentation Sum'!D28</f>
        <v>452497.60000000003</v>
      </c>
      <c r="C5" s="3">
        <f>+'Orders - OATT Projects'!H31</f>
        <v>427000</v>
      </c>
      <c r="D5" s="3" t="str">
        <f>+'Orders - OATT Projects'!I31</f>
        <v>UE15-01</v>
      </c>
      <c r="E5" s="3" t="str">
        <f>+'Orders - OATT Projects'!J31</f>
        <v>UE17-03</v>
      </c>
    </row>
    <row r="6" spans="1:5" x14ac:dyDescent="0.2">
      <c r="A6" s="1">
        <f t="shared" si="0"/>
        <v>2017</v>
      </c>
      <c r="B6" s="3">
        <f>+'Worksheet for Presentation Sum'!E28</f>
        <v>573063.07999999996</v>
      </c>
      <c r="C6" s="3">
        <f>+'Orders - OATT Projects'!K31</f>
        <v>566000</v>
      </c>
      <c r="D6" s="3" t="str">
        <f>+'Orders - OATT Projects'!L31</f>
        <v>UE16-08</v>
      </c>
      <c r="E6" s="3" t="str">
        <f>+'Orders - OATT Projects'!M31</f>
        <v>UE18-09</v>
      </c>
    </row>
    <row r="7" spans="1:5" x14ac:dyDescent="0.2">
      <c r="A7" s="1">
        <f t="shared" si="0"/>
        <v>2018</v>
      </c>
      <c r="B7" s="17">
        <f>+'Worksheet for Presentation Sum'!F28</f>
        <v>458461.99999999994</v>
      </c>
      <c r="C7" s="17">
        <f>+'Orders - OATT Projects'!N31</f>
        <v>460000</v>
      </c>
      <c r="D7" s="3" t="str">
        <f>+'Orders - OATT Projects'!O31</f>
        <v>UE17-03</v>
      </c>
      <c r="E7" s="3" t="str">
        <f>+'Orders - OATT Projects'!P31</f>
        <v>UE19-09</v>
      </c>
    </row>
    <row r="8" spans="1:5" x14ac:dyDescent="0.2">
      <c r="B8" s="3">
        <f>SUM(B3:B7)</f>
        <v>2529025.3300000005</v>
      </c>
      <c r="C8" s="3">
        <f>SUM(C3:C7)</f>
        <v>2468000</v>
      </c>
    </row>
    <row r="9" spans="1:5" x14ac:dyDescent="0.2">
      <c r="A9" s="1" t="s">
        <v>204</v>
      </c>
      <c r="B9" s="17">
        <f>+B3*0.5</f>
        <v>222363.98500000002</v>
      </c>
    </row>
    <row r="10" spans="1:5" x14ac:dyDescent="0.2">
      <c r="B10" s="46">
        <f>+B8-B9</f>
        <v>2306661.3450000007</v>
      </c>
    </row>
    <row r="11" spans="1:5" x14ac:dyDescent="0.2">
      <c r="A11" s="1" t="s">
        <v>205</v>
      </c>
      <c r="B11" s="3">
        <f>+B10*0.53</f>
        <v>1222530.5128500005</v>
      </c>
    </row>
    <row r="12" spans="1:5" x14ac:dyDescent="0.2">
      <c r="A12" s="1" t="s">
        <v>207</v>
      </c>
      <c r="B12" s="17">
        <f>+'Worksheet for Presentation Sum'!O28-'Worksheet for Presentation Sum'!N28</f>
        <v>42013.700233470183</v>
      </c>
    </row>
    <row r="13" spans="1:5" x14ac:dyDescent="0.2">
      <c r="B13" s="3">
        <f>SUM(B11:B12)</f>
        <v>1264544.2130834707</v>
      </c>
    </row>
  </sheetData>
  <pageMargins left="0.7" right="0.7" top="0.75" bottom="0.75" header="0.3" footer="0.3"/>
  <pageSetup orientation="portrait" r:id="rId1"/>
  <headerFooter>
    <oddHeader>&amp;RIR-4 - Attachment 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CFF"/>
  </sheetPr>
  <dimension ref="A1:E16"/>
  <sheetViews>
    <sheetView tabSelected="1" workbookViewId="0">
      <selection activeCell="D27" sqref="D27"/>
    </sheetView>
  </sheetViews>
  <sheetFormatPr defaultRowHeight="12.75" x14ac:dyDescent="0.2"/>
  <cols>
    <col min="1" max="1" width="14.42578125" style="1" bestFit="1" customWidth="1"/>
    <col min="2" max="2" width="13.42578125" style="3" bestFit="1" customWidth="1"/>
    <col min="3" max="3" width="13.28515625" style="1" bestFit="1" customWidth="1"/>
    <col min="4" max="5" width="14" style="1" customWidth="1"/>
    <col min="6" max="16384" width="9.140625" style="1"/>
  </cols>
  <sheetData>
    <row r="1" spans="1:5" s="43" customFormat="1" ht="38.25" x14ac:dyDescent="0.2">
      <c r="B1" s="44" t="s">
        <v>201</v>
      </c>
      <c r="C1" s="45" t="s">
        <v>202</v>
      </c>
      <c r="D1" s="45" t="s">
        <v>199</v>
      </c>
      <c r="E1" s="45" t="s">
        <v>203</v>
      </c>
    </row>
    <row r="3" spans="1:5" x14ac:dyDescent="0.2">
      <c r="A3" s="9">
        <v>2014</v>
      </c>
      <c r="B3" s="3">
        <f>+'Worksheet for Presentation Sum'!B7+'Worksheet for Presentation Sum'!B16+'Worksheet for Presentation Sum'!B17+'Worksheet for Presentation Sum'!B18+'Worksheet for Presentation Sum'!B19+'Worksheet for Presentation Sum'!B20+'Worksheet for Presentation Sum'!B21+'Worksheet for Presentation Sum'!B22</f>
        <v>679952.78800000018</v>
      </c>
      <c r="C3" s="3">
        <f>+'Orders - OATT Projects'!B8+'Orders - OATT Projects'!B10+'Orders - OATT Projects'!B11+'Orders - OATT Projects'!B12+'Orders - OATT Projects'!B13+'Orders - OATT Projects'!B14+'Orders - OATT Projects'!B15</f>
        <v>1629000</v>
      </c>
      <c r="D3" s="3" t="s">
        <v>208</v>
      </c>
      <c r="E3" s="3" t="s">
        <v>113</v>
      </c>
    </row>
    <row r="4" spans="1:5" x14ac:dyDescent="0.2">
      <c r="A4" s="9">
        <f>+A3+1</f>
        <v>2015</v>
      </c>
      <c r="B4" s="3">
        <f>+'Worksheet for Presentation Sum'!C16+'Worksheet for Presentation Sum'!C17+'Worksheet for Presentation Sum'!C19</f>
        <v>626875.78000000038</v>
      </c>
      <c r="C4" s="3">
        <f>+'Orders - OATT Projects'!E8+'Orders - OATT Projects'!E10+'Orders - OATT Projects'!E12+'Orders - OATT Projects'!E13</f>
        <v>1324000</v>
      </c>
      <c r="D4" s="3" t="str">
        <f>+'Orders - OATT Projects'!F8</f>
        <v>UE14-04</v>
      </c>
      <c r="E4" s="3" t="str">
        <f>+'Orders - OATT Projects'!G8</f>
        <v>UE16-08</v>
      </c>
    </row>
    <row r="5" spans="1:5" x14ac:dyDescent="0.2">
      <c r="A5" s="9">
        <f t="shared" ref="A5:A9" si="0">+A4+1</f>
        <v>2016</v>
      </c>
      <c r="B5" s="3">
        <f>+'Worksheet for Presentation Sum'!D16+'Worksheet for Presentation Sum'!D17</f>
        <v>719055.55999999971</v>
      </c>
      <c r="C5" s="3">
        <f>+'Orders - OATT Projects'!H8+'Orders - OATT Projects'!H10+'Orders - OATT Projects'!H12+'Orders - OATT Projects'!H13</f>
        <v>1584000</v>
      </c>
      <c r="D5" s="3" t="str">
        <f>+'Orders - OATT Projects'!I8</f>
        <v>UE15-01</v>
      </c>
      <c r="E5" s="3" t="str">
        <f>+'Orders - OATT Projects'!J8</f>
        <v>UE17-03</v>
      </c>
    </row>
    <row r="6" spans="1:5" x14ac:dyDescent="0.2">
      <c r="A6" s="9">
        <f t="shared" si="0"/>
        <v>2017</v>
      </c>
      <c r="B6" s="3">
        <f>+'Worksheet for Presentation Sum'!E16+'Worksheet for Presentation Sum'!E17+'Worksheet for Presentation Sum'!E19</f>
        <v>636619.28000000014</v>
      </c>
      <c r="C6" s="3">
        <f>+'Orders - OATT Projects'!K8+'Orders - OATT Projects'!K10+'Orders - OATT Projects'!K12</f>
        <v>1373000</v>
      </c>
      <c r="D6" s="3" t="str">
        <f>+'Orders - OATT Projects'!L8</f>
        <v>UE16-08</v>
      </c>
      <c r="E6" s="3" t="str">
        <f>+'Orders - OATT Projects'!M8</f>
        <v>UE18-09</v>
      </c>
    </row>
    <row r="7" spans="1:5" x14ac:dyDescent="0.2">
      <c r="A7" s="9">
        <f t="shared" si="0"/>
        <v>2018</v>
      </c>
      <c r="B7" s="3">
        <f>+'Worksheet for Presentation Sum'!F16+'Worksheet for Presentation Sum'!F17</f>
        <v>845831.26000000071</v>
      </c>
      <c r="C7" s="3">
        <f>+'Orders - OATT Projects'!N8+'Orders - OATT Projects'!N10+'Orders - OATT Projects'!N12+'Orders - OATT Projects'!N13</f>
        <v>1533000</v>
      </c>
      <c r="D7" s="3" t="str">
        <f>+'Orders - OATT Projects'!O8</f>
        <v>UE17-03</v>
      </c>
      <c r="E7" s="3" t="str">
        <f>+'Orders - OATT Projects'!P8</f>
        <v>UE19-09</v>
      </c>
    </row>
    <row r="8" spans="1:5" x14ac:dyDescent="0.2">
      <c r="A8" s="9">
        <f>+A7+1</f>
        <v>2019</v>
      </c>
      <c r="B8" s="3">
        <f>+'Worksheet for Presentation Sum'!G16+'Worksheet for Presentation Sum'!G17+'Worksheet for Presentation Sum'!G20</f>
        <v>852463.19999999972</v>
      </c>
      <c r="C8" s="3">
        <f>+'Orders - OATT Projects'!Q8+'Orders - OATT Projects'!Q10+'Orders - OATT Projects'!Q12+'Orders - OATT Projects'!Q13</f>
        <v>1781000</v>
      </c>
      <c r="D8" s="3" t="str">
        <f>+'Orders - OATT Projects'!R8</f>
        <v>UE18-09</v>
      </c>
      <c r="E8" s="3" t="str">
        <f>+'Orders - OATT Projects'!S8</f>
        <v>UE21-02</v>
      </c>
    </row>
    <row r="9" spans="1:5" x14ac:dyDescent="0.2">
      <c r="A9" s="9">
        <f t="shared" si="0"/>
        <v>2020</v>
      </c>
      <c r="B9" s="17">
        <f>+'Worksheet for Presentation Sum'!H7+'Worksheet for Presentation Sum'!H16+'Worksheet for Presentation Sum'!H17+'Worksheet for Presentation Sum'!H19</f>
        <v>1116108.4400000004</v>
      </c>
      <c r="C9" s="17">
        <f>+'Orders - OATT Projects'!T8+'Orders - OATT Projects'!T10+'Orders - OATT Projects'!T12+'Orders - OATT Projects'!T85</f>
        <v>1445000</v>
      </c>
      <c r="D9" s="3" t="str">
        <f>+'Orders - OATT Projects'!U8</f>
        <v>UE19-09</v>
      </c>
      <c r="E9" s="3" t="str">
        <f>+'Orders - OATT Projects'!V8</f>
        <v>UE21-16</v>
      </c>
    </row>
    <row r="10" spans="1:5" x14ac:dyDescent="0.2">
      <c r="B10" s="3">
        <f>SUM(B3:B9)</f>
        <v>5476906.3080000011</v>
      </c>
      <c r="C10" s="3">
        <f>SUM(C3:C9)</f>
        <v>10669000</v>
      </c>
    </row>
    <row r="11" spans="1:5" x14ac:dyDescent="0.2">
      <c r="A11" s="1" t="s">
        <v>204</v>
      </c>
      <c r="B11" s="3">
        <f>+B3*0.5</f>
        <v>339976.39400000009</v>
      </c>
    </row>
    <row r="12" spans="1:5" x14ac:dyDescent="0.2">
      <c r="A12" s="1" t="s">
        <v>206</v>
      </c>
      <c r="B12" s="17">
        <f>+B9*0.5</f>
        <v>558054.2200000002</v>
      </c>
    </row>
    <row r="13" spans="1:5" x14ac:dyDescent="0.2">
      <c r="B13" s="46">
        <f>+B10-B11-B12</f>
        <v>4578875.6940000001</v>
      </c>
    </row>
    <row r="14" spans="1:5" x14ac:dyDescent="0.2">
      <c r="A14" s="1" t="s">
        <v>209</v>
      </c>
      <c r="B14" s="3">
        <f>+B13*0.25</f>
        <v>1144718.9235</v>
      </c>
    </row>
    <row r="15" spans="1:5" x14ac:dyDescent="0.2">
      <c r="A15" s="1" t="s">
        <v>207</v>
      </c>
      <c r="B15" s="17">
        <f>+'Worksheet for Presentation Sum'!O7-'Worksheet for Presentation Sum'!N7+'Worksheet for Presentation Sum'!O16-'Worksheet for Presentation Sum'!N16+'Worksheet for Presentation Sum'!O17-'Worksheet for Presentation Sum'!N17+'Worksheet for Presentation Sum'!O18-'Worksheet for Presentation Sum'!N18+'Worksheet for Presentation Sum'!O19-'Worksheet for Presentation Sum'!N19+'Worksheet for Presentation Sum'!O20-'Worksheet for Presentation Sum'!N20+'Worksheet for Presentation Sum'!O21-'Worksheet for Presentation Sum'!N21+'Worksheet for Presentation Sum'!O22-'Worksheet for Presentation Sum'!N22</f>
        <v>18718.089082320868</v>
      </c>
    </row>
    <row r="16" spans="1:5" x14ac:dyDescent="0.2">
      <c r="B16" s="3">
        <f>SUM(B14:B15)</f>
        <v>1163437.012582321</v>
      </c>
    </row>
  </sheetData>
  <pageMargins left="0.7" right="0.7" top="0.75" bottom="0.75" header="0.3" footer="0.3"/>
  <pageSetup orientation="portrait" r:id="rId1"/>
  <headerFooter>
    <oddHeader>&amp;RIR-4 - Attachment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66FFFF"/>
  </sheetPr>
  <dimension ref="A1:E6"/>
  <sheetViews>
    <sheetView tabSelected="1" workbookViewId="0">
      <selection activeCell="D27" sqref="D27"/>
    </sheetView>
  </sheetViews>
  <sheetFormatPr defaultRowHeight="12.75" x14ac:dyDescent="0.2"/>
  <cols>
    <col min="1" max="1" width="13.140625" style="1" bestFit="1" customWidth="1"/>
    <col min="2" max="2" width="13.42578125" style="3" bestFit="1" customWidth="1"/>
    <col min="3" max="3" width="13.28515625" style="1" bestFit="1" customWidth="1"/>
    <col min="4" max="5" width="14" style="1" customWidth="1"/>
    <col min="6" max="16384" width="9.140625" style="1"/>
  </cols>
  <sheetData>
    <row r="1" spans="1:5" s="43" customFormat="1" ht="38.25" x14ac:dyDescent="0.2">
      <c r="B1" s="44" t="s">
        <v>201</v>
      </c>
      <c r="C1" s="45" t="s">
        <v>202</v>
      </c>
      <c r="D1" s="45" t="s">
        <v>199</v>
      </c>
      <c r="E1" s="45" t="s">
        <v>203</v>
      </c>
    </row>
    <row r="3" spans="1:5" x14ac:dyDescent="0.2">
      <c r="A3" s="9">
        <v>2019</v>
      </c>
      <c r="B3" s="17">
        <f>+'Worksheet for Presentation Sum'!G76</f>
        <v>1021385.9799999997</v>
      </c>
      <c r="C3" s="17">
        <f>+'Orders - OATT Projects'!Q70</f>
        <v>945000</v>
      </c>
      <c r="D3" s="3" t="str">
        <f>+'Orders - OATT Projects'!R70</f>
        <v>UE18-09</v>
      </c>
      <c r="E3" s="3" t="str">
        <f>+'Orders - OATT Projects'!S70</f>
        <v>UE21-02</v>
      </c>
    </row>
    <row r="4" spans="1:5" x14ac:dyDescent="0.2">
      <c r="B4" s="3">
        <f>SUM(B3:B3)</f>
        <v>1021385.9799999997</v>
      </c>
      <c r="C4" s="3"/>
    </row>
    <row r="5" spans="1:5" x14ac:dyDescent="0.2">
      <c r="A5" s="1" t="s">
        <v>207</v>
      </c>
      <c r="B5" s="17">
        <f>+'Worksheet for Presentation Sum'!O76-'Worksheet for Presentation Sum'!N76</f>
        <v>33719.461127816467</v>
      </c>
    </row>
    <row r="6" spans="1:5" x14ac:dyDescent="0.2">
      <c r="B6" s="3">
        <f>SUM(B4:B5)</f>
        <v>1055105.4411278162</v>
      </c>
    </row>
  </sheetData>
  <pageMargins left="0.7" right="0.7" top="0.75" bottom="0.75" header="0.3" footer="0.3"/>
  <pageSetup orientation="portrait" r:id="rId1"/>
  <headerFooter>
    <oddHeader>&amp;RIR-4 - Attachment 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FF00"/>
  </sheetPr>
  <dimension ref="A1:E6"/>
  <sheetViews>
    <sheetView tabSelected="1" workbookViewId="0">
      <selection activeCell="D27" sqref="D27"/>
    </sheetView>
  </sheetViews>
  <sheetFormatPr defaultRowHeight="12.75" x14ac:dyDescent="0.2"/>
  <cols>
    <col min="1" max="1" width="13.140625" style="1" bestFit="1" customWidth="1"/>
    <col min="2" max="2" width="13.42578125" style="3" bestFit="1" customWidth="1"/>
    <col min="3" max="3" width="13.28515625" style="1" bestFit="1" customWidth="1"/>
    <col min="4" max="5" width="14" style="1" customWidth="1"/>
    <col min="6" max="16384" width="9.140625" style="1"/>
  </cols>
  <sheetData>
    <row r="1" spans="1:5" s="43" customFormat="1" ht="38.25" x14ac:dyDescent="0.2">
      <c r="B1" s="44" t="s">
        <v>201</v>
      </c>
      <c r="C1" s="45" t="s">
        <v>202</v>
      </c>
      <c r="D1" s="45" t="s">
        <v>199</v>
      </c>
      <c r="E1" s="45" t="s">
        <v>203</v>
      </c>
    </row>
    <row r="3" spans="1:5" x14ac:dyDescent="0.2">
      <c r="A3" s="9">
        <v>2017</v>
      </c>
      <c r="B3" s="17">
        <f>+'Worksheet for Presentation Sum'!E69</f>
        <v>920461.10000000009</v>
      </c>
      <c r="C3" s="17">
        <f>+'Orders - OATT Projects'!K54</f>
        <v>1062500</v>
      </c>
      <c r="D3" s="3" t="str">
        <f>+'Orders - OATT Projects'!L54</f>
        <v>UE16-08</v>
      </c>
      <c r="E3" s="3" t="str">
        <f>+'Orders - OATT Projects'!M54</f>
        <v>UE18-09</v>
      </c>
    </row>
    <row r="4" spans="1:5" x14ac:dyDescent="0.2">
      <c r="B4" s="3">
        <f>SUM(B3:B3)</f>
        <v>920461.10000000009</v>
      </c>
      <c r="C4" s="3"/>
    </row>
    <row r="5" spans="1:5" x14ac:dyDescent="0.2">
      <c r="A5" s="1" t="s">
        <v>207</v>
      </c>
      <c r="B5" s="17">
        <f>+'Worksheet for Presentation Sum'!O69-'Worksheet for Presentation Sum'!N69</f>
        <v>30387.584017079556</v>
      </c>
    </row>
    <row r="6" spans="1:5" x14ac:dyDescent="0.2">
      <c r="B6" s="3">
        <f>SUM(B4:B5)</f>
        <v>950848.68401707965</v>
      </c>
    </row>
  </sheetData>
  <pageMargins left="0.7" right="0.7" top="0.75" bottom="0.75" header="0.3" footer="0.3"/>
  <pageSetup orientation="portrait" r:id="rId1"/>
  <headerFooter>
    <oddHeader>&amp;RIR-4 - Attachment 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6357"/>
  </sheetPr>
  <dimension ref="A1:E7"/>
  <sheetViews>
    <sheetView tabSelected="1" workbookViewId="0">
      <selection activeCell="D27" sqref="D27"/>
    </sheetView>
  </sheetViews>
  <sheetFormatPr defaultRowHeight="12.75" x14ac:dyDescent="0.2"/>
  <cols>
    <col min="1" max="1" width="13.140625" style="1" bestFit="1" customWidth="1"/>
    <col min="2" max="2" width="13.42578125" style="3" bestFit="1" customWidth="1"/>
    <col min="3" max="3" width="13.28515625" style="1" bestFit="1" customWidth="1"/>
    <col min="4" max="4" width="15.140625" style="1" bestFit="1" customWidth="1"/>
    <col min="5" max="5" width="18" style="1" bestFit="1" customWidth="1"/>
    <col min="6" max="16384" width="9.140625" style="1"/>
  </cols>
  <sheetData>
    <row r="1" spans="1:5" s="43" customFormat="1" ht="25.5" x14ac:dyDescent="0.2">
      <c r="B1" s="44" t="s">
        <v>201</v>
      </c>
      <c r="C1" s="45" t="s">
        <v>202</v>
      </c>
      <c r="D1" s="45" t="s">
        <v>199</v>
      </c>
      <c r="E1" s="45" t="s">
        <v>203</v>
      </c>
    </row>
    <row r="3" spans="1:5" x14ac:dyDescent="0.2">
      <c r="A3" s="9">
        <v>2016</v>
      </c>
      <c r="B3" s="3">
        <f>+'Worksheet for Presentation Sum'!D57</f>
        <v>95781.93</v>
      </c>
      <c r="C3" s="12">
        <f>+'Orders - OATT Projects'!H45</f>
        <v>1030000</v>
      </c>
      <c r="D3" s="3" t="str">
        <f>+'Orders - OATT Projects'!I45</f>
        <v>UE15-01</v>
      </c>
      <c r="E3" s="3" t="str">
        <f>+'Orders - OATT Projects'!J45</f>
        <v>UE17-03</v>
      </c>
    </row>
    <row r="4" spans="1:5" x14ac:dyDescent="0.2">
      <c r="A4" s="9">
        <v>2017</v>
      </c>
      <c r="B4" s="17">
        <f>+'Worksheet for Presentation Sum'!E57</f>
        <v>877009.11</v>
      </c>
      <c r="C4" s="12">
        <v>0</v>
      </c>
      <c r="D4" s="3"/>
      <c r="E4" s="3" t="str">
        <f>+'Orders - OATT Projects'!M45</f>
        <v>UE17-03/ UE18-09</v>
      </c>
    </row>
    <row r="5" spans="1:5" x14ac:dyDescent="0.2">
      <c r="B5" s="3">
        <f>SUM(B3:B4)</f>
        <v>972791.04</v>
      </c>
      <c r="C5" s="3"/>
    </row>
    <row r="6" spans="1:5" x14ac:dyDescent="0.2">
      <c r="A6" s="1" t="s">
        <v>207</v>
      </c>
      <c r="B6" s="17">
        <f>+'Worksheet for Presentation Sum'!O57-'Worksheet for Presentation Sum'!N57</f>
        <v>32115.175164993154</v>
      </c>
    </row>
    <row r="7" spans="1:5" x14ac:dyDescent="0.2">
      <c r="B7" s="3">
        <f>SUM(B5:B6)</f>
        <v>1004906.2151649932</v>
      </c>
    </row>
  </sheetData>
  <pageMargins left="0.7" right="0.7" top="0.75" bottom="0.75" header="0.3" footer="0.3"/>
  <pageSetup orientation="portrait" r:id="rId1"/>
  <headerFooter>
    <oddHeader>&amp;RIR-4 - Attachment 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810BB"/>
  </sheetPr>
  <dimension ref="A1:E9"/>
  <sheetViews>
    <sheetView tabSelected="1" workbookViewId="0">
      <selection activeCell="D27" sqref="D27"/>
    </sheetView>
  </sheetViews>
  <sheetFormatPr defaultRowHeight="12.75" x14ac:dyDescent="0.2"/>
  <cols>
    <col min="1" max="1" width="13.140625" style="1" bestFit="1" customWidth="1"/>
    <col min="2" max="2" width="13.42578125" style="3" bestFit="1" customWidth="1"/>
    <col min="3" max="3" width="13.28515625" style="1" bestFit="1" customWidth="1"/>
    <col min="4" max="4" width="15.140625" style="1" bestFit="1" customWidth="1"/>
    <col min="5" max="5" width="26.5703125" style="1" bestFit="1" customWidth="1"/>
    <col min="6" max="16384" width="9.140625" style="1"/>
  </cols>
  <sheetData>
    <row r="1" spans="1:5" s="43" customFormat="1" ht="25.5" x14ac:dyDescent="0.2">
      <c r="B1" s="44" t="s">
        <v>201</v>
      </c>
      <c r="C1" s="45" t="s">
        <v>202</v>
      </c>
      <c r="D1" s="45" t="s">
        <v>199</v>
      </c>
      <c r="E1" s="45" t="s">
        <v>203</v>
      </c>
    </row>
    <row r="3" spans="1:5" x14ac:dyDescent="0.2">
      <c r="A3" s="1">
        <v>2016</v>
      </c>
      <c r="B3" s="3">
        <f>+'Worksheet for Presentation Sum'!D36</f>
        <v>303490.57999999996</v>
      </c>
      <c r="C3" s="3">
        <f>+'Orders - OATT Projects'!H49</f>
        <v>1661000</v>
      </c>
      <c r="D3" s="3" t="str">
        <f>+'Orders - OATT Projects'!I49</f>
        <v>UE15-01</v>
      </c>
      <c r="E3" s="3" t="str">
        <f>+'Orders - OATT Projects'!J49</f>
        <v>UE17-03</v>
      </c>
    </row>
    <row r="4" spans="1:5" x14ac:dyDescent="0.2">
      <c r="A4" s="1">
        <f t="shared" ref="A4:A5" si="0">+A3+1</f>
        <v>2017</v>
      </c>
      <c r="B4" s="3">
        <f>+'Worksheet for Presentation Sum'!E36</f>
        <v>737791.89999999991</v>
      </c>
      <c r="C4" s="3"/>
      <c r="D4" s="3" t="str">
        <f>+'Orders - OATT Projects'!L49</f>
        <v>2016 - UE15-01</v>
      </c>
      <c r="E4" s="3" t="str">
        <f>+'Orders - OATT Projects'!M49</f>
        <v>UE17-03/ UE18-09</v>
      </c>
    </row>
    <row r="5" spans="1:5" x14ac:dyDescent="0.2">
      <c r="A5" s="1">
        <f t="shared" si="0"/>
        <v>2018</v>
      </c>
      <c r="B5" s="17">
        <f>+'Worksheet for Presentation Sum'!F36</f>
        <v>609840.40000000037</v>
      </c>
      <c r="C5" s="3"/>
      <c r="D5" s="3" t="str">
        <f>+'Orders - OATT Projects'!O49</f>
        <v>2016 - UE15-01</v>
      </c>
      <c r="E5" s="3" t="str">
        <f>+'Orders - OATT Projects'!P49</f>
        <v>UE17-03/ UE18-09/ UE19-09</v>
      </c>
    </row>
    <row r="6" spans="1:5" x14ac:dyDescent="0.2">
      <c r="B6" s="46">
        <f>SUM(B3:B5)</f>
        <v>1651122.8800000004</v>
      </c>
      <c r="C6" s="3"/>
    </row>
    <row r="7" spans="1:5" x14ac:dyDescent="0.2">
      <c r="A7" s="1" t="s">
        <v>205</v>
      </c>
      <c r="B7" s="3">
        <f>+B6*0.53</f>
        <v>875095.12640000018</v>
      </c>
    </row>
    <row r="8" spans="1:5" x14ac:dyDescent="0.2">
      <c r="A8" s="1" t="s">
        <v>207</v>
      </c>
      <c r="B8" s="17">
        <f>+'Worksheet for Presentation Sum'!O36-'Worksheet for Presentation Sum'!N36</f>
        <v>30073.674178184941</v>
      </c>
    </row>
    <row r="9" spans="1:5" x14ac:dyDescent="0.2">
      <c r="B9" s="3">
        <f>SUM(B7:B8)</f>
        <v>905168.80057818512</v>
      </c>
    </row>
  </sheetData>
  <pageMargins left="0.7" right="0.7" top="0.75" bottom="0.75" header="0.3" footer="0.3"/>
  <pageSetup orientation="portrait" r:id="rId1"/>
  <headerFooter>
    <oddHeader>&amp;RIR-4 - Attachment 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9999"/>
  </sheetPr>
  <dimension ref="A1:E6"/>
  <sheetViews>
    <sheetView tabSelected="1" workbookViewId="0">
      <selection activeCell="D27" sqref="D27"/>
    </sheetView>
  </sheetViews>
  <sheetFormatPr defaultRowHeight="12.75" x14ac:dyDescent="0.2"/>
  <cols>
    <col min="1" max="1" width="13.140625" style="1" bestFit="1" customWidth="1"/>
    <col min="2" max="2" width="13.42578125" style="3" bestFit="1" customWidth="1"/>
    <col min="3" max="3" width="13.28515625" style="1" bestFit="1" customWidth="1"/>
    <col min="4" max="5" width="14" style="1" customWidth="1"/>
    <col min="6" max="16384" width="9.140625" style="1"/>
  </cols>
  <sheetData>
    <row r="1" spans="1:5" s="43" customFormat="1" ht="38.25" x14ac:dyDescent="0.2">
      <c r="B1" s="44" t="s">
        <v>201</v>
      </c>
      <c r="C1" s="45" t="s">
        <v>202</v>
      </c>
      <c r="D1" s="45" t="s">
        <v>199</v>
      </c>
      <c r="E1" s="45" t="s">
        <v>203</v>
      </c>
    </row>
    <row r="3" spans="1:5" x14ac:dyDescent="0.2">
      <c r="A3" s="9">
        <v>2017</v>
      </c>
      <c r="B3" s="17">
        <f>+'Worksheet for Presentation Sum'!E70</f>
        <v>756688.73</v>
      </c>
      <c r="C3" s="17">
        <f>+'Orders - OATT Projects'!K55</f>
        <v>937500</v>
      </c>
      <c r="D3" s="3" t="str">
        <f>+'Orders - OATT Projects'!L55</f>
        <v>UE16-08</v>
      </c>
      <c r="E3" s="3" t="str">
        <f>+'Orders - OATT Projects'!M55</f>
        <v>UE18-09</v>
      </c>
    </row>
    <row r="4" spans="1:5" x14ac:dyDescent="0.2">
      <c r="B4" s="3">
        <f>SUM(B3:B3)</f>
        <v>756688.73</v>
      </c>
      <c r="C4" s="3"/>
    </row>
    <row r="5" spans="1:5" x14ac:dyDescent="0.2">
      <c r="A5" s="1" t="s">
        <v>207</v>
      </c>
      <c r="B5" s="17">
        <f>+'Worksheet for Presentation Sum'!O70-'Worksheet for Presentation Sum'!N70</f>
        <v>24980.895290037035</v>
      </c>
    </row>
    <row r="6" spans="1:5" x14ac:dyDescent="0.2">
      <c r="B6" s="3">
        <f>SUM(B4:B5)</f>
        <v>781669.62529003702</v>
      </c>
    </row>
  </sheetData>
  <pageMargins left="0.7" right="0.7" top="0.75" bottom="0.75" header="0.3" footer="0.3"/>
  <pageSetup orientation="portrait" r:id="rId1"/>
  <headerFooter>
    <oddHeader>&amp;RIR-4 - Attachment 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E8"/>
  <sheetViews>
    <sheetView tabSelected="1" workbookViewId="0">
      <selection activeCell="D27" sqref="D27"/>
    </sheetView>
  </sheetViews>
  <sheetFormatPr defaultRowHeight="12.75" x14ac:dyDescent="0.2"/>
  <cols>
    <col min="1" max="1" width="13.140625" style="1" bestFit="1" customWidth="1"/>
    <col min="2" max="2" width="13.42578125" style="3" bestFit="1" customWidth="1"/>
    <col min="3" max="3" width="13.28515625" style="1" bestFit="1" customWidth="1"/>
    <col min="4" max="5" width="14" style="1" customWidth="1"/>
    <col min="6" max="16384" width="9.140625" style="1"/>
  </cols>
  <sheetData>
    <row r="1" spans="1:5" s="43" customFormat="1" ht="38.25" x14ac:dyDescent="0.2">
      <c r="B1" s="44" t="s">
        <v>201</v>
      </c>
      <c r="C1" s="45" t="s">
        <v>202</v>
      </c>
      <c r="D1" s="45" t="s">
        <v>199</v>
      </c>
      <c r="E1" s="45" t="s">
        <v>203</v>
      </c>
    </row>
    <row r="3" spans="1:5" x14ac:dyDescent="0.2">
      <c r="A3" s="9">
        <v>2020</v>
      </c>
      <c r="B3" s="17">
        <f>+'Worksheet for Presentation Sum'!H78</f>
        <v>861659.84</v>
      </c>
      <c r="C3" s="17">
        <f>+'Orders - OATT Projects'!T80</f>
        <v>1060000</v>
      </c>
      <c r="D3" s="3" t="str">
        <f>+'Orders - OATT Projects'!U80</f>
        <v>UE19-09</v>
      </c>
      <c r="E3" s="3" t="str">
        <f>+'Orders - OATT Projects'!V80</f>
        <v>UE21-16</v>
      </c>
    </row>
    <row r="4" spans="1:5" x14ac:dyDescent="0.2">
      <c r="B4" s="3">
        <f>SUM(B3:B3)</f>
        <v>861659.84</v>
      </c>
      <c r="C4" s="3"/>
    </row>
    <row r="5" spans="1:5" x14ac:dyDescent="0.2">
      <c r="A5" s="1" t="s">
        <v>206</v>
      </c>
      <c r="B5" s="17">
        <f>+B3*0.5</f>
        <v>430829.92</v>
      </c>
      <c r="C5" s="3"/>
    </row>
    <row r="6" spans="1:5" x14ac:dyDescent="0.2">
      <c r="B6" s="3">
        <f>+B4-B5</f>
        <v>430829.92</v>
      </c>
      <c r="C6" s="3"/>
    </row>
    <row r="7" spans="1:5" x14ac:dyDescent="0.2">
      <c r="A7" s="1" t="s">
        <v>207</v>
      </c>
      <c r="B7" s="17">
        <f>+'Worksheet for Presentation Sum'!O78-'Worksheet for Presentation Sum'!N78</f>
        <v>14223.176178843074</v>
      </c>
    </row>
    <row r="8" spans="1:5" x14ac:dyDescent="0.2">
      <c r="B8" s="3">
        <f>+B6+B7</f>
        <v>445053.09617884306</v>
      </c>
    </row>
  </sheetData>
  <pageMargins left="0.7" right="0.7" top="0.75" bottom="0.75" header="0.3" footer="0.3"/>
  <pageSetup orientation="portrait" r:id="rId1"/>
  <headerFooter>
    <oddHeader>&amp;RIR-4 - Attachment 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E10"/>
  <sheetViews>
    <sheetView tabSelected="1" workbookViewId="0">
      <selection activeCell="D27" sqref="D27"/>
    </sheetView>
  </sheetViews>
  <sheetFormatPr defaultRowHeight="12.75" x14ac:dyDescent="0.2"/>
  <cols>
    <col min="1" max="1" width="13.140625" style="1" bestFit="1" customWidth="1"/>
    <col min="2" max="2" width="13.42578125" style="3" bestFit="1" customWidth="1"/>
    <col min="3" max="3" width="13.28515625" style="1" bestFit="1" customWidth="1"/>
    <col min="4" max="5" width="14" style="1" customWidth="1"/>
    <col min="6" max="16384" width="9.140625" style="1"/>
  </cols>
  <sheetData>
    <row r="1" spans="1:5" s="43" customFormat="1" ht="38.25" x14ac:dyDescent="0.2">
      <c r="B1" s="44" t="s">
        <v>201</v>
      </c>
      <c r="C1" s="45" t="s">
        <v>202</v>
      </c>
      <c r="D1" s="45" t="s">
        <v>199</v>
      </c>
      <c r="E1" s="45" t="s">
        <v>203</v>
      </c>
    </row>
    <row r="3" spans="1:5" x14ac:dyDescent="0.2">
      <c r="A3" s="9">
        <v>2019</v>
      </c>
      <c r="B3" s="3">
        <f>+'Worksheet for Presentation Sum'!G45</f>
        <v>684042.45</v>
      </c>
      <c r="C3" s="3">
        <f>+'Orders - OATT Projects'!Q66</f>
        <v>685000</v>
      </c>
      <c r="D3" s="3" t="str">
        <f>+'Orders - OATT Projects'!R66</f>
        <v>UE18-09</v>
      </c>
      <c r="E3" s="3" t="str">
        <f>+'Orders - OATT Projects'!S66</f>
        <v>UE21-02</v>
      </c>
    </row>
    <row r="4" spans="1:5" x14ac:dyDescent="0.2">
      <c r="A4" s="9">
        <v>2020</v>
      </c>
      <c r="B4" s="17">
        <f>+'Worksheet for Presentation Sum'!H45</f>
        <v>237088.06</v>
      </c>
      <c r="C4" s="17">
        <f>+'Orders - OATT Projects'!T66</f>
        <v>236000</v>
      </c>
      <c r="D4" s="3" t="str">
        <f>+'Orders - OATT Projects'!U66</f>
        <v>UE19-09</v>
      </c>
      <c r="E4" s="3" t="str">
        <f>+'Orders - OATT Projects'!V66</f>
        <v>UE21-16</v>
      </c>
    </row>
    <row r="5" spans="1:5" x14ac:dyDescent="0.2">
      <c r="B5" s="3">
        <f>SUM(B3:B4)</f>
        <v>921130.51</v>
      </c>
      <c r="C5" s="3">
        <f>SUM(C3:C4)</f>
        <v>921000</v>
      </c>
    </row>
    <row r="6" spans="1:5" x14ac:dyDescent="0.2">
      <c r="A6" s="1" t="s">
        <v>206</v>
      </c>
      <c r="B6" s="17">
        <f>+B4*0.5</f>
        <v>118544.03</v>
      </c>
      <c r="C6" s="3"/>
    </row>
    <row r="7" spans="1:5" x14ac:dyDescent="0.2">
      <c r="B7" s="46">
        <f>+B5-B6</f>
        <v>802586.48</v>
      </c>
      <c r="C7" s="3"/>
    </row>
    <row r="8" spans="1:5" x14ac:dyDescent="0.2">
      <c r="A8" s="1" t="s">
        <v>205</v>
      </c>
      <c r="B8" s="3">
        <f>+B7*0.53</f>
        <v>425370.83439999999</v>
      </c>
      <c r="C8" s="3"/>
    </row>
    <row r="9" spans="1:5" x14ac:dyDescent="0.2">
      <c r="A9" s="1" t="s">
        <v>207</v>
      </c>
      <c r="B9" s="17">
        <f>+'Worksheet for Presentation Sum'!O45-'Worksheet for Presentation Sum'!N45</f>
        <v>14618.369469470577</v>
      </c>
    </row>
    <row r="10" spans="1:5" x14ac:dyDescent="0.2">
      <c r="B10" s="3">
        <f>SUM(B8:B9)</f>
        <v>439989.20386947057</v>
      </c>
    </row>
  </sheetData>
  <pageMargins left="0.7" right="0.7" top="0.75" bottom="0.75" header="0.3" footer="0.3"/>
  <pageSetup orientation="portrait" r:id="rId1"/>
  <headerFooter>
    <oddHeader>&amp;RIR-4 - Attachment 1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</sheetPr>
  <dimension ref="A1:E7"/>
  <sheetViews>
    <sheetView tabSelected="1" workbookViewId="0">
      <selection activeCell="D27" sqref="D27"/>
    </sheetView>
  </sheetViews>
  <sheetFormatPr defaultRowHeight="12.75" x14ac:dyDescent="0.2"/>
  <cols>
    <col min="1" max="1" width="13.140625" style="1" bestFit="1" customWidth="1"/>
    <col min="2" max="2" width="13.42578125" style="3" bestFit="1" customWidth="1"/>
    <col min="3" max="3" width="13.28515625" style="1" bestFit="1" customWidth="1"/>
    <col min="4" max="4" width="14" style="1" customWidth="1"/>
    <col min="5" max="5" width="18" style="1" bestFit="1" customWidth="1"/>
    <col min="6" max="16384" width="9.140625" style="1"/>
  </cols>
  <sheetData>
    <row r="1" spans="1:5" s="43" customFormat="1" ht="25.5" x14ac:dyDescent="0.2">
      <c r="B1" s="44" t="s">
        <v>201</v>
      </c>
      <c r="C1" s="45" t="s">
        <v>202</v>
      </c>
      <c r="D1" s="45" t="s">
        <v>199</v>
      </c>
      <c r="E1" s="45" t="s">
        <v>203</v>
      </c>
    </row>
    <row r="3" spans="1:5" x14ac:dyDescent="0.2">
      <c r="A3" s="9">
        <v>2015</v>
      </c>
      <c r="B3" s="3">
        <f>+'Worksheet for Presentation Sum'!C66</f>
        <v>85243.680000000008</v>
      </c>
      <c r="C3" s="3">
        <f>+'Orders - OATT Projects'!E42</f>
        <v>600000</v>
      </c>
      <c r="D3" s="3" t="str">
        <f>+'Orders - OATT Projects'!F42</f>
        <v>UE14-04</v>
      </c>
      <c r="E3" s="3" t="str">
        <f>+'Orders - OATT Projects'!G42</f>
        <v>UE16-08</v>
      </c>
    </row>
    <row r="4" spans="1:5" x14ac:dyDescent="0.2">
      <c r="A4" s="9">
        <v>2016</v>
      </c>
      <c r="B4" s="17">
        <f>+'Worksheet for Presentation Sum'!D66</f>
        <v>323577.87000000005</v>
      </c>
      <c r="C4" s="17">
        <v>0</v>
      </c>
      <c r="D4" s="3" t="str">
        <f>+'Orders - OATT Projects'!I42</f>
        <v>UE14-04</v>
      </c>
      <c r="E4" s="3" t="str">
        <f>+'Orders - OATT Projects'!J42</f>
        <v>UE16-08/ UE17-03</v>
      </c>
    </row>
    <row r="5" spans="1:5" x14ac:dyDescent="0.2">
      <c r="B5" s="3">
        <f>SUM(B3:B4)</f>
        <v>408821.55000000005</v>
      </c>
      <c r="C5" s="3">
        <f>SUM(C3:C4)</f>
        <v>600000</v>
      </c>
    </row>
    <row r="6" spans="1:5" x14ac:dyDescent="0.2">
      <c r="A6" s="1" t="s">
        <v>207</v>
      </c>
      <c r="B6" s="17">
        <f>+'Worksheet for Presentation Sum'!O66-'Worksheet for Presentation Sum'!N66</f>
        <v>13496.604254778067</v>
      </c>
    </row>
    <row r="7" spans="1:5" x14ac:dyDescent="0.2">
      <c r="B7" s="3">
        <f>SUM(B5:B6)</f>
        <v>422318.15425477811</v>
      </c>
    </row>
  </sheetData>
  <pageMargins left="0.7" right="0.7" top="0.75" bottom="0.75" header="0.3" footer="0.3"/>
  <pageSetup orientation="portrait" r:id="rId1"/>
  <headerFooter>
    <oddHeader>&amp;RIR-4 - Attachment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3"/>
  <sheetViews>
    <sheetView tabSelected="1" workbookViewId="0">
      <selection activeCell="D27" sqref="D27"/>
    </sheetView>
  </sheetViews>
  <sheetFormatPr defaultRowHeight="12.75" x14ac:dyDescent="0.2"/>
  <cols>
    <col min="1" max="1" width="35.28515625" style="1" bestFit="1" customWidth="1"/>
    <col min="2" max="2" width="12.7109375" style="1" bestFit="1" customWidth="1"/>
    <col min="3" max="3" width="6.42578125" style="1" bestFit="1" customWidth="1"/>
    <col min="4" max="16384" width="9.140625" style="1"/>
  </cols>
  <sheetData>
    <row r="1" spans="1:3" x14ac:dyDescent="0.2">
      <c r="A1" s="343" t="s">
        <v>152</v>
      </c>
      <c r="B1" s="344"/>
      <c r="C1" s="345"/>
    </row>
    <row r="2" spans="1:3" x14ac:dyDescent="0.2">
      <c r="A2" s="290" t="s">
        <v>135</v>
      </c>
      <c r="B2" s="310">
        <f>+'Worksheet for Presentation Sum'!O59+SUM('Worksheet for Presentation Sum'!O61:O65)+SUM('Worksheet for Presentation Sum'!O67:O68)+SUM('Worksheet for Presentation Sum'!O72:O73)+SUM('Worksheet for Presentation Sum'!O75)</f>
        <v>8091991.0141601479</v>
      </c>
      <c r="C2" s="311">
        <f t="shared" ref="C2:C18" si="0">ROUND(B2/1000000,1)</f>
        <v>8.1</v>
      </c>
    </row>
    <row r="3" spans="1:3" x14ac:dyDescent="0.2">
      <c r="A3" s="290" t="s">
        <v>2</v>
      </c>
      <c r="B3" s="312">
        <f>SUM('Worksheet for Presentation Sum'!O79)+'Worksheet for Presentation Sum'!K98</f>
        <v>5204005.5552778998</v>
      </c>
      <c r="C3" s="311">
        <f>ROUND(B3/1000000,1)</f>
        <v>5.2</v>
      </c>
    </row>
    <row r="4" spans="1:3" x14ac:dyDescent="0.2">
      <c r="A4" s="290" t="s">
        <v>137</v>
      </c>
      <c r="B4" s="313">
        <f>+'Worksheet for Presentation Sum'!O60</f>
        <v>2248658.6796402461</v>
      </c>
      <c r="C4" s="311">
        <f t="shared" si="0"/>
        <v>2.2000000000000002</v>
      </c>
    </row>
    <row r="5" spans="1:3" x14ac:dyDescent="0.2">
      <c r="A5" s="290" t="s">
        <v>139</v>
      </c>
      <c r="B5" s="314">
        <f>+'Worksheet for Presentation Sum'!O71+'Worksheet for Presentation Sum'!O74</f>
        <v>2000880.5209723746</v>
      </c>
      <c r="C5" s="311">
        <f t="shared" si="0"/>
        <v>2</v>
      </c>
    </row>
    <row r="6" spans="1:3" x14ac:dyDescent="0.2">
      <c r="A6" s="290" t="s">
        <v>136</v>
      </c>
      <c r="B6" s="315">
        <f>+'Worksheet for Presentation Sum'!O47</f>
        <v>1932098.4577932316</v>
      </c>
      <c r="C6" s="311">
        <f t="shared" ref="C6:C11" si="1">ROUND(B6/1000000,1)</f>
        <v>1.9</v>
      </c>
    </row>
    <row r="7" spans="1:3" x14ac:dyDescent="0.2">
      <c r="A7" s="290" t="s">
        <v>138</v>
      </c>
      <c r="B7" s="316">
        <f>+'Worksheet for Presentation Sum'!O28</f>
        <v>1264544.2130834707</v>
      </c>
      <c r="C7" s="311">
        <f t="shared" si="1"/>
        <v>1.3</v>
      </c>
    </row>
    <row r="8" spans="1:3" x14ac:dyDescent="0.2">
      <c r="A8" s="290" t="s">
        <v>148</v>
      </c>
      <c r="B8" s="317">
        <f>SUM('Worksheet for Presentation Sum'!O16:O22)+'Worksheet for Presentation Sum'!O7</f>
        <v>1163437.0125823212</v>
      </c>
      <c r="C8" s="311">
        <f t="shared" si="1"/>
        <v>1.2</v>
      </c>
    </row>
    <row r="9" spans="1:3" x14ac:dyDescent="0.2">
      <c r="A9" s="290" t="s">
        <v>141</v>
      </c>
      <c r="B9" s="318">
        <f>+'Worksheet for Presentation Sum'!O76</f>
        <v>1055105.4411278162</v>
      </c>
      <c r="C9" s="311">
        <f t="shared" si="1"/>
        <v>1.1000000000000001</v>
      </c>
    </row>
    <row r="10" spans="1:3" x14ac:dyDescent="0.2">
      <c r="A10" s="290" t="s">
        <v>143</v>
      </c>
      <c r="B10" s="319">
        <f>+'Worksheet for Presentation Sum'!O69</f>
        <v>950848.68401707965</v>
      </c>
      <c r="C10" s="311">
        <f t="shared" si="1"/>
        <v>1</v>
      </c>
    </row>
    <row r="11" spans="1:3" x14ac:dyDescent="0.2">
      <c r="A11" s="290" t="s">
        <v>158</v>
      </c>
      <c r="B11" s="320">
        <f>'Worksheet for Presentation Sum'!O57</f>
        <v>1004906.2151649932</v>
      </c>
      <c r="C11" s="311">
        <f t="shared" si="1"/>
        <v>1</v>
      </c>
    </row>
    <row r="12" spans="1:3" x14ac:dyDescent="0.2">
      <c r="A12" s="290" t="s">
        <v>140</v>
      </c>
      <c r="B12" s="321">
        <f>+'Worksheet for Presentation Sum'!O36</f>
        <v>905168.80057818512</v>
      </c>
      <c r="C12" s="311">
        <f t="shared" si="0"/>
        <v>0.9</v>
      </c>
    </row>
    <row r="13" spans="1:3" x14ac:dyDescent="0.2">
      <c r="A13" s="290" t="s">
        <v>145</v>
      </c>
      <c r="B13" s="322">
        <f>+'Worksheet for Presentation Sum'!O70</f>
        <v>781669.62529003702</v>
      </c>
      <c r="C13" s="311">
        <f>ROUND(B13/1000000,1)</f>
        <v>0.8</v>
      </c>
    </row>
    <row r="14" spans="1:3" x14ac:dyDescent="0.2">
      <c r="A14" s="290" t="s">
        <v>144</v>
      </c>
      <c r="B14" s="323">
        <f>+'Worksheet for Presentation Sum'!O78</f>
        <v>445053.09617884306</v>
      </c>
      <c r="C14" s="311">
        <f>ROUND(B14/1000000,1)</f>
        <v>0.4</v>
      </c>
    </row>
    <row r="15" spans="1:3" x14ac:dyDescent="0.2">
      <c r="A15" s="290" t="s">
        <v>142</v>
      </c>
      <c r="B15" s="324">
        <f>+'Worksheet for Presentation Sum'!O45</f>
        <v>439989.20386947057</v>
      </c>
      <c r="C15" s="311">
        <f t="shared" si="0"/>
        <v>0.4</v>
      </c>
    </row>
    <row r="16" spans="1:3" x14ac:dyDescent="0.2">
      <c r="A16" s="290" t="s">
        <v>146</v>
      </c>
      <c r="B16" s="325">
        <f>+'Worksheet for Presentation Sum'!O66</f>
        <v>422318.15425477811</v>
      </c>
      <c r="C16" s="311">
        <f t="shared" si="0"/>
        <v>0.4</v>
      </c>
    </row>
    <row r="17" spans="1:3" x14ac:dyDescent="0.2">
      <c r="A17" s="290" t="s">
        <v>147</v>
      </c>
      <c r="B17" s="326">
        <f>+'Worksheet for Presentation Sum'!O77</f>
        <v>183139.03702489502</v>
      </c>
      <c r="C17" s="311">
        <f t="shared" si="0"/>
        <v>0.2</v>
      </c>
    </row>
    <row r="18" spans="1:3" ht="15" x14ac:dyDescent="0.35">
      <c r="A18" s="290" t="s">
        <v>1</v>
      </c>
      <c r="B18" s="327">
        <f>SUM('Worksheet for Presentation Sum'!O5:O6)+SUM('Worksheet for Presentation Sum'!O8:O15)+SUM('Worksheet for Presentation Sum'!O23:O27)+SUM('Worksheet for Presentation Sum'!O29:O35)+SUM('Worksheet for Presentation Sum'!O37:O44)+SUM('Worksheet for Presentation Sum'!O46+SUM('Worksheet for Presentation Sum'!O48:O56)+'Worksheet for Presentation Sum'!O58+SUM('Worksheet for Presentation Sum'!O84:O85)+'Worksheet for Presentation Sum'!O92)+'Worksheet for Presentation Sum'!O94+'Worksheet for Presentation Sum'!O80+'Worksheet for Presentation Sum'!O82+'Worksheet for Presentation Sum'!O81+'Worksheet for Presentation Sum'!O83</f>
        <v>1317158.8013483763</v>
      </c>
      <c r="C18" s="328">
        <f t="shared" si="0"/>
        <v>1.3</v>
      </c>
    </row>
    <row r="19" spans="1:3" x14ac:dyDescent="0.2">
      <c r="A19" s="300" t="s">
        <v>149</v>
      </c>
      <c r="B19" s="18">
        <f>SUM(B2:B18)</f>
        <v>29410972.512364171</v>
      </c>
      <c r="C19" s="329">
        <f>SUM(C2:C18)</f>
        <v>29.399999999999995</v>
      </c>
    </row>
    <row r="20" spans="1:3" x14ac:dyDescent="0.2">
      <c r="A20" s="284" t="s">
        <v>166</v>
      </c>
      <c r="B20" s="330"/>
      <c r="C20" s="331"/>
    </row>
    <row r="21" spans="1:3" ht="15" x14ac:dyDescent="0.35">
      <c r="A21" s="295" t="s">
        <v>162</v>
      </c>
      <c r="B21" s="332">
        <f>+'Worksheet for Presentation Sum'!K99</f>
        <v>2759281.1674999986</v>
      </c>
      <c r="C21" s="328">
        <f>ROUND(B21/1000000,1)</f>
        <v>2.8</v>
      </c>
    </row>
    <row r="22" spans="1:3" ht="15" x14ac:dyDescent="0.35">
      <c r="A22" s="295"/>
      <c r="B22" s="333"/>
      <c r="C22" s="328"/>
    </row>
    <row r="23" spans="1:3" x14ac:dyDescent="0.2">
      <c r="A23" s="334" t="s">
        <v>171</v>
      </c>
      <c r="B23" s="335">
        <f>SUM(B19:B22)</f>
        <v>32170253.679864168</v>
      </c>
      <c r="C23" s="336">
        <f>ROUND(B23/1000000,1)</f>
        <v>32.200000000000003</v>
      </c>
    </row>
  </sheetData>
  <customSheetViews>
    <customSheetView guid="{0B883182-CA7E-436B-9583-BDCC5436016C}">
      <selection activeCell="B21" sqref="B21"/>
      <pageMargins left="0.7" right="0.7" top="0.75" bottom="0.75" header="0.3" footer="0.3"/>
      <pageSetup orientation="portrait" r:id="rId1"/>
    </customSheetView>
  </customSheetViews>
  <mergeCells count="1">
    <mergeCell ref="A1:C1"/>
  </mergeCells>
  <pageMargins left="0.7" right="0.7" top="0.75" bottom="0.75" header="0.3" footer="0.3"/>
  <pageSetup orientation="portrait" r:id="rId2"/>
  <headerFooter>
    <oddHeader>&amp;RIR-4 - Attachment 1</oddHeader>
  </headerFooter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D4CBB6"/>
  </sheetPr>
  <dimension ref="A1:E8"/>
  <sheetViews>
    <sheetView tabSelected="1" workbookViewId="0">
      <selection activeCell="D27" sqref="D27"/>
    </sheetView>
  </sheetViews>
  <sheetFormatPr defaultRowHeight="12.75" x14ac:dyDescent="0.2"/>
  <cols>
    <col min="1" max="1" width="13.140625" style="1" bestFit="1" customWidth="1"/>
    <col min="2" max="2" width="13.42578125" style="3" bestFit="1" customWidth="1"/>
    <col min="3" max="3" width="13.28515625" style="1" bestFit="1" customWidth="1"/>
    <col min="4" max="4" width="14" style="1" customWidth="1"/>
    <col min="5" max="5" width="18" style="1" bestFit="1" customWidth="1"/>
    <col min="6" max="16384" width="9.140625" style="1"/>
  </cols>
  <sheetData>
    <row r="1" spans="1:5" s="43" customFormat="1" ht="25.5" x14ac:dyDescent="0.2">
      <c r="B1" s="44" t="s">
        <v>201</v>
      </c>
      <c r="C1" s="45" t="s">
        <v>202</v>
      </c>
      <c r="D1" s="45" t="s">
        <v>199</v>
      </c>
      <c r="E1" s="45" t="s">
        <v>203</v>
      </c>
    </row>
    <row r="3" spans="1:5" x14ac:dyDescent="0.2">
      <c r="A3" s="9">
        <v>2020</v>
      </c>
      <c r="B3" s="17">
        <f>+'Worksheet for Presentation Sum'!H77</f>
        <v>354572.42</v>
      </c>
      <c r="C3" s="17">
        <f>+'Orders - OATT Projects'!T79</f>
        <v>442000</v>
      </c>
      <c r="D3" s="3" t="str">
        <f>+'Orders - OATT Projects'!U79</f>
        <v>UE19-09</v>
      </c>
      <c r="E3" s="3" t="str">
        <f>+'Orders - OATT Projects'!V79</f>
        <v>UE21-16</v>
      </c>
    </row>
    <row r="4" spans="1:5" x14ac:dyDescent="0.2">
      <c r="B4" s="3">
        <f>SUM(B3:B3)</f>
        <v>354572.42</v>
      </c>
      <c r="C4" s="3"/>
    </row>
    <row r="5" spans="1:5" x14ac:dyDescent="0.2">
      <c r="A5" s="1" t="s">
        <v>210</v>
      </c>
      <c r="B5" s="17">
        <f>+B3*0.5</f>
        <v>177286.21</v>
      </c>
      <c r="C5" s="3"/>
    </row>
    <row r="6" spans="1:5" x14ac:dyDescent="0.2">
      <c r="B6" s="3">
        <f>+B4-B5</f>
        <v>177286.21</v>
      </c>
      <c r="C6" s="3"/>
    </row>
    <row r="7" spans="1:5" x14ac:dyDescent="0.2">
      <c r="A7" s="1" t="s">
        <v>207</v>
      </c>
      <c r="B7" s="17">
        <f>+'Worksheet for Presentation Sum'!O77-'Worksheet for Presentation Sum'!N77</f>
        <v>5852.8270248950284</v>
      </c>
    </row>
    <row r="8" spans="1:5" x14ac:dyDescent="0.2">
      <c r="B8" s="3">
        <f>+B6+B7</f>
        <v>183139.03702489502</v>
      </c>
    </row>
  </sheetData>
  <pageMargins left="0.7" right="0.7" top="0.75" bottom="0.75" header="0.3" footer="0.3"/>
  <pageSetup orientation="portrait" r:id="rId1"/>
  <headerFooter>
    <oddHeader>&amp;RIR-4 - Attachment 1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33FF"/>
  </sheetPr>
  <dimension ref="A1:E18"/>
  <sheetViews>
    <sheetView tabSelected="1" workbookViewId="0">
      <selection activeCell="D27" sqref="D27"/>
    </sheetView>
  </sheetViews>
  <sheetFormatPr defaultRowHeight="12.75" x14ac:dyDescent="0.2"/>
  <cols>
    <col min="1" max="1" width="47.42578125" style="1" customWidth="1"/>
    <col min="2" max="2" width="13.42578125" style="3" bestFit="1" customWidth="1"/>
    <col min="3" max="3" width="13.28515625" style="1" bestFit="1" customWidth="1"/>
    <col min="4" max="4" width="17.5703125" style="1" bestFit="1" customWidth="1"/>
    <col min="5" max="5" width="14" style="1" customWidth="1"/>
    <col min="6" max="16384" width="9.140625" style="1"/>
  </cols>
  <sheetData>
    <row r="1" spans="1:5" s="43" customFormat="1" ht="38.25" x14ac:dyDescent="0.2">
      <c r="B1" s="44" t="s">
        <v>201</v>
      </c>
      <c r="C1" s="45" t="s">
        <v>202</v>
      </c>
      <c r="D1" s="45" t="s">
        <v>199</v>
      </c>
      <c r="E1" s="45" t="s">
        <v>203</v>
      </c>
    </row>
    <row r="3" spans="1:5" x14ac:dyDescent="0.2">
      <c r="A3" s="9">
        <v>2014</v>
      </c>
      <c r="B3" s="3">
        <f>+'Worksheet for Presentation Sum'!B8+'Worksheet for Presentation Sum'!B9+'Worksheet for Presentation Sum'!B12+'Worksheet for Presentation Sum'!B23+'Worksheet for Presentation Sum'!B24+'Worksheet for Presentation Sum'!B25+'Worksheet for Presentation Sum'!B26+'Worksheet for Presentation Sum'!B27+'Worksheet for Presentation Sum'!B29+'Worksheet for Presentation Sum'!B30+'Worksheet for Presentation Sum'!B58+'Worksheet for Presentation Sum'!B80+'Worksheet for Presentation Sum'!B81</f>
        <v>1837974.44</v>
      </c>
      <c r="C3" s="3">
        <f>+'Orders - OATT Projects'!B6+'Orders - OATT Projects'!B7+'Orders - OATT Projects'!B24+'Orders - OATT Projects'!B26+'Orders - OATT Projects'!B30+'Orders - OATT Projects'!B34+'Orders - OATT Projects'!B35+'Orders - OATT Projects'!B36+'Orders - OATT Projects'!B37</f>
        <v>4164000</v>
      </c>
      <c r="D3" s="3" t="s">
        <v>90</v>
      </c>
      <c r="E3" s="3" t="s">
        <v>93</v>
      </c>
    </row>
    <row r="4" spans="1:5" x14ac:dyDescent="0.2">
      <c r="A4" s="9">
        <f>+A3+1</f>
        <v>2015</v>
      </c>
      <c r="B4" s="3">
        <f>+'Worksheet for Presentation Sum'!C8+'Worksheet for Presentation Sum'!C9+'Worksheet for Presentation Sum'!C23+'Worksheet for Presentation Sum'!C25+'Worksheet for Presentation Sum'!C26+'Worksheet for Presentation Sum'!C29+'Worksheet for Presentation Sum'!C31+'Worksheet for Presentation Sum'!C32+'Worksheet for Presentation Sum'!C80+'Worksheet for Presentation Sum'!C81+'Worksheet for Presentation Sum'!C82+'Worksheet for Presentation Sum'!C84+'Worksheet for Presentation Sum'!C85</f>
        <v>2318660.7200000002</v>
      </c>
      <c r="C4" s="3">
        <f>+'Orders - OATT Projects'!E6+'Orders - OATT Projects'!E7+'Orders - OATT Projects'!E24+'Orders - OATT Projects'!E34+'Orders - OATT Projects'!E35+'Orders - OATT Projects'!E36+'Orders - OATT Projects'!E39+'Orders - OATT Projects'!E40+'Orders - OATT Projects'!E41</f>
        <v>4724000</v>
      </c>
      <c r="D4" s="3" t="s">
        <v>91</v>
      </c>
      <c r="E4" s="3" t="s">
        <v>94</v>
      </c>
    </row>
    <row r="5" spans="1:5" x14ac:dyDescent="0.2">
      <c r="A5" s="9">
        <f t="shared" ref="A5:A9" si="0">+A4+1</f>
        <v>2016</v>
      </c>
      <c r="B5" s="3">
        <f>+'Worksheet for Presentation Sum'!D8+'Worksheet for Presentation Sum'!D11+'Worksheet for Presentation Sum'!D23+'Worksheet for Presentation Sum'!D25+'Worksheet for Presentation Sum'!D31+'Worksheet for Presentation Sum'!D32+'Worksheet for Presentation Sum'!D33+'Worksheet for Presentation Sum'!D34+'Worksheet for Presentation Sum'!D35</f>
        <v>2114158.3399999994</v>
      </c>
      <c r="C5" s="3">
        <f>+'Orders - OATT Projects'!H6+'Orders - OATT Projects'!H9+'Orders - OATT Projects'!H17+'Orders - OATT Projects'!H24+'Orders - OATT Projects'!H39+'Orders - OATT Projects'!H40+'Orders - OATT Projects'!H46+'Orders - OATT Projects'!H47+'Orders - OATT Projects'!H48</f>
        <v>4571000</v>
      </c>
      <c r="D5" s="3" t="s">
        <v>93</v>
      </c>
      <c r="E5" s="3" t="s">
        <v>95</v>
      </c>
    </row>
    <row r="6" spans="1:5" x14ac:dyDescent="0.2">
      <c r="A6" s="9">
        <f t="shared" si="0"/>
        <v>2017</v>
      </c>
      <c r="B6" s="3">
        <f>+'Worksheet for Presentation Sum'!E6+'Worksheet for Presentation Sum'!E8+'Worksheet for Presentation Sum'!E10+'Worksheet for Presentation Sum'!E23+'Worksheet for Presentation Sum'!E25+'Worksheet for Presentation Sum'!E33+'Worksheet for Presentation Sum'!E34+'Worksheet for Presentation Sum'!E38+'Worksheet for Presentation Sum'!E39+'Worksheet for Presentation Sum'!E83+'Worksheet for Presentation Sum'!E84</f>
        <v>3207985.64</v>
      </c>
      <c r="C6" s="3">
        <f>+'Orders - OATT Projects'!K9+'Orders - OATT Projects'!K16+'Orders - OATT Projects'!K24+'Orders - OATT Projects'!K46+'Orders - OATT Projects'!K47+'Orders - OATT Projects'!K48+'Orders - OATT Projects'!K50+'Orders - OATT Projects'!K51+'Orders - OATT Projects'!K52+'Orders - OATT Projects'!K53</f>
        <v>5352000</v>
      </c>
      <c r="D6" s="3" t="s">
        <v>94</v>
      </c>
      <c r="E6" s="3" t="s">
        <v>96</v>
      </c>
    </row>
    <row r="7" spans="1:5" x14ac:dyDescent="0.2">
      <c r="A7" s="9">
        <f t="shared" si="0"/>
        <v>2018</v>
      </c>
      <c r="B7" s="3">
        <f>+'Worksheet for Presentation Sum'!F8+'Worksheet for Presentation Sum'!F9+'Worksheet for Presentation Sum'!F10+'Worksheet for Presentation Sum'!F13+'Worksheet for Presentation Sum'!F23+'Worksheet for Presentation Sum'!F25+'Worksheet for Presentation Sum'!F34+'Worksheet for Presentation Sum'!F37+'Worksheet for Presentation Sum'!F38+'Worksheet for Presentation Sum'!F39+'Worksheet for Presentation Sum'!F40+'Worksheet for Presentation Sum'!F41+'Worksheet for Presentation Sum'!F42+'Worksheet for Presentation Sum'!F43+'Worksheet for Presentation Sum'!F85</f>
        <v>2715388.7499999995</v>
      </c>
      <c r="C7" s="3">
        <f>+'Orders - OATT Projects'!N9+'Orders - OATT Projects'!N16+'Orders - OATT Projects'!N18+'Orders - OATT Projects'!N24+'Orders - OATT Projects'!N48+'Orders - OATT Projects'!N50+'Orders - OATT Projects'!N51+'Orders - OATT Projects'!N52+'Orders - OATT Projects'!N58+'Orders - OATT Projects'!N59+'Orders - OATT Projects'!N60+'Orders - OATT Projects'!N61+'Orders - OATT Projects'!N83</f>
        <v>5460000</v>
      </c>
      <c r="D7" s="3" t="s">
        <v>95</v>
      </c>
      <c r="E7" s="3" t="s">
        <v>97</v>
      </c>
    </row>
    <row r="8" spans="1:5" x14ac:dyDescent="0.2">
      <c r="A8" s="9">
        <f>+A7+1</f>
        <v>2019</v>
      </c>
      <c r="B8" s="3">
        <f>+'Worksheet for Presentation Sum'!G9+'Worksheet for Presentation Sum'!G10+'Worksheet for Presentation Sum'!G13+'Worksheet for Presentation Sum'!G23+'Worksheet for Presentation Sum'!G25+'Worksheet for Presentation Sum'!G35+'Worksheet for Presentation Sum'!G37+'Worksheet for Presentation Sum'!G38+'Worksheet for Presentation Sum'!G40+'Worksheet for Presentation Sum'!G41+'Worksheet for Presentation Sum'!G42+'Worksheet for Presentation Sum'!G43+'Worksheet for Presentation Sum'!G44+'Worksheet for Presentation Sum'!G46+'Worksheet for Presentation Sum'!G48+'Worksheet for Presentation Sum'!G85</f>
        <v>2013825.43</v>
      </c>
      <c r="C8" s="3">
        <f>+'Orders - OATT Projects'!Q9+'Orders - OATT Projects'!Q16+'Orders - OATT Projects'!Q18+'Orders - OATT Projects'!Q65+'Orders - OATT Projects'!Q67+'Orders - OATT Projects'!Q69+'Orders - OATT Projects'!Q83</f>
        <v>3866000</v>
      </c>
      <c r="D8" s="3" t="s">
        <v>211</v>
      </c>
      <c r="E8" s="3" t="s">
        <v>212</v>
      </c>
    </row>
    <row r="9" spans="1:5" x14ac:dyDescent="0.2">
      <c r="A9" s="9">
        <f t="shared" si="0"/>
        <v>2020</v>
      </c>
      <c r="B9" s="17">
        <f>+'Worksheet for Presentation Sum'!H5+'Worksheet for Presentation Sum'!H9+'Worksheet for Presentation Sum'!H10+'Worksheet for Presentation Sum'!H13+'Worksheet for Presentation Sum'!H14+'Worksheet for Presentation Sum'!H15+'Worksheet for Presentation Sum'!H23+'Worksheet for Presentation Sum'!H46+'Worksheet for Presentation Sum'!H48+'Worksheet for Presentation Sum'!H49+'Worksheet for Presentation Sum'!H50+'Worksheet for Presentation Sum'!H51+'Worksheet for Presentation Sum'!H52+'Worksheet for Presentation Sum'!H53+'Worksheet for Presentation Sum'!H54+'Worksheet for Presentation Sum'!H55+'Worksheet for Presentation Sum'!H56+'Worksheet for Presentation Sum'!H85</f>
        <v>4577191.040000001</v>
      </c>
      <c r="C9" s="17">
        <f>+'Orders - OATT Projects'!T9+'Orders - OATT Projects'!T16+'Orders - OATT Projects'!T18+'Orders - OATT Projects'!T19+'Orders - OATT Projects'!T20+'Orders - OATT Projects'!T69+'Orders - OATT Projects'!T71+'Orders - OATT Projects'!T72+'Orders - OATT Projects'!T73+'Orders - OATT Projects'!T74+'Orders - OATT Projects'!T75+'Orders - OATT Projects'!T76+'Orders - OATT Projects'!T77+'Orders - OATT Projects'!T78+'Orders - OATT Projects'!T83</f>
        <v>8360000</v>
      </c>
      <c r="D9" s="3" t="s">
        <v>97</v>
      </c>
      <c r="E9" s="3" t="s">
        <v>108</v>
      </c>
    </row>
    <row r="10" spans="1:5" x14ac:dyDescent="0.2">
      <c r="B10" s="3">
        <f>SUM(B3:B9)</f>
        <v>18785184.359999999</v>
      </c>
      <c r="C10" s="3">
        <f>SUM(C3:C9)</f>
        <v>36497000</v>
      </c>
    </row>
    <row r="11" spans="1:5" x14ac:dyDescent="0.2">
      <c r="A11" s="1" t="s">
        <v>204</v>
      </c>
      <c r="B11" s="3">
        <f>+B3*0.5</f>
        <v>918987.22</v>
      </c>
    </row>
    <row r="12" spans="1:5" x14ac:dyDescent="0.2">
      <c r="A12" s="1" t="s">
        <v>206</v>
      </c>
      <c r="B12" s="17">
        <f>+B9*0.5</f>
        <v>2288595.5200000005</v>
      </c>
    </row>
    <row r="13" spans="1:5" x14ac:dyDescent="0.2">
      <c r="B13" s="46">
        <f>+B10-B11-B12</f>
        <v>15577601.620000001</v>
      </c>
    </row>
    <row r="14" spans="1:5" x14ac:dyDescent="0.2">
      <c r="A14" s="1" t="s">
        <v>214</v>
      </c>
      <c r="B14" s="3">
        <f>+'Worksheet for Presentation Sum'!L9+'Worksheet for Presentation Sum'!L10+'Worksheet for Presentation Sum'!L11+'Worksheet for Presentation Sum'!L12+'Worksheet for Presentation Sum'!L13+'Worksheet for Presentation Sum'!L14+'Worksheet for Presentation Sum'!L15+'Worksheet for Presentation Sum'!L58+'Worksheet for Presentation Sum'!L84+'Worksheet for Presentation Sum'!L85+'Worksheet for Presentation Sum'!L8</f>
        <v>164028.785</v>
      </c>
    </row>
    <row r="15" spans="1:5" x14ac:dyDescent="0.2">
      <c r="A15" s="1" t="s">
        <v>215</v>
      </c>
      <c r="B15" s="3">
        <f>+(B13-B14)*0.53</f>
        <v>8169193.6025500009</v>
      </c>
    </row>
    <row r="16" spans="1:5" x14ac:dyDescent="0.2">
      <c r="A16" s="1" t="s">
        <v>207</v>
      </c>
      <c r="B16" s="3">
        <f>+'Worksheet for Presentation Sum'!O5-'Worksheet for Presentation Sum'!N5+'Worksheet for Presentation Sum'!O6-'Worksheet for Presentation Sum'!N6+'Worksheet for Presentation Sum'!O8-'Worksheet for Presentation Sum'!N8+'Worksheet for Presentation Sum'!O9-'Worksheet for Presentation Sum'!N9+'Worksheet for Presentation Sum'!O10-'Worksheet for Presentation Sum'!N10+'Worksheet for Presentation Sum'!O11-'Worksheet for Presentation Sum'!N11+'Worksheet for Presentation Sum'!O12-'Worksheet for Presentation Sum'!N12+'Worksheet for Presentation Sum'!O13-'Worksheet for Presentation Sum'!N13+'Worksheet for Presentation Sum'!O14-'Worksheet for Presentation Sum'!N14+'Worksheet for Presentation Sum'!O15-'Worksheet for Presentation Sum'!N15+'Worksheet for Presentation Sum'!O23-'Worksheet for Presentation Sum'!N23+'Worksheet for Presentation Sum'!O24-'Worksheet for Presentation Sum'!N24+'Worksheet for Presentation Sum'!O25-'Worksheet for Presentation Sum'!N25+'Worksheet for Presentation Sum'!O26-'Worksheet for Presentation Sum'!N26+'Worksheet for Presentation Sum'!O27-'Worksheet for Presentation Sum'!N27+'Worksheet for Presentation Sum'!O29-'Worksheet for Presentation Sum'!N29+'Worksheet for Presentation Sum'!O30-'Worksheet for Presentation Sum'!N30+'Worksheet for Presentation Sum'!O31-'Worksheet for Presentation Sum'!N31+'Worksheet for Presentation Sum'!O32-'Worksheet for Presentation Sum'!N32+'Worksheet for Presentation Sum'!O33-'Worksheet for Presentation Sum'!N33+'Worksheet for Presentation Sum'!O34-'Worksheet for Presentation Sum'!N34+'Worksheet for Presentation Sum'!O35-'Worksheet for Presentation Sum'!N35+'Worksheet for Presentation Sum'!O37-'Worksheet for Presentation Sum'!N37+'Worksheet for Presentation Sum'!O38-'Worksheet for Presentation Sum'!N38+'Worksheet for Presentation Sum'!O39-'Worksheet for Presentation Sum'!N39+'Worksheet for Presentation Sum'!O40-'Worksheet for Presentation Sum'!N40+'Worksheet for Presentation Sum'!O41-'Worksheet for Presentation Sum'!N41+'Worksheet for Presentation Sum'!O42-'Worksheet for Presentation Sum'!N42+'Worksheet for Presentation Sum'!O43-'Worksheet for Presentation Sum'!N43+'Worksheet for Presentation Sum'!O44-'Worksheet for Presentation Sum'!N44+'Worksheet for Presentation Sum'!O46-'Worksheet for Presentation Sum'!N46+'Worksheet for Presentation Sum'!O48-'Worksheet for Presentation Sum'!N48+'Worksheet for Presentation Sum'!O49-'Worksheet for Presentation Sum'!N49+'Worksheet for Presentation Sum'!O50-'Worksheet for Presentation Sum'!N50+'Worksheet for Presentation Sum'!O51-'Worksheet for Presentation Sum'!N51+'Worksheet for Presentation Sum'!O52-'Worksheet for Presentation Sum'!N52+'Worksheet for Presentation Sum'!O53-'Worksheet for Presentation Sum'!N53+'Worksheet for Presentation Sum'!O54-'Worksheet for Presentation Sum'!N54+'Worksheet for Presentation Sum'!O55-'Worksheet for Presentation Sum'!N55+'Worksheet for Presentation Sum'!O56-'Worksheet for Presentation Sum'!N56+'Worksheet for Presentation Sum'!O58-'Worksheet for Presentation Sum'!N58+'Worksheet for Presentation Sum'!O80-'Worksheet for Presentation Sum'!N80+'Worksheet for Presentation Sum'!O81-'Worksheet for Presentation Sum'!N81+'Worksheet for Presentation Sum'!O82-'Worksheet for Presentation Sum'!N82+'Worksheet for Presentation Sum'!O83-'Worksheet for Presentation Sum'!N83+'Worksheet for Presentation Sum'!O84-'Worksheet for Presentation Sum'!N84+'Worksheet for Presentation Sum'!O85-'Worksheet for Presentation Sum'!N85+'Worksheet for Presentation Sum'!O94-'Worksheet for Presentation Sum'!N94+'Worksheet for Presentation Sum'!O94</f>
        <v>266933.84033211309</v>
      </c>
    </row>
    <row r="17" spans="1:2" ht="38.25" x14ac:dyDescent="0.2">
      <c r="A17" s="47" t="str">
        <f>+'Worksheet for Presentation Sum'!A92</f>
        <v>Change to mid-year 2014 balance substations due to lower allocator in 2020 (from 72.163% in 2014 to 53% in 2020)</v>
      </c>
      <c r="B17" s="17">
        <f>+'Worksheet for Presentation Sum'!O92</f>
        <v>-7282997.4265337372</v>
      </c>
    </row>
    <row r="18" spans="1:2" x14ac:dyDescent="0.2">
      <c r="B18" s="3">
        <f>SUM(B14:B17)</f>
        <v>1317158.8013483761</v>
      </c>
    </row>
  </sheetData>
  <pageMargins left="0.7" right="0.7" top="0.75" bottom="0.75" header="0.3" footer="0.3"/>
  <pageSetup orientation="portrait" r:id="rId1"/>
  <headerFooter>
    <oddHeader>&amp;RIR-4 - Attachment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V109"/>
  <sheetViews>
    <sheetView tabSelected="1" topLeftCell="A79" workbookViewId="0">
      <selection activeCell="D27" sqref="D27"/>
    </sheetView>
  </sheetViews>
  <sheetFormatPr defaultRowHeight="12.75" x14ac:dyDescent="0.2"/>
  <cols>
    <col min="1" max="1" width="46.5703125" style="1" customWidth="1"/>
    <col min="2" max="2" width="16.5703125" style="1" bestFit="1" customWidth="1"/>
    <col min="3" max="3" width="12.7109375" style="1" bestFit="1" customWidth="1"/>
    <col min="4" max="4" width="11.5703125" style="1" bestFit="1" customWidth="1"/>
    <col min="5" max="5" width="12.7109375" style="1" bestFit="1" customWidth="1"/>
    <col min="6" max="7" width="10.7109375" style="1" bestFit="1" customWidth="1"/>
    <col min="8" max="8" width="13.42578125" style="1" bestFit="1" customWidth="1"/>
    <col min="9" max="9" width="13.5703125" style="1" bestFit="1" customWidth="1"/>
    <col min="10" max="10" width="13.140625" style="3" customWidth="1"/>
    <col min="11" max="11" width="14.140625" style="3" bestFit="1" customWidth="1"/>
    <col min="12" max="12" width="14.42578125" style="3" bestFit="1" customWidth="1"/>
    <col min="13" max="13" width="14.5703125" style="1" customWidth="1"/>
    <col min="14" max="14" width="13.42578125" style="1" bestFit="1" customWidth="1"/>
    <col min="15" max="15" width="14.5703125" style="1" bestFit="1" customWidth="1"/>
    <col min="16" max="16" width="9.140625" style="1"/>
    <col min="17" max="17" width="10.5703125" style="1" bestFit="1" customWidth="1"/>
    <col min="18" max="18" width="35.28515625" style="1" bestFit="1" customWidth="1"/>
    <col min="19" max="19" width="13.28515625" style="1" bestFit="1" customWidth="1"/>
    <col min="20" max="20" width="6" style="1" bestFit="1" customWidth="1"/>
    <col min="21" max="21" width="14.28515625" style="1" bestFit="1" customWidth="1"/>
    <col min="22" max="22" width="10.5703125" style="1" bestFit="1" customWidth="1"/>
    <col min="23" max="16384" width="9.140625" style="1"/>
  </cols>
  <sheetData>
    <row r="4" spans="1:15" ht="51" x14ac:dyDescent="0.2">
      <c r="A4" s="43" t="s">
        <v>0</v>
      </c>
      <c r="B4" s="1">
        <v>2014</v>
      </c>
      <c r="C4" s="1">
        <v>2015</v>
      </c>
      <c r="D4" s="1">
        <v>2016</v>
      </c>
      <c r="E4" s="1">
        <v>2017</v>
      </c>
      <c r="F4" s="1">
        <v>2018</v>
      </c>
      <c r="G4" s="1">
        <v>2019</v>
      </c>
      <c r="H4" s="1">
        <v>2020</v>
      </c>
      <c r="I4" s="1" t="s">
        <v>3</v>
      </c>
      <c r="J4" s="44" t="s">
        <v>125</v>
      </c>
      <c r="K4" s="44" t="s">
        <v>126</v>
      </c>
      <c r="L4" s="44" t="s">
        <v>127</v>
      </c>
      <c r="M4" s="44" t="s">
        <v>153</v>
      </c>
      <c r="N4" s="44" t="s">
        <v>150</v>
      </c>
      <c r="O4" s="44" t="s">
        <v>151</v>
      </c>
    </row>
    <row r="5" spans="1:15" s="25" customFormat="1" x14ac:dyDescent="0.2">
      <c r="A5" s="188" t="s">
        <v>71</v>
      </c>
      <c r="B5" s="189"/>
      <c r="C5" s="189"/>
      <c r="D5" s="189"/>
      <c r="E5" s="189"/>
      <c r="F5" s="189"/>
      <c r="G5" s="189"/>
      <c r="H5" s="189">
        <v>42655</v>
      </c>
      <c r="I5" s="189">
        <f>SUM(B5:H5)</f>
        <v>42655</v>
      </c>
      <c r="J5" s="190">
        <f>-B5*0.5</f>
        <v>0</v>
      </c>
      <c r="K5" s="190">
        <f>-H5*0.5</f>
        <v>-21327.5</v>
      </c>
      <c r="L5" s="190">
        <f>SUM(I5:K5)</f>
        <v>21327.5</v>
      </c>
      <c r="M5" s="191">
        <v>0.53</v>
      </c>
      <c r="N5" s="190">
        <f>+L5*M5</f>
        <v>11303.575000000001</v>
      </c>
      <c r="O5" s="190">
        <f>+N5*(1+'OATT Additions by Asset '!Q$7)</f>
        <v>11692.03566141076</v>
      </c>
    </row>
    <row r="6" spans="1:15" s="25" customFormat="1" x14ac:dyDescent="0.2">
      <c r="A6" s="188" t="s">
        <v>25</v>
      </c>
      <c r="B6" s="189"/>
      <c r="C6" s="189"/>
      <c r="D6" s="189"/>
      <c r="E6" s="189">
        <v>43000</v>
      </c>
      <c r="F6" s="189"/>
      <c r="G6" s="189"/>
      <c r="H6" s="189"/>
      <c r="I6" s="189">
        <f t="shared" ref="I6:I69" si="0">SUM(B6:H6)</f>
        <v>43000</v>
      </c>
      <c r="J6" s="190">
        <f t="shared" ref="J6:J69" si="1">-B6*0.5</f>
        <v>0</v>
      </c>
      <c r="K6" s="190">
        <f t="shared" ref="K6:K69" si="2">-H6*0.5</f>
        <v>0</v>
      </c>
      <c r="L6" s="190">
        <f t="shared" ref="L6:L69" si="3">SUM(I6:K6)</f>
        <v>43000</v>
      </c>
      <c r="M6" s="191">
        <v>0.53</v>
      </c>
      <c r="N6" s="190">
        <f t="shared" ref="N6:N69" si="4">+L6*M6</f>
        <v>22790</v>
      </c>
      <c r="O6" s="190">
        <f>+N6*(1+'OATT Additions by Asset '!Q$7)</f>
        <v>23573.205178322009</v>
      </c>
    </row>
    <row r="7" spans="1:15" s="25" customFormat="1" x14ac:dyDescent="0.2">
      <c r="A7" s="192" t="s">
        <v>89</v>
      </c>
      <c r="B7" s="193"/>
      <c r="C7" s="193"/>
      <c r="D7" s="193"/>
      <c r="E7" s="193"/>
      <c r="F7" s="193"/>
      <c r="G7" s="193"/>
      <c r="H7" s="193">
        <v>50000</v>
      </c>
      <c r="I7" s="193">
        <f t="shared" si="0"/>
        <v>50000</v>
      </c>
      <c r="J7" s="194">
        <f t="shared" si="1"/>
        <v>0</v>
      </c>
      <c r="K7" s="194">
        <f t="shared" si="2"/>
        <v>-25000</v>
      </c>
      <c r="L7" s="194">
        <f t="shared" si="3"/>
        <v>25000</v>
      </c>
      <c r="M7" s="195">
        <v>0.25</v>
      </c>
      <c r="N7" s="194">
        <f t="shared" si="4"/>
        <v>6250</v>
      </c>
      <c r="O7" s="194">
        <f>+N7*(1+'OATT Additions by Asset '!Q$5)</f>
        <v>6352.1980630902935</v>
      </c>
    </row>
    <row r="8" spans="1:15" s="25" customFormat="1" x14ac:dyDescent="0.2">
      <c r="A8" s="188" t="s">
        <v>48</v>
      </c>
      <c r="B8" s="189">
        <v>3836.12</v>
      </c>
      <c r="C8" s="189">
        <v>-1700.3200000000002</v>
      </c>
      <c r="D8" s="189">
        <v>-1025.0099999999984</v>
      </c>
      <c r="E8" s="189">
        <v>170.1100000000001</v>
      </c>
      <c r="F8" s="189">
        <v>16744.86</v>
      </c>
      <c r="G8" s="189">
        <v>-5.6843418860808015E-13</v>
      </c>
      <c r="H8" s="189">
        <v>0</v>
      </c>
      <c r="I8" s="189">
        <f t="shared" si="0"/>
        <v>18025.760000000002</v>
      </c>
      <c r="J8" s="190">
        <f t="shared" si="1"/>
        <v>-1918.06</v>
      </c>
      <c r="K8" s="190">
        <f t="shared" si="2"/>
        <v>0</v>
      </c>
      <c r="L8" s="190">
        <f t="shared" si="3"/>
        <v>16107.700000000003</v>
      </c>
      <c r="M8" s="191">
        <v>1</v>
      </c>
      <c r="N8" s="190">
        <f t="shared" si="4"/>
        <v>16107.700000000003</v>
      </c>
      <c r="O8" s="190">
        <f>+N8*(1+'OATT Additions by Asset '!Q$11)</f>
        <v>16639.470530087492</v>
      </c>
    </row>
    <row r="9" spans="1:15" s="25" customFormat="1" x14ac:dyDescent="0.2">
      <c r="A9" s="188" t="s">
        <v>49</v>
      </c>
      <c r="B9" s="189">
        <v>1008.44</v>
      </c>
      <c r="C9" s="189">
        <v>14386.419999999998</v>
      </c>
      <c r="D9" s="189"/>
      <c r="E9" s="189">
        <v>0</v>
      </c>
      <c r="F9" s="189">
        <v>217.42</v>
      </c>
      <c r="G9" s="189">
        <v>17189.239999999998</v>
      </c>
      <c r="H9" s="189">
        <v>26962.819999999996</v>
      </c>
      <c r="I9" s="189">
        <f t="shared" si="0"/>
        <v>59764.34</v>
      </c>
      <c r="J9" s="190">
        <f t="shared" si="1"/>
        <v>-504.22</v>
      </c>
      <c r="K9" s="190">
        <f t="shared" si="2"/>
        <v>-13481.409999999998</v>
      </c>
      <c r="L9" s="190">
        <f t="shared" si="3"/>
        <v>45778.71</v>
      </c>
      <c r="M9" s="191">
        <v>1</v>
      </c>
      <c r="N9" s="190">
        <f t="shared" si="4"/>
        <v>45778.71</v>
      </c>
      <c r="O9" s="190">
        <f>+N9*(1+'OATT Additions by Asset '!Q$11)</f>
        <v>47290.022532727911</v>
      </c>
    </row>
    <row r="10" spans="1:15" s="25" customFormat="1" x14ac:dyDescent="0.2">
      <c r="A10" s="188" t="s">
        <v>74</v>
      </c>
      <c r="B10" s="189"/>
      <c r="C10" s="189"/>
      <c r="D10" s="189"/>
      <c r="E10" s="189">
        <v>-49.22</v>
      </c>
      <c r="F10" s="189">
        <v>24486.799999999999</v>
      </c>
      <c r="G10" s="189">
        <v>7118.1600000000008</v>
      </c>
      <c r="H10" s="189">
        <v>-594.74000000000024</v>
      </c>
      <c r="I10" s="189">
        <f t="shared" si="0"/>
        <v>30960.999999999996</v>
      </c>
      <c r="J10" s="190">
        <f t="shared" si="1"/>
        <v>0</v>
      </c>
      <c r="K10" s="190">
        <f t="shared" si="2"/>
        <v>297.37000000000012</v>
      </c>
      <c r="L10" s="190">
        <f t="shared" si="3"/>
        <v>31258.369999999995</v>
      </c>
      <c r="M10" s="191">
        <v>1</v>
      </c>
      <c r="N10" s="190">
        <f t="shared" si="4"/>
        <v>31258.369999999995</v>
      </c>
      <c r="O10" s="190">
        <f>+N10*(1+'OATT Additions by Asset '!Q$11)</f>
        <v>32290.316211102192</v>
      </c>
    </row>
    <row r="11" spans="1:15" s="25" customFormat="1" x14ac:dyDescent="0.2">
      <c r="A11" s="188" t="s">
        <v>92</v>
      </c>
      <c r="B11" s="189"/>
      <c r="C11" s="189"/>
      <c r="D11" s="189">
        <v>3180.7</v>
      </c>
      <c r="E11" s="189"/>
      <c r="F11" s="189"/>
      <c r="G11" s="189"/>
      <c r="H11" s="189"/>
      <c r="I11" s="189">
        <f t="shared" si="0"/>
        <v>3180.7</v>
      </c>
      <c r="J11" s="190">
        <f t="shared" si="1"/>
        <v>0</v>
      </c>
      <c r="K11" s="190">
        <f t="shared" si="2"/>
        <v>0</v>
      </c>
      <c r="L11" s="190">
        <f t="shared" si="3"/>
        <v>3180.7</v>
      </c>
      <c r="M11" s="191">
        <v>1</v>
      </c>
      <c r="N11" s="190">
        <f t="shared" si="4"/>
        <v>3180.7</v>
      </c>
      <c r="O11" s="190">
        <f>+N11*(1+'OATT Additions by Asset '!Q$11)</f>
        <v>3285.7058372734327</v>
      </c>
    </row>
    <row r="12" spans="1:15" s="25" customFormat="1" x14ac:dyDescent="0.2">
      <c r="A12" s="188" t="s">
        <v>52</v>
      </c>
      <c r="B12" s="189">
        <v>19.060000000000002</v>
      </c>
      <c r="C12" s="189"/>
      <c r="D12" s="189"/>
      <c r="E12" s="189"/>
      <c r="F12" s="189"/>
      <c r="G12" s="189"/>
      <c r="H12" s="189"/>
      <c r="I12" s="189">
        <f t="shared" si="0"/>
        <v>19.060000000000002</v>
      </c>
      <c r="J12" s="190">
        <f t="shared" si="1"/>
        <v>-9.5300000000000011</v>
      </c>
      <c r="K12" s="190">
        <f t="shared" si="2"/>
        <v>0</v>
      </c>
      <c r="L12" s="190">
        <f t="shared" si="3"/>
        <v>9.5300000000000011</v>
      </c>
      <c r="M12" s="191">
        <v>1</v>
      </c>
      <c r="N12" s="190">
        <f t="shared" si="4"/>
        <v>9.5300000000000011</v>
      </c>
      <c r="O12" s="190">
        <f>+N12*(1+'OATT Additions by Asset '!Q$11)</f>
        <v>9.8446180492394184</v>
      </c>
    </row>
    <row r="13" spans="1:15" s="25" customFormat="1" x14ac:dyDescent="0.2">
      <c r="A13" s="188" t="s">
        <v>26</v>
      </c>
      <c r="B13" s="189"/>
      <c r="C13" s="189"/>
      <c r="D13" s="189"/>
      <c r="E13" s="189"/>
      <c r="F13" s="189">
        <v>392.52</v>
      </c>
      <c r="G13" s="189">
        <v>923.40000000000009</v>
      </c>
      <c r="H13" s="189">
        <v>260.2</v>
      </c>
      <c r="I13" s="189">
        <f t="shared" si="0"/>
        <v>1576.1200000000001</v>
      </c>
      <c r="J13" s="190">
        <f t="shared" si="1"/>
        <v>0</v>
      </c>
      <c r="K13" s="190">
        <f t="shared" si="2"/>
        <v>-130.1</v>
      </c>
      <c r="L13" s="190">
        <f t="shared" si="3"/>
        <v>1446.0200000000002</v>
      </c>
      <c r="M13" s="191">
        <v>1</v>
      </c>
      <c r="N13" s="190">
        <f t="shared" si="4"/>
        <v>1446.0200000000002</v>
      </c>
      <c r="O13" s="190">
        <f>+N13*(1+'OATT Additions by Asset '!Q$11)</f>
        <v>1493.7580893558431</v>
      </c>
    </row>
    <row r="14" spans="1:15" s="25" customFormat="1" x14ac:dyDescent="0.2">
      <c r="A14" s="188" t="s">
        <v>99</v>
      </c>
      <c r="B14" s="189"/>
      <c r="C14" s="189"/>
      <c r="D14" s="189"/>
      <c r="E14" s="189"/>
      <c r="F14" s="189"/>
      <c r="G14" s="189"/>
      <c r="H14" s="189">
        <v>5221.2200000000012</v>
      </c>
      <c r="I14" s="189">
        <f t="shared" si="0"/>
        <v>5221.2200000000012</v>
      </c>
      <c r="J14" s="190">
        <f t="shared" si="1"/>
        <v>0</v>
      </c>
      <c r="K14" s="190">
        <f t="shared" si="2"/>
        <v>-2610.6100000000006</v>
      </c>
      <c r="L14" s="190">
        <f t="shared" si="3"/>
        <v>2610.6100000000006</v>
      </c>
      <c r="M14" s="191">
        <v>1</v>
      </c>
      <c r="N14" s="190">
        <f t="shared" si="4"/>
        <v>2610.6100000000006</v>
      </c>
      <c r="O14" s="190">
        <f>+N14*(1+'OATT Additions by Asset '!Q$11)</f>
        <v>2696.7952072953749</v>
      </c>
    </row>
    <row r="15" spans="1:15" s="25" customFormat="1" x14ac:dyDescent="0.2">
      <c r="A15" s="188" t="s">
        <v>98</v>
      </c>
      <c r="B15" s="189"/>
      <c r="C15" s="189"/>
      <c r="D15" s="189"/>
      <c r="E15" s="189"/>
      <c r="F15" s="189"/>
      <c r="G15" s="189"/>
      <c r="H15" s="189">
        <v>38470.23000000001</v>
      </c>
      <c r="I15" s="189">
        <f t="shared" si="0"/>
        <v>38470.23000000001</v>
      </c>
      <c r="J15" s="190">
        <f t="shared" si="1"/>
        <v>0</v>
      </c>
      <c r="K15" s="190">
        <f t="shared" si="2"/>
        <v>-19235.115000000005</v>
      </c>
      <c r="L15" s="190">
        <f t="shared" si="3"/>
        <v>19235.115000000005</v>
      </c>
      <c r="M15" s="191">
        <v>1</v>
      </c>
      <c r="N15" s="190">
        <f t="shared" ref="N15" si="5">+L15*M15</f>
        <v>19235.115000000005</v>
      </c>
      <c r="O15" s="190">
        <f>+N15*(1+'OATT Additions by Asset '!Q$11)</f>
        <v>19870.132246400412</v>
      </c>
    </row>
    <row r="16" spans="1:15" s="25" customFormat="1" x14ac:dyDescent="0.2">
      <c r="A16" s="192" t="s">
        <v>53</v>
      </c>
      <c r="B16" s="193">
        <v>232163.62800000011</v>
      </c>
      <c r="C16" s="193">
        <v>434382.94000000041</v>
      </c>
      <c r="D16" s="193">
        <v>478984.66999999969</v>
      </c>
      <c r="E16" s="193">
        <v>431498.74000000022</v>
      </c>
      <c r="F16" s="193">
        <v>689322.06000000075</v>
      </c>
      <c r="G16" s="193">
        <v>426100.96999999962</v>
      </c>
      <c r="H16" s="193">
        <v>727786.15000000061</v>
      </c>
      <c r="I16" s="193">
        <f t="shared" si="0"/>
        <v>3420239.1580000017</v>
      </c>
      <c r="J16" s="194">
        <f t="shared" si="1"/>
        <v>-116081.81400000006</v>
      </c>
      <c r="K16" s="194">
        <f t="shared" si="2"/>
        <v>-363893.0750000003</v>
      </c>
      <c r="L16" s="194">
        <f t="shared" si="3"/>
        <v>2940264.2690000013</v>
      </c>
      <c r="M16" s="195">
        <v>0.25</v>
      </c>
      <c r="N16" s="194">
        <f t="shared" si="4"/>
        <v>735066.06725000031</v>
      </c>
      <c r="O16" s="194">
        <f>+N16*(1+'OATT Additions by Asset '!Q$5)</f>
        <v>747085.63978061615</v>
      </c>
    </row>
    <row r="17" spans="1:15" s="25" customFormat="1" x14ac:dyDescent="0.2">
      <c r="A17" s="192" t="s">
        <v>50</v>
      </c>
      <c r="B17" s="193">
        <v>100953.93000000002</v>
      </c>
      <c r="C17" s="193">
        <v>189897.83999999997</v>
      </c>
      <c r="D17" s="193">
        <v>240070.89</v>
      </c>
      <c r="E17" s="193">
        <v>171401.17999999993</v>
      </c>
      <c r="F17" s="193">
        <v>156509.19999999995</v>
      </c>
      <c r="G17" s="193">
        <v>167862.05000000002</v>
      </c>
      <c r="H17" s="193">
        <v>171165.13999999996</v>
      </c>
      <c r="I17" s="193">
        <f t="shared" si="0"/>
        <v>1197860.23</v>
      </c>
      <c r="J17" s="194">
        <f t="shared" si="1"/>
        <v>-50476.965000000011</v>
      </c>
      <c r="K17" s="194">
        <f t="shared" si="2"/>
        <v>-85582.569999999978</v>
      </c>
      <c r="L17" s="194">
        <f t="shared" si="3"/>
        <v>1061800.6949999998</v>
      </c>
      <c r="M17" s="195">
        <v>0.25</v>
      </c>
      <c r="N17" s="194">
        <f t="shared" si="4"/>
        <v>265450.17374999996</v>
      </c>
      <c r="O17" s="194">
        <f>+N17*(1+'OATT Additions by Asset '!Q$5)</f>
        <v>269790.73272667703</v>
      </c>
    </row>
    <row r="18" spans="1:15" s="25" customFormat="1" x14ac:dyDescent="0.2">
      <c r="A18" s="192" t="s">
        <v>51</v>
      </c>
      <c r="B18" s="193">
        <v>24827.359999999997</v>
      </c>
      <c r="C18" s="193"/>
      <c r="D18" s="193"/>
      <c r="E18" s="193"/>
      <c r="F18" s="193"/>
      <c r="G18" s="193"/>
      <c r="H18" s="193"/>
      <c r="I18" s="193">
        <f t="shared" si="0"/>
        <v>24827.359999999997</v>
      </c>
      <c r="J18" s="194">
        <f t="shared" si="1"/>
        <v>-12413.679999999998</v>
      </c>
      <c r="K18" s="194">
        <f t="shared" si="2"/>
        <v>0</v>
      </c>
      <c r="L18" s="194">
        <f t="shared" si="3"/>
        <v>12413.679999999998</v>
      </c>
      <c r="M18" s="195">
        <v>0.25</v>
      </c>
      <c r="N18" s="194">
        <f t="shared" si="4"/>
        <v>3103.4199999999996</v>
      </c>
      <c r="O18" s="194">
        <f>+N18*(1+'OATT Additions by Asset '!Q$5)</f>
        <v>3154.1661620729083</v>
      </c>
    </row>
    <row r="19" spans="1:15" s="25" customFormat="1" x14ac:dyDescent="0.2">
      <c r="A19" s="192" t="s">
        <v>54</v>
      </c>
      <c r="B19" s="193">
        <v>55754.55</v>
      </c>
      <c r="C19" s="193">
        <v>2595</v>
      </c>
      <c r="D19" s="193"/>
      <c r="E19" s="193">
        <v>33719.360000000001</v>
      </c>
      <c r="F19" s="193"/>
      <c r="G19" s="193"/>
      <c r="H19" s="193">
        <v>167157.15000000002</v>
      </c>
      <c r="I19" s="193">
        <f t="shared" si="0"/>
        <v>259226.06000000003</v>
      </c>
      <c r="J19" s="194">
        <f t="shared" si="1"/>
        <v>-27877.275000000001</v>
      </c>
      <c r="K19" s="194">
        <f t="shared" si="2"/>
        <v>-83578.575000000012</v>
      </c>
      <c r="L19" s="194">
        <f t="shared" si="3"/>
        <v>147770.21000000002</v>
      </c>
      <c r="M19" s="195">
        <v>0.25</v>
      </c>
      <c r="N19" s="194">
        <f t="shared" si="4"/>
        <v>36942.552500000005</v>
      </c>
      <c r="O19" s="194">
        <f>+N19*(1+'OATT Additions by Asset '!Q$5)</f>
        <v>37546.625669777837</v>
      </c>
    </row>
    <row r="20" spans="1:15" s="25" customFormat="1" x14ac:dyDescent="0.2">
      <c r="A20" s="192" t="s">
        <v>55</v>
      </c>
      <c r="B20" s="193">
        <v>55067.669999999991</v>
      </c>
      <c r="C20" s="193">
        <v>0</v>
      </c>
      <c r="D20" s="193"/>
      <c r="E20" s="193"/>
      <c r="F20" s="193"/>
      <c r="G20" s="193">
        <v>258500.18</v>
      </c>
      <c r="H20" s="193">
        <v>0</v>
      </c>
      <c r="I20" s="193">
        <f t="shared" si="0"/>
        <v>313567.84999999998</v>
      </c>
      <c r="J20" s="194">
        <f t="shared" si="1"/>
        <v>-27533.834999999995</v>
      </c>
      <c r="K20" s="194">
        <f t="shared" si="2"/>
        <v>0</v>
      </c>
      <c r="L20" s="194">
        <f t="shared" si="3"/>
        <v>286034.01499999996</v>
      </c>
      <c r="M20" s="195">
        <v>0.25</v>
      </c>
      <c r="N20" s="194">
        <f t="shared" si="4"/>
        <v>71508.503749999989</v>
      </c>
      <c r="O20" s="194">
        <f>+N20*(1+'OATT Additions by Asset '!Q$5)</f>
        <v>72677.78864243759</v>
      </c>
    </row>
    <row r="21" spans="1:15" s="25" customFormat="1" x14ac:dyDescent="0.2">
      <c r="A21" s="192" t="s">
        <v>72</v>
      </c>
      <c r="B21" s="193">
        <v>77031.319999999992</v>
      </c>
      <c r="C21" s="193"/>
      <c r="D21" s="193"/>
      <c r="E21" s="193"/>
      <c r="F21" s="193"/>
      <c r="G21" s="193"/>
      <c r="H21" s="193"/>
      <c r="I21" s="193">
        <f t="shared" si="0"/>
        <v>77031.319999999992</v>
      </c>
      <c r="J21" s="194">
        <f t="shared" si="1"/>
        <v>-38515.659999999996</v>
      </c>
      <c r="K21" s="194">
        <f t="shared" si="2"/>
        <v>0</v>
      </c>
      <c r="L21" s="194">
        <f t="shared" si="3"/>
        <v>38515.659999999996</v>
      </c>
      <c r="M21" s="195">
        <v>0.25</v>
      </c>
      <c r="N21" s="194">
        <f t="shared" si="4"/>
        <v>9628.9149999999991</v>
      </c>
      <c r="O21" s="194">
        <f>+N21*(1+'OATT Additions by Asset '!Q$5)</f>
        <v>9786.3640340257698</v>
      </c>
    </row>
    <row r="22" spans="1:15" s="25" customFormat="1" x14ac:dyDescent="0.2">
      <c r="A22" s="192" t="s">
        <v>55</v>
      </c>
      <c r="B22" s="193">
        <v>134154.33000000002</v>
      </c>
      <c r="C22" s="193"/>
      <c r="D22" s="193"/>
      <c r="E22" s="193"/>
      <c r="F22" s="193"/>
      <c r="G22" s="193"/>
      <c r="H22" s="193"/>
      <c r="I22" s="193">
        <f t="shared" si="0"/>
        <v>134154.33000000002</v>
      </c>
      <c r="J22" s="194">
        <f t="shared" si="1"/>
        <v>-67077.165000000008</v>
      </c>
      <c r="K22" s="194">
        <f t="shared" si="2"/>
        <v>0</v>
      </c>
      <c r="L22" s="194">
        <f t="shared" si="3"/>
        <v>67077.165000000008</v>
      </c>
      <c r="M22" s="195">
        <v>0.25</v>
      </c>
      <c r="N22" s="194">
        <f t="shared" si="4"/>
        <v>16769.291250000002</v>
      </c>
      <c r="O22" s="194">
        <f>+N22*(1+'OATT Additions by Asset '!Q$5)</f>
        <v>17043.497503623523</v>
      </c>
    </row>
    <row r="23" spans="1:15" s="25" customFormat="1" x14ac:dyDescent="0.2">
      <c r="A23" s="188" t="s">
        <v>56</v>
      </c>
      <c r="B23" s="189">
        <v>43002.160000000076</v>
      </c>
      <c r="C23" s="189">
        <v>22574.26</v>
      </c>
      <c r="D23" s="189">
        <v>42792.52999999997</v>
      </c>
      <c r="E23" s="189">
        <v>22250.070000000003</v>
      </c>
      <c r="F23" s="189">
        <v>14445.980000000003</v>
      </c>
      <c r="G23" s="189">
        <v>27977.339999999975</v>
      </c>
      <c r="H23" s="189">
        <v>38902.530000000079</v>
      </c>
      <c r="I23" s="189">
        <f t="shared" si="0"/>
        <v>211944.87000000011</v>
      </c>
      <c r="J23" s="190">
        <f t="shared" si="1"/>
        <v>-21501.080000000038</v>
      </c>
      <c r="K23" s="190">
        <f t="shared" si="2"/>
        <v>-19451.265000000039</v>
      </c>
      <c r="L23" s="190">
        <f t="shared" si="3"/>
        <v>170992.52500000002</v>
      </c>
      <c r="M23" s="191">
        <v>0.53</v>
      </c>
      <c r="N23" s="190">
        <f t="shared" si="4"/>
        <v>90626.038250000012</v>
      </c>
      <c r="O23" s="190">
        <f>+N23*(1+'OATT Additions by Asset '!Q$7)</f>
        <v>93740.508739171084</v>
      </c>
    </row>
    <row r="24" spans="1:15" s="25" customFormat="1" x14ac:dyDescent="0.2">
      <c r="A24" s="188" t="s">
        <v>15</v>
      </c>
      <c r="B24" s="189">
        <v>790</v>
      </c>
      <c r="C24" s="189"/>
      <c r="D24" s="189"/>
      <c r="E24" s="189"/>
      <c r="F24" s="189"/>
      <c r="G24" s="189"/>
      <c r="H24" s="189"/>
      <c r="I24" s="189">
        <f t="shared" si="0"/>
        <v>790</v>
      </c>
      <c r="J24" s="190">
        <f t="shared" si="1"/>
        <v>-395</v>
      </c>
      <c r="K24" s="190">
        <f t="shared" si="2"/>
        <v>0</v>
      </c>
      <c r="L24" s="190">
        <f t="shared" si="3"/>
        <v>395</v>
      </c>
      <c r="M24" s="191">
        <v>0.53</v>
      </c>
      <c r="N24" s="190">
        <f t="shared" si="4"/>
        <v>209.35000000000002</v>
      </c>
      <c r="O24" s="190">
        <f>+N24*(1+'OATT Additions by Asset '!Q$7)</f>
        <v>216.54455919621384</v>
      </c>
    </row>
    <row r="25" spans="1:15" s="25" customFormat="1" x14ac:dyDescent="0.2">
      <c r="A25" s="188" t="s">
        <v>60</v>
      </c>
      <c r="B25" s="189">
        <v>26359.86</v>
      </c>
      <c r="C25" s="189">
        <v>42683.75</v>
      </c>
      <c r="D25" s="189">
        <v>13432.810000000001</v>
      </c>
      <c r="E25" s="189">
        <v>28056.98</v>
      </c>
      <c r="F25" s="189">
        <v>39224.910000000003</v>
      </c>
      <c r="G25" s="189"/>
      <c r="H25" s="189"/>
      <c r="I25" s="189">
        <f t="shared" si="0"/>
        <v>149758.31</v>
      </c>
      <c r="J25" s="190">
        <f t="shared" si="1"/>
        <v>-13179.93</v>
      </c>
      <c r="K25" s="190">
        <f t="shared" si="2"/>
        <v>0</v>
      </c>
      <c r="L25" s="190">
        <f t="shared" si="3"/>
        <v>136578.38</v>
      </c>
      <c r="M25" s="191">
        <v>0.53</v>
      </c>
      <c r="N25" s="190">
        <f t="shared" si="4"/>
        <v>72386.541400000002</v>
      </c>
      <c r="O25" s="190">
        <f>+N25*(1+'OATT Additions by Asset '!Q$7)</f>
        <v>74874.190108437935</v>
      </c>
    </row>
    <row r="26" spans="1:15" s="25" customFormat="1" x14ac:dyDescent="0.2">
      <c r="A26" s="188" t="s">
        <v>73</v>
      </c>
      <c r="B26" s="189">
        <v>499065.37</v>
      </c>
      <c r="C26" s="189">
        <v>2665</v>
      </c>
      <c r="D26" s="189"/>
      <c r="E26" s="189"/>
      <c r="F26" s="189"/>
      <c r="G26" s="189"/>
      <c r="H26" s="189"/>
      <c r="I26" s="189">
        <f t="shared" si="0"/>
        <v>501730.37</v>
      </c>
      <c r="J26" s="190">
        <f t="shared" si="1"/>
        <v>-249532.685</v>
      </c>
      <c r="K26" s="190">
        <f t="shared" si="2"/>
        <v>0</v>
      </c>
      <c r="L26" s="190">
        <f t="shared" si="3"/>
        <v>252197.685</v>
      </c>
      <c r="M26" s="191">
        <v>0.53</v>
      </c>
      <c r="N26" s="190">
        <f t="shared" si="4"/>
        <v>133664.77305000002</v>
      </c>
      <c r="O26" s="190">
        <f>+N26*(1+'OATT Additions by Asset '!Q$7)</f>
        <v>138258.32032564707</v>
      </c>
    </row>
    <row r="27" spans="1:15" s="25" customFormat="1" x14ac:dyDescent="0.2">
      <c r="A27" s="188" t="s">
        <v>58</v>
      </c>
      <c r="B27" s="189">
        <v>158209.94999999992</v>
      </c>
      <c r="C27" s="189"/>
      <c r="D27" s="189"/>
      <c r="E27" s="189"/>
      <c r="F27" s="189"/>
      <c r="G27" s="189"/>
      <c r="H27" s="189"/>
      <c r="I27" s="189">
        <f t="shared" si="0"/>
        <v>158209.94999999992</v>
      </c>
      <c r="J27" s="190">
        <f t="shared" si="1"/>
        <v>-79104.974999999962</v>
      </c>
      <c r="K27" s="190">
        <f t="shared" si="2"/>
        <v>0</v>
      </c>
      <c r="L27" s="190">
        <f t="shared" si="3"/>
        <v>79104.974999999962</v>
      </c>
      <c r="M27" s="191">
        <v>0.53</v>
      </c>
      <c r="N27" s="190">
        <f t="shared" si="4"/>
        <v>41925.636749999983</v>
      </c>
      <c r="O27" s="190">
        <f>+N27*(1+'OATT Additions by Asset '!Q$7)</f>
        <v>43366.460611651913</v>
      </c>
    </row>
    <row r="28" spans="1:15" s="25" customFormat="1" x14ac:dyDescent="0.2">
      <c r="A28" s="196" t="s">
        <v>59</v>
      </c>
      <c r="B28" s="197">
        <v>444727.97000000003</v>
      </c>
      <c r="C28" s="197">
        <v>600274.68000000028</v>
      </c>
      <c r="D28" s="197">
        <v>452497.60000000003</v>
      </c>
      <c r="E28" s="197">
        <v>573063.07999999996</v>
      </c>
      <c r="F28" s="197">
        <v>458461.99999999994</v>
      </c>
      <c r="G28" s="197"/>
      <c r="H28" s="197"/>
      <c r="I28" s="197">
        <f t="shared" si="0"/>
        <v>2529025.3300000005</v>
      </c>
      <c r="J28" s="198">
        <f t="shared" si="1"/>
        <v>-222363.98500000002</v>
      </c>
      <c r="K28" s="198">
        <f t="shared" si="2"/>
        <v>0</v>
      </c>
      <c r="L28" s="198">
        <f t="shared" si="3"/>
        <v>2306661.3450000007</v>
      </c>
      <c r="M28" s="199">
        <v>0.53</v>
      </c>
      <c r="N28" s="198">
        <f t="shared" si="4"/>
        <v>1222530.5128500005</v>
      </c>
      <c r="O28" s="198">
        <f>+N28*(1+'OATT Additions by Asset '!Q$7)</f>
        <v>1264544.2130834707</v>
      </c>
    </row>
    <row r="29" spans="1:15" s="25" customFormat="1" x14ac:dyDescent="0.2">
      <c r="A29" s="188" t="s">
        <v>57</v>
      </c>
      <c r="B29" s="189">
        <v>889884.25000000012</v>
      </c>
      <c r="C29" s="189">
        <v>2915.2999999999997</v>
      </c>
      <c r="D29" s="189">
        <v>0</v>
      </c>
      <c r="E29" s="189"/>
      <c r="F29" s="189"/>
      <c r="G29" s="189"/>
      <c r="H29" s="189"/>
      <c r="I29" s="189">
        <f t="shared" si="0"/>
        <v>892799.55000000016</v>
      </c>
      <c r="J29" s="190">
        <f t="shared" si="1"/>
        <v>-444942.12500000006</v>
      </c>
      <c r="K29" s="190">
        <f t="shared" si="2"/>
        <v>0</v>
      </c>
      <c r="L29" s="190">
        <f t="shared" si="3"/>
        <v>447857.4250000001</v>
      </c>
      <c r="M29" s="191">
        <v>0.53</v>
      </c>
      <c r="N29" s="190">
        <f t="shared" si="4"/>
        <v>237364.43525000007</v>
      </c>
      <c r="O29" s="190">
        <f>+N29*(1+'OATT Additions by Asset '!Q$7)</f>
        <v>245521.74349209218</v>
      </c>
    </row>
    <row r="30" spans="1:15" s="25" customFormat="1" x14ac:dyDescent="0.2">
      <c r="A30" s="188" t="s">
        <v>61</v>
      </c>
      <c r="B30" s="189">
        <v>27251.43</v>
      </c>
      <c r="C30" s="189"/>
      <c r="D30" s="189"/>
      <c r="E30" s="189"/>
      <c r="F30" s="189"/>
      <c r="G30" s="189"/>
      <c r="H30" s="189"/>
      <c r="I30" s="189">
        <f t="shared" si="0"/>
        <v>27251.43</v>
      </c>
      <c r="J30" s="190">
        <f t="shared" si="1"/>
        <v>-13625.715</v>
      </c>
      <c r="K30" s="190">
        <f t="shared" si="2"/>
        <v>0</v>
      </c>
      <c r="L30" s="190">
        <f t="shared" si="3"/>
        <v>13625.715</v>
      </c>
      <c r="M30" s="191">
        <v>0.53</v>
      </c>
      <c r="N30" s="190">
        <f t="shared" si="4"/>
        <v>7221.6289500000003</v>
      </c>
      <c r="O30" s="190">
        <f>+N30*(1+'OATT Additions by Asset '!Q$7)</f>
        <v>7469.8087301474397</v>
      </c>
    </row>
    <row r="31" spans="1:15" s="25" customFormat="1" x14ac:dyDescent="0.2">
      <c r="A31" s="188" t="s">
        <v>75</v>
      </c>
      <c r="B31" s="189"/>
      <c r="C31" s="189">
        <v>98319.979999999981</v>
      </c>
      <c r="D31" s="189">
        <v>629771.27999999945</v>
      </c>
      <c r="E31" s="189"/>
      <c r="F31" s="189"/>
      <c r="G31" s="189"/>
      <c r="H31" s="189"/>
      <c r="I31" s="189">
        <f t="shared" si="0"/>
        <v>728091.25999999943</v>
      </c>
      <c r="J31" s="190">
        <f t="shared" si="1"/>
        <v>0</v>
      </c>
      <c r="K31" s="190">
        <f t="shared" si="2"/>
        <v>0</v>
      </c>
      <c r="L31" s="190">
        <f t="shared" si="3"/>
        <v>728091.25999999943</v>
      </c>
      <c r="M31" s="191">
        <v>0.53</v>
      </c>
      <c r="N31" s="190">
        <f t="shared" si="4"/>
        <v>385888.36779999972</v>
      </c>
      <c r="O31" s="190">
        <f>+N31*(1+'OATT Additions by Asset '!Q$7)</f>
        <v>399149.87582611589</v>
      </c>
    </row>
    <row r="32" spans="1:15" s="25" customFormat="1" x14ac:dyDescent="0.2">
      <c r="A32" s="188" t="s">
        <v>76</v>
      </c>
      <c r="B32" s="189"/>
      <c r="C32" s="189">
        <v>493164.64999999997</v>
      </c>
      <c r="D32" s="189">
        <v>1304104.1500000001</v>
      </c>
      <c r="E32" s="189"/>
      <c r="F32" s="189"/>
      <c r="G32" s="189"/>
      <c r="H32" s="189"/>
      <c r="I32" s="189">
        <f t="shared" si="0"/>
        <v>1797268.8</v>
      </c>
      <c r="J32" s="190">
        <f t="shared" si="1"/>
        <v>0</v>
      </c>
      <c r="K32" s="190">
        <f t="shared" si="2"/>
        <v>0</v>
      </c>
      <c r="L32" s="190">
        <f t="shared" si="3"/>
        <v>1797268.8</v>
      </c>
      <c r="M32" s="191">
        <v>0.53</v>
      </c>
      <c r="N32" s="190">
        <f t="shared" si="4"/>
        <v>952552.46400000004</v>
      </c>
      <c r="O32" s="190">
        <f>+N32*(1+'OATT Additions by Asset '!Q$7)</f>
        <v>985288.05076736247</v>
      </c>
    </row>
    <row r="33" spans="1:15" s="25" customFormat="1" x14ac:dyDescent="0.2">
      <c r="A33" s="188" t="s">
        <v>13</v>
      </c>
      <c r="B33" s="189"/>
      <c r="C33" s="189"/>
      <c r="D33" s="189">
        <v>114790</v>
      </c>
      <c r="E33" s="189">
        <v>490517.26</v>
      </c>
      <c r="F33" s="189"/>
      <c r="G33" s="189"/>
      <c r="H33" s="189"/>
      <c r="I33" s="189">
        <f t="shared" si="0"/>
        <v>605307.26</v>
      </c>
      <c r="J33" s="190">
        <f t="shared" si="1"/>
        <v>0</v>
      </c>
      <c r="K33" s="190">
        <f t="shared" si="2"/>
        <v>0</v>
      </c>
      <c r="L33" s="190">
        <f t="shared" si="3"/>
        <v>605307.26</v>
      </c>
      <c r="M33" s="191">
        <v>0.53</v>
      </c>
      <c r="N33" s="190">
        <f t="shared" si="4"/>
        <v>320812.84780000005</v>
      </c>
      <c r="O33" s="190">
        <f>+N33*(1+'OATT Additions by Asset '!Q$7)</f>
        <v>331837.95897460257</v>
      </c>
    </row>
    <row r="34" spans="1:15" s="25" customFormat="1" x14ac:dyDescent="0.2">
      <c r="A34" s="188" t="s">
        <v>14</v>
      </c>
      <c r="B34" s="189"/>
      <c r="C34" s="189"/>
      <c r="D34" s="189">
        <v>5608.25</v>
      </c>
      <c r="E34" s="189">
        <v>784731.79</v>
      </c>
      <c r="F34" s="189">
        <v>0</v>
      </c>
      <c r="G34" s="189"/>
      <c r="H34" s="189"/>
      <c r="I34" s="189">
        <f t="shared" si="0"/>
        <v>790340.04</v>
      </c>
      <c r="J34" s="190">
        <f t="shared" si="1"/>
        <v>0</v>
      </c>
      <c r="K34" s="190">
        <f t="shared" si="2"/>
        <v>0</v>
      </c>
      <c r="L34" s="190">
        <f t="shared" si="3"/>
        <v>790340.04</v>
      </c>
      <c r="M34" s="191">
        <v>0.53</v>
      </c>
      <c r="N34" s="190">
        <f t="shared" si="4"/>
        <v>418880.22120000003</v>
      </c>
      <c r="O34" s="190">
        <f>+N34*(1+'OATT Additions by Asset '!Q$7)</f>
        <v>433275.53310612153</v>
      </c>
    </row>
    <row r="35" spans="1:15" s="25" customFormat="1" x14ac:dyDescent="0.2">
      <c r="A35" s="188" t="s">
        <v>15</v>
      </c>
      <c r="B35" s="189"/>
      <c r="C35" s="189"/>
      <c r="D35" s="189">
        <v>1503.63</v>
      </c>
      <c r="E35" s="189"/>
      <c r="F35" s="189"/>
      <c r="G35" s="189">
        <v>64111.64</v>
      </c>
      <c r="H35" s="189"/>
      <c r="I35" s="189">
        <f t="shared" si="0"/>
        <v>65615.27</v>
      </c>
      <c r="J35" s="190">
        <f t="shared" si="1"/>
        <v>0</v>
      </c>
      <c r="K35" s="190">
        <f t="shared" si="2"/>
        <v>0</v>
      </c>
      <c r="L35" s="190">
        <f t="shared" si="3"/>
        <v>65615.27</v>
      </c>
      <c r="M35" s="191">
        <v>0.53</v>
      </c>
      <c r="N35" s="190">
        <f t="shared" si="4"/>
        <v>34776.093100000006</v>
      </c>
      <c r="O35" s="190">
        <f>+N35*(1+'OATT Additions by Asset '!Q$7)</f>
        <v>35971.214477697606</v>
      </c>
    </row>
    <row r="36" spans="1:15" s="25" customFormat="1" x14ac:dyDescent="0.2">
      <c r="A36" s="200" t="s">
        <v>16</v>
      </c>
      <c r="B36" s="201"/>
      <c r="C36" s="201"/>
      <c r="D36" s="201">
        <v>303490.57999999996</v>
      </c>
      <c r="E36" s="201">
        <v>737791.89999999991</v>
      </c>
      <c r="F36" s="201">
        <v>609840.40000000037</v>
      </c>
      <c r="G36" s="201"/>
      <c r="H36" s="201"/>
      <c r="I36" s="201">
        <f t="shared" si="0"/>
        <v>1651122.8800000004</v>
      </c>
      <c r="J36" s="202">
        <f t="shared" si="1"/>
        <v>0</v>
      </c>
      <c r="K36" s="202">
        <f t="shared" si="2"/>
        <v>0</v>
      </c>
      <c r="L36" s="202">
        <f t="shared" si="3"/>
        <v>1651122.8800000004</v>
      </c>
      <c r="M36" s="203">
        <v>0.53</v>
      </c>
      <c r="N36" s="202">
        <f t="shared" si="4"/>
        <v>875095.12640000018</v>
      </c>
      <c r="O36" s="202">
        <f>+N36*(1+'OATT Additions by Asset '!Q$7)</f>
        <v>905168.80057818512</v>
      </c>
    </row>
    <row r="37" spans="1:15" s="25" customFormat="1" x14ac:dyDescent="0.2">
      <c r="A37" s="188" t="s">
        <v>17</v>
      </c>
      <c r="B37" s="189"/>
      <c r="C37" s="189"/>
      <c r="D37" s="189"/>
      <c r="E37" s="189"/>
      <c r="F37" s="189">
        <v>1227960.0699999998</v>
      </c>
      <c r="G37" s="189">
        <v>109671.60999999999</v>
      </c>
      <c r="H37" s="189"/>
      <c r="I37" s="189">
        <f t="shared" si="0"/>
        <v>1337631.6799999997</v>
      </c>
      <c r="J37" s="190">
        <f t="shared" si="1"/>
        <v>0</v>
      </c>
      <c r="K37" s="190">
        <f t="shared" si="2"/>
        <v>0</v>
      </c>
      <c r="L37" s="190">
        <f t="shared" si="3"/>
        <v>1337631.6799999997</v>
      </c>
      <c r="M37" s="191">
        <v>0.53</v>
      </c>
      <c r="N37" s="190">
        <f t="shared" si="4"/>
        <v>708944.79039999982</v>
      </c>
      <c r="O37" s="190">
        <f>+N37*(1+'OATT Additions by Asset '!Q$7)</f>
        <v>733308.51268985029</v>
      </c>
    </row>
    <row r="38" spans="1:15" s="25" customFormat="1" x14ac:dyDescent="0.2">
      <c r="A38" s="188" t="s">
        <v>18</v>
      </c>
      <c r="B38" s="189"/>
      <c r="C38" s="189"/>
      <c r="D38" s="189"/>
      <c r="E38" s="189">
        <v>425908.99</v>
      </c>
      <c r="F38" s="189">
        <v>655582.12999999966</v>
      </c>
      <c r="G38" s="189"/>
      <c r="H38" s="189"/>
      <c r="I38" s="189">
        <f t="shared" si="0"/>
        <v>1081491.1199999996</v>
      </c>
      <c r="J38" s="190">
        <f t="shared" si="1"/>
        <v>0</v>
      </c>
      <c r="K38" s="190">
        <f t="shared" si="2"/>
        <v>0</v>
      </c>
      <c r="L38" s="190">
        <f t="shared" si="3"/>
        <v>1081491.1199999996</v>
      </c>
      <c r="M38" s="191">
        <v>0.53</v>
      </c>
      <c r="N38" s="190">
        <f t="shared" si="4"/>
        <v>573190.29359999986</v>
      </c>
      <c r="O38" s="190">
        <f>+N38*(1+'OATT Additions by Asset '!Q$7)</f>
        <v>592888.65279751772</v>
      </c>
    </row>
    <row r="39" spans="1:15" s="25" customFormat="1" x14ac:dyDescent="0.2">
      <c r="A39" s="188" t="s">
        <v>19</v>
      </c>
      <c r="B39" s="189"/>
      <c r="C39" s="189"/>
      <c r="D39" s="189"/>
      <c r="E39" s="189">
        <v>861769.66999999981</v>
      </c>
      <c r="F39" s="189">
        <v>107718.87</v>
      </c>
      <c r="G39" s="189"/>
      <c r="H39" s="189"/>
      <c r="I39" s="189">
        <f t="shared" si="0"/>
        <v>969488.5399999998</v>
      </c>
      <c r="J39" s="190">
        <f t="shared" si="1"/>
        <v>0</v>
      </c>
      <c r="K39" s="190">
        <f t="shared" si="2"/>
        <v>0</v>
      </c>
      <c r="L39" s="190">
        <f t="shared" si="3"/>
        <v>969488.5399999998</v>
      </c>
      <c r="M39" s="191">
        <v>0.53</v>
      </c>
      <c r="N39" s="190">
        <f t="shared" si="4"/>
        <v>513828.92619999993</v>
      </c>
      <c r="O39" s="190">
        <f>+N39*(1+'OATT Additions by Asset '!Q$7)</f>
        <v>531487.26212678698</v>
      </c>
    </row>
    <row r="40" spans="1:15" s="25" customFormat="1" x14ac:dyDescent="0.2">
      <c r="A40" s="188" t="s">
        <v>27</v>
      </c>
      <c r="B40" s="189"/>
      <c r="C40" s="189"/>
      <c r="D40" s="189"/>
      <c r="E40" s="189"/>
      <c r="F40" s="189">
        <v>342403.73000000004</v>
      </c>
      <c r="G40" s="189">
        <v>477608.15</v>
      </c>
      <c r="H40" s="189"/>
      <c r="I40" s="189">
        <f t="shared" si="0"/>
        <v>820011.88000000012</v>
      </c>
      <c r="J40" s="190">
        <f t="shared" si="1"/>
        <v>0</v>
      </c>
      <c r="K40" s="190">
        <f t="shared" si="2"/>
        <v>0</v>
      </c>
      <c r="L40" s="190">
        <f t="shared" si="3"/>
        <v>820011.88000000012</v>
      </c>
      <c r="M40" s="191">
        <v>0.53</v>
      </c>
      <c r="N40" s="190">
        <f t="shared" si="4"/>
        <v>434606.29640000011</v>
      </c>
      <c r="O40" s="190">
        <f>+N40*(1+'OATT Additions by Asset '!Q$7)</f>
        <v>449542.05339305982</v>
      </c>
    </row>
    <row r="41" spans="1:15" s="25" customFormat="1" x14ac:dyDescent="0.2">
      <c r="A41" s="188" t="s">
        <v>28</v>
      </c>
      <c r="B41" s="189"/>
      <c r="C41" s="189"/>
      <c r="D41" s="189"/>
      <c r="E41" s="189"/>
      <c r="F41" s="189">
        <v>149583.12</v>
      </c>
      <c r="G41" s="189"/>
      <c r="H41" s="189"/>
      <c r="I41" s="189">
        <f t="shared" si="0"/>
        <v>149583.12</v>
      </c>
      <c r="J41" s="190">
        <f t="shared" si="1"/>
        <v>0</v>
      </c>
      <c r="K41" s="190">
        <f t="shared" si="2"/>
        <v>0</v>
      </c>
      <c r="L41" s="190">
        <f t="shared" si="3"/>
        <v>149583.12</v>
      </c>
      <c r="M41" s="191">
        <v>0.53</v>
      </c>
      <c r="N41" s="190">
        <f t="shared" si="4"/>
        <v>79279.053599999999</v>
      </c>
      <c r="O41" s="190">
        <f>+N41*(1+'OATT Additions by Asset '!Q$7)</f>
        <v>82003.571604036333</v>
      </c>
    </row>
    <row r="42" spans="1:15" s="25" customFormat="1" x14ac:dyDescent="0.2">
      <c r="A42" s="188" t="s">
        <v>29</v>
      </c>
      <c r="B42" s="189"/>
      <c r="C42" s="189"/>
      <c r="D42" s="189"/>
      <c r="E42" s="189"/>
      <c r="F42" s="189">
        <v>3417.16</v>
      </c>
      <c r="G42" s="189">
        <v>115818.05</v>
      </c>
      <c r="H42" s="189">
        <v>0</v>
      </c>
      <c r="I42" s="189">
        <f t="shared" si="0"/>
        <v>119235.21</v>
      </c>
      <c r="J42" s="190">
        <f t="shared" si="1"/>
        <v>0</v>
      </c>
      <c r="K42" s="190">
        <f t="shared" si="2"/>
        <v>0</v>
      </c>
      <c r="L42" s="190">
        <f t="shared" si="3"/>
        <v>119235.21</v>
      </c>
      <c r="M42" s="191">
        <v>0.53</v>
      </c>
      <c r="N42" s="190">
        <f t="shared" si="4"/>
        <v>63194.661300000007</v>
      </c>
      <c r="O42" s="190">
        <f>+N42*(1+'OATT Additions by Asset '!Q$7)</f>
        <v>65366.420228146802</v>
      </c>
    </row>
    <row r="43" spans="1:15" s="25" customFormat="1" x14ac:dyDescent="0.2">
      <c r="A43" s="188" t="s">
        <v>30</v>
      </c>
      <c r="B43" s="189"/>
      <c r="C43" s="189"/>
      <c r="D43" s="189"/>
      <c r="E43" s="189"/>
      <c r="F43" s="189">
        <v>123904.9</v>
      </c>
      <c r="G43" s="189"/>
      <c r="H43" s="189"/>
      <c r="I43" s="189">
        <f t="shared" si="0"/>
        <v>123904.9</v>
      </c>
      <c r="J43" s="190">
        <f t="shared" si="1"/>
        <v>0</v>
      </c>
      <c r="K43" s="190">
        <f t="shared" si="2"/>
        <v>0</v>
      </c>
      <c r="L43" s="190">
        <f t="shared" si="3"/>
        <v>123904.9</v>
      </c>
      <c r="M43" s="191">
        <v>0.53</v>
      </c>
      <c r="N43" s="190">
        <f t="shared" si="4"/>
        <v>65669.596999999994</v>
      </c>
      <c r="O43" s="190">
        <f>+N43*(1+'OATT Additions by Asset '!Q$7)</f>
        <v>67926.410006964434</v>
      </c>
    </row>
    <row r="44" spans="1:15" s="25" customFormat="1" x14ac:dyDescent="0.2">
      <c r="A44" s="188" t="s">
        <v>32</v>
      </c>
      <c r="B44" s="189"/>
      <c r="C44" s="189"/>
      <c r="D44" s="189"/>
      <c r="E44" s="189"/>
      <c r="F44" s="189"/>
      <c r="G44" s="189">
        <v>996836.89999999991</v>
      </c>
      <c r="H44" s="189">
        <v>0</v>
      </c>
      <c r="I44" s="189">
        <f t="shared" si="0"/>
        <v>996836.89999999991</v>
      </c>
      <c r="J44" s="190">
        <f t="shared" si="1"/>
        <v>0</v>
      </c>
      <c r="K44" s="190">
        <f t="shared" si="2"/>
        <v>0</v>
      </c>
      <c r="L44" s="190">
        <f t="shared" si="3"/>
        <v>996836.89999999991</v>
      </c>
      <c r="M44" s="191">
        <v>0.53</v>
      </c>
      <c r="N44" s="190">
        <f t="shared" si="4"/>
        <v>528323.55700000003</v>
      </c>
      <c r="O44" s="190">
        <f>+N44*(1+'OATT Additions by Asset '!Q$7)</f>
        <v>546480.01797726657</v>
      </c>
    </row>
    <row r="45" spans="1:15" s="25" customFormat="1" x14ac:dyDescent="0.2">
      <c r="A45" s="204" t="s">
        <v>33</v>
      </c>
      <c r="B45" s="205"/>
      <c r="C45" s="205"/>
      <c r="D45" s="205"/>
      <c r="E45" s="205"/>
      <c r="F45" s="205"/>
      <c r="G45" s="205">
        <v>684042.45</v>
      </c>
      <c r="H45" s="205">
        <v>237088.06</v>
      </c>
      <c r="I45" s="205">
        <f t="shared" si="0"/>
        <v>921130.51</v>
      </c>
      <c r="J45" s="206">
        <f t="shared" si="1"/>
        <v>0</v>
      </c>
      <c r="K45" s="206">
        <f t="shared" si="2"/>
        <v>-118544.03</v>
      </c>
      <c r="L45" s="206">
        <f t="shared" si="3"/>
        <v>802586.48</v>
      </c>
      <c r="M45" s="207">
        <v>0.53</v>
      </c>
      <c r="N45" s="206">
        <f t="shared" si="4"/>
        <v>425370.83439999999</v>
      </c>
      <c r="O45" s="206">
        <f>+N45*(1+'OATT Additions by Asset '!Q$7)</f>
        <v>439989.20386947057</v>
      </c>
    </row>
    <row r="46" spans="1:15" s="25" customFormat="1" x14ac:dyDescent="0.2">
      <c r="A46" s="188" t="s">
        <v>34</v>
      </c>
      <c r="B46" s="189"/>
      <c r="C46" s="189"/>
      <c r="D46" s="189"/>
      <c r="E46" s="189"/>
      <c r="F46" s="189"/>
      <c r="G46" s="189">
        <v>54868.990000000005</v>
      </c>
      <c r="H46" s="189">
        <v>202381.7</v>
      </c>
      <c r="I46" s="189">
        <f t="shared" si="0"/>
        <v>257250.69</v>
      </c>
      <c r="J46" s="190">
        <f t="shared" si="1"/>
        <v>0</v>
      </c>
      <c r="K46" s="190">
        <f t="shared" si="2"/>
        <v>-101190.85</v>
      </c>
      <c r="L46" s="190">
        <f t="shared" si="3"/>
        <v>156059.84</v>
      </c>
      <c r="M46" s="191">
        <v>0.53</v>
      </c>
      <c r="N46" s="190">
        <f t="shared" si="4"/>
        <v>82711.715200000006</v>
      </c>
      <c r="O46" s="190">
        <f>+N46*(1+'OATT Additions by Asset '!Q$7)</f>
        <v>85554.200660839648</v>
      </c>
    </row>
    <row r="47" spans="1:15" s="25" customFormat="1" x14ac:dyDescent="0.2">
      <c r="A47" s="208" t="s">
        <v>35</v>
      </c>
      <c r="B47" s="209"/>
      <c r="C47" s="209"/>
      <c r="D47" s="209"/>
      <c r="E47" s="209"/>
      <c r="F47" s="209"/>
      <c r="G47" s="209">
        <v>3524350.3400000008</v>
      </c>
      <c r="H47" s="209">
        <v>0</v>
      </c>
      <c r="I47" s="209">
        <f t="shared" si="0"/>
        <v>3524350.3400000008</v>
      </c>
      <c r="J47" s="210">
        <f t="shared" si="1"/>
        <v>0</v>
      </c>
      <c r="K47" s="210">
        <f t="shared" si="2"/>
        <v>0</v>
      </c>
      <c r="L47" s="210">
        <f t="shared" si="3"/>
        <v>3524350.3400000008</v>
      </c>
      <c r="M47" s="211">
        <v>0.53</v>
      </c>
      <c r="N47" s="210">
        <f t="shared" si="4"/>
        <v>1867905.6802000005</v>
      </c>
      <c r="O47" s="210">
        <f>+N47*(1+'OATT Additions by Asset '!Q$7)</f>
        <v>1932098.4577932316</v>
      </c>
    </row>
    <row r="48" spans="1:15" s="25" customFormat="1" x14ac:dyDescent="0.2">
      <c r="A48" s="188" t="s">
        <v>36</v>
      </c>
      <c r="B48" s="189"/>
      <c r="C48" s="189"/>
      <c r="D48" s="189"/>
      <c r="E48" s="189"/>
      <c r="F48" s="189"/>
      <c r="G48" s="189">
        <v>133379.70000000001</v>
      </c>
      <c r="H48" s="189">
        <v>139566.58000000002</v>
      </c>
      <c r="I48" s="189">
        <f t="shared" si="0"/>
        <v>272946.28000000003</v>
      </c>
      <c r="J48" s="190">
        <f t="shared" si="1"/>
        <v>0</v>
      </c>
      <c r="K48" s="190">
        <f t="shared" si="2"/>
        <v>-69783.290000000008</v>
      </c>
      <c r="L48" s="190">
        <f t="shared" si="3"/>
        <v>203162.99000000002</v>
      </c>
      <c r="M48" s="191">
        <v>0.53</v>
      </c>
      <c r="N48" s="190">
        <f t="shared" si="4"/>
        <v>107676.38470000001</v>
      </c>
      <c r="O48" s="190">
        <f>+N48*(1+'OATT Additions by Asset '!Q$7)</f>
        <v>111376.8104165438</v>
      </c>
    </row>
    <row r="49" spans="1:15" s="25" customFormat="1" x14ac:dyDescent="0.2">
      <c r="A49" s="188" t="s">
        <v>38</v>
      </c>
      <c r="B49" s="189"/>
      <c r="C49" s="189"/>
      <c r="D49" s="189"/>
      <c r="E49" s="189"/>
      <c r="F49" s="189"/>
      <c r="G49" s="189"/>
      <c r="H49" s="189">
        <v>2568268.5000000005</v>
      </c>
      <c r="I49" s="189">
        <f t="shared" si="0"/>
        <v>2568268.5000000005</v>
      </c>
      <c r="J49" s="190">
        <f t="shared" si="1"/>
        <v>0</v>
      </c>
      <c r="K49" s="190">
        <f t="shared" si="2"/>
        <v>-1284134.2500000002</v>
      </c>
      <c r="L49" s="190">
        <f t="shared" si="3"/>
        <v>1284134.2500000002</v>
      </c>
      <c r="M49" s="191">
        <v>0.53</v>
      </c>
      <c r="N49" s="190">
        <f t="shared" si="4"/>
        <v>680591.1525000002</v>
      </c>
      <c r="O49" s="190">
        <f>+N49*(1+'OATT Additions by Asset '!Q$7)</f>
        <v>703980.46864559676</v>
      </c>
    </row>
    <row r="50" spans="1:15" s="25" customFormat="1" x14ac:dyDescent="0.2">
      <c r="A50" s="188" t="s">
        <v>39</v>
      </c>
      <c r="B50" s="189"/>
      <c r="C50" s="189"/>
      <c r="D50" s="189"/>
      <c r="E50" s="189"/>
      <c r="F50" s="189"/>
      <c r="G50" s="189"/>
      <c r="H50" s="189">
        <v>81872.140000000014</v>
      </c>
      <c r="I50" s="189">
        <f t="shared" si="0"/>
        <v>81872.140000000014</v>
      </c>
      <c r="J50" s="190">
        <f t="shared" si="1"/>
        <v>0</v>
      </c>
      <c r="K50" s="190">
        <f t="shared" si="2"/>
        <v>-40936.070000000007</v>
      </c>
      <c r="L50" s="190">
        <f t="shared" si="3"/>
        <v>40936.070000000007</v>
      </c>
      <c r="M50" s="191">
        <v>0.53</v>
      </c>
      <c r="N50" s="190">
        <f t="shared" si="4"/>
        <v>21696.117100000003</v>
      </c>
      <c r="O50" s="190">
        <f>+N50*(1+'OATT Additions by Asset '!Q$7)</f>
        <v>22441.72970474773</v>
      </c>
    </row>
    <row r="51" spans="1:15" s="25" customFormat="1" x14ac:dyDescent="0.2">
      <c r="A51" s="188" t="s">
        <v>40</v>
      </c>
      <c r="B51" s="189"/>
      <c r="C51" s="189"/>
      <c r="D51" s="189"/>
      <c r="E51" s="189"/>
      <c r="F51" s="189"/>
      <c r="G51" s="189"/>
      <c r="H51" s="189">
        <v>912690.70999999961</v>
      </c>
      <c r="I51" s="189">
        <f t="shared" si="0"/>
        <v>912690.70999999961</v>
      </c>
      <c r="J51" s="190">
        <f t="shared" si="1"/>
        <v>0</v>
      </c>
      <c r="K51" s="190">
        <f t="shared" si="2"/>
        <v>-456345.35499999981</v>
      </c>
      <c r="L51" s="190">
        <f t="shared" si="3"/>
        <v>456345.35499999981</v>
      </c>
      <c r="M51" s="191">
        <v>0.53</v>
      </c>
      <c r="N51" s="190">
        <f t="shared" si="4"/>
        <v>241863.03814999992</v>
      </c>
      <c r="O51" s="190">
        <f>+N51*(1+'OATT Additions by Asset '!Q$7)</f>
        <v>250174.94617649284</v>
      </c>
    </row>
    <row r="52" spans="1:15" s="25" customFormat="1" x14ac:dyDescent="0.2">
      <c r="A52" s="188" t="s">
        <v>41</v>
      </c>
      <c r="B52" s="189"/>
      <c r="C52" s="189"/>
      <c r="D52" s="189"/>
      <c r="E52" s="189"/>
      <c r="F52" s="189"/>
      <c r="G52" s="189"/>
      <c r="H52" s="189">
        <v>122621</v>
      </c>
      <c r="I52" s="189">
        <f t="shared" si="0"/>
        <v>122621</v>
      </c>
      <c r="J52" s="190">
        <f t="shared" si="1"/>
        <v>0</v>
      </c>
      <c r="K52" s="190">
        <f t="shared" si="2"/>
        <v>-61310.5</v>
      </c>
      <c r="L52" s="190">
        <f t="shared" si="3"/>
        <v>61310.5</v>
      </c>
      <c r="M52" s="191">
        <v>0.53</v>
      </c>
      <c r="N52" s="190">
        <f t="shared" si="4"/>
        <v>32494.565000000002</v>
      </c>
      <c r="O52" s="190">
        <f>+N52*(1+'OATT Additions by Asset '!Q$7)</f>
        <v>33611.278978732829</v>
      </c>
    </row>
    <row r="53" spans="1:15" s="25" customFormat="1" x14ac:dyDescent="0.2">
      <c r="A53" s="188" t="s">
        <v>42</v>
      </c>
      <c r="B53" s="189"/>
      <c r="C53" s="189"/>
      <c r="D53" s="189"/>
      <c r="E53" s="189"/>
      <c r="F53" s="189"/>
      <c r="G53" s="189"/>
      <c r="H53" s="189">
        <v>107077.00000000001</v>
      </c>
      <c r="I53" s="189">
        <f t="shared" si="0"/>
        <v>107077.00000000001</v>
      </c>
      <c r="J53" s="190">
        <f t="shared" si="1"/>
        <v>0</v>
      </c>
      <c r="K53" s="190">
        <f t="shared" si="2"/>
        <v>-53538.500000000007</v>
      </c>
      <c r="L53" s="190">
        <f t="shared" si="3"/>
        <v>53538.500000000007</v>
      </c>
      <c r="M53" s="191">
        <v>0.53</v>
      </c>
      <c r="N53" s="190">
        <f t="shared" si="4"/>
        <v>28375.405000000006</v>
      </c>
      <c r="O53" s="190">
        <f>+N53*(1+'OATT Additions by Asset '!Q$7)</f>
        <v>29350.559196269609</v>
      </c>
    </row>
    <row r="54" spans="1:15" s="25" customFormat="1" x14ac:dyDescent="0.2">
      <c r="A54" s="188" t="s">
        <v>43</v>
      </c>
      <c r="B54" s="189"/>
      <c r="C54" s="189"/>
      <c r="D54" s="189"/>
      <c r="E54" s="189"/>
      <c r="F54" s="189"/>
      <c r="G54" s="189"/>
      <c r="H54" s="189">
        <v>108180</v>
      </c>
      <c r="I54" s="189">
        <f t="shared" si="0"/>
        <v>108180</v>
      </c>
      <c r="J54" s="190">
        <f t="shared" si="1"/>
        <v>0</v>
      </c>
      <c r="K54" s="190">
        <f t="shared" si="2"/>
        <v>-54090</v>
      </c>
      <c r="L54" s="190">
        <f t="shared" si="3"/>
        <v>54090</v>
      </c>
      <c r="M54" s="191">
        <v>0.53</v>
      </c>
      <c r="N54" s="190">
        <f t="shared" si="4"/>
        <v>28667.7</v>
      </c>
      <c r="O54" s="190">
        <f>+N54*(1+'OATT Additions by Asset '!Q$7)</f>
        <v>29652.899258033431</v>
      </c>
    </row>
    <row r="55" spans="1:15" s="25" customFormat="1" x14ac:dyDescent="0.2">
      <c r="A55" s="188" t="s">
        <v>44</v>
      </c>
      <c r="B55" s="189"/>
      <c r="C55" s="189"/>
      <c r="D55" s="189"/>
      <c r="E55" s="189"/>
      <c r="F55" s="189"/>
      <c r="G55" s="189"/>
      <c r="H55" s="189">
        <v>15999.989999999998</v>
      </c>
      <c r="I55" s="189">
        <f t="shared" si="0"/>
        <v>15999.989999999998</v>
      </c>
      <c r="J55" s="190">
        <f t="shared" si="1"/>
        <v>0</v>
      </c>
      <c r="K55" s="190">
        <f t="shared" si="2"/>
        <v>-7999.994999999999</v>
      </c>
      <c r="L55" s="190">
        <f t="shared" si="3"/>
        <v>7999.994999999999</v>
      </c>
      <c r="M55" s="191">
        <v>0.53</v>
      </c>
      <c r="N55" s="190">
        <f t="shared" si="4"/>
        <v>4239.9973499999996</v>
      </c>
      <c r="O55" s="190">
        <f>+N55*(1+'OATT Additions by Asset '!Q$7)</f>
        <v>4385.7098502453528</v>
      </c>
    </row>
    <row r="56" spans="1:15" s="25" customFormat="1" x14ac:dyDescent="0.2">
      <c r="A56" s="188" t="s">
        <v>45</v>
      </c>
      <c r="B56" s="189"/>
      <c r="C56" s="189"/>
      <c r="D56" s="189"/>
      <c r="E56" s="189"/>
      <c r="F56" s="189"/>
      <c r="G56" s="189"/>
      <c r="H56" s="189">
        <v>139830.34</v>
      </c>
      <c r="I56" s="189">
        <f t="shared" si="0"/>
        <v>139830.34</v>
      </c>
      <c r="J56" s="190">
        <f t="shared" si="1"/>
        <v>0</v>
      </c>
      <c r="K56" s="190">
        <f t="shared" si="2"/>
        <v>-69915.17</v>
      </c>
      <c r="L56" s="190">
        <f t="shared" si="3"/>
        <v>69915.17</v>
      </c>
      <c r="M56" s="191">
        <v>0.53</v>
      </c>
      <c r="N56" s="190">
        <f t="shared" si="4"/>
        <v>37055.040099999998</v>
      </c>
      <c r="O56" s="190">
        <f>+N56*(1+'OATT Additions by Asset '!Q$7)</f>
        <v>38328.480174122407</v>
      </c>
    </row>
    <row r="57" spans="1:15" s="25" customFormat="1" x14ac:dyDescent="0.2">
      <c r="A57" s="212" t="s">
        <v>12</v>
      </c>
      <c r="B57" s="213"/>
      <c r="C57" s="213"/>
      <c r="D57" s="213">
        <v>95781.93</v>
      </c>
      <c r="E57" s="213">
        <v>877009.11</v>
      </c>
      <c r="F57" s="213">
        <v>-5.6843418860808015E-14</v>
      </c>
      <c r="G57" s="213"/>
      <c r="H57" s="213"/>
      <c r="I57" s="213">
        <f t="shared" si="0"/>
        <v>972791.04</v>
      </c>
      <c r="J57" s="214">
        <f t="shared" si="1"/>
        <v>0</v>
      </c>
      <c r="K57" s="214">
        <f t="shared" si="2"/>
        <v>0</v>
      </c>
      <c r="L57" s="214">
        <f t="shared" si="3"/>
        <v>972791.04</v>
      </c>
      <c r="M57" s="215">
        <v>1</v>
      </c>
      <c r="N57" s="214">
        <f t="shared" si="4"/>
        <v>972791.04</v>
      </c>
      <c r="O57" s="214">
        <f>+N57*(1+'OATT Additions by Asset '!Q$11)</f>
        <v>1004906.2151649932</v>
      </c>
    </row>
    <row r="58" spans="1:15" s="25" customFormat="1" x14ac:dyDescent="0.2">
      <c r="A58" s="188" t="s">
        <v>68</v>
      </c>
      <c r="B58" s="189">
        <v>23.86</v>
      </c>
      <c r="C58" s="189"/>
      <c r="D58" s="189"/>
      <c r="E58" s="189"/>
      <c r="F58" s="189"/>
      <c r="G58" s="189"/>
      <c r="H58" s="189"/>
      <c r="I58" s="189">
        <f t="shared" si="0"/>
        <v>23.86</v>
      </c>
      <c r="J58" s="190">
        <f t="shared" si="1"/>
        <v>-11.93</v>
      </c>
      <c r="K58" s="190">
        <f t="shared" si="2"/>
        <v>0</v>
      </c>
      <c r="L58" s="190">
        <f t="shared" si="3"/>
        <v>11.93</v>
      </c>
      <c r="M58" s="191">
        <v>1</v>
      </c>
      <c r="N58" s="190">
        <f t="shared" si="4"/>
        <v>11.93</v>
      </c>
      <c r="O58" s="190">
        <f>+N58*(1+'OATT Additions by Asset '!Q$11)</f>
        <v>12.32385029668691</v>
      </c>
    </row>
    <row r="59" spans="1:15" s="25" customFormat="1" x14ac:dyDescent="0.2">
      <c r="A59" s="86" t="s">
        <v>62</v>
      </c>
      <c r="B59" s="216">
        <v>655213.48999999953</v>
      </c>
      <c r="C59" s="216">
        <v>668624.88199999568</v>
      </c>
      <c r="D59" s="216">
        <v>236596.49999999907</v>
      </c>
      <c r="E59" s="216">
        <v>320992.60000000027</v>
      </c>
      <c r="F59" s="216">
        <v>168698.64000000007</v>
      </c>
      <c r="G59" s="216">
        <v>25029.769999999156</v>
      </c>
      <c r="H59" s="216">
        <v>42017.090000000084</v>
      </c>
      <c r="I59" s="216">
        <f t="shared" si="0"/>
        <v>2117172.971999994</v>
      </c>
      <c r="J59" s="217">
        <f t="shared" si="1"/>
        <v>-327606.74499999976</v>
      </c>
      <c r="K59" s="217">
        <f t="shared" si="2"/>
        <v>-21008.545000000042</v>
      </c>
      <c r="L59" s="217">
        <f t="shared" si="3"/>
        <v>1768557.6819999944</v>
      </c>
      <c r="M59" s="218">
        <v>1</v>
      </c>
      <c r="N59" s="217">
        <f t="shared" si="4"/>
        <v>1768557.6819999944</v>
      </c>
      <c r="O59" s="217">
        <f>+N59*(1+'OATT Additions by Asset '!Q$11)+SUM('OATT Additions by Asset '!N8:O11)</f>
        <v>2284924.2436189055</v>
      </c>
    </row>
    <row r="60" spans="1:15" s="25" customFormat="1" x14ac:dyDescent="0.2">
      <c r="A60" s="219" t="s">
        <v>63</v>
      </c>
      <c r="B60" s="220">
        <v>246189.46000000002</v>
      </c>
      <c r="C60" s="220">
        <v>82138.14</v>
      </c>
      <c r="D60" s="220">
        <v>372747.62000000017</v>
      </c>
      <c r="E60" s="220">
        <v>451793.60999999975</v>
      </c>
      <c r="F60" s="220">
        <v>422115.16</v>
      </c>
      <c r="G60" s="220">
        <v>441666.2799999998</v>
      </c>
      <c r="H60" s="220">
        <v>566479.30000000005</v>
      </c>
      <c r="I60" s="220">
        <f t="shared" si="0"/>
        <v>2583129.5699999998</v>
      </c>
      <c r="J60" s="221">
        <f t="shared" si="1"/>
        <v>-123094.73000000001</v>
      </c>
      <c r="K60" s="221">
        <f t="shared" si="2"/>
        <v>-283239.65000000002</v>
      </c>
      <c r="L60" s="221">
        <f t="shared" si="3"/>
        <v>2176795.19</v>
      </c>
      <c r="M60" s="222">
        <v>1</v>
      </c>
      <c r="N60" s="221">
        <f t="shared" si="4"/>
        <v>2176795.19</v>
      </c>
      <c r="O60" s="221">
        <f>+N60*(1+'OATT Additions by Asset '!Q$11)</f>
        <v>2248658.6796402461</v>
      </c>
    </row>
    <row r="61" spans="1:15" s="25" customFormat="1" x14ac:dyDescent="0.2">
      <c r="A61" s="86" t="s">
        <v>65</v>
      </c>
      <c r="B61" s="216">
        <v>75566.3125</v>
      </c>
      <c r="C61" s="216">
        <v>85086.094999999987</v>
      </c>
      <c r="D61" s="216"/>
      <c r="E61" s="216"/>
      <c r="F61" s="216"/>
      <c r="G61" s="216"/>
      <c r="H61" s="216"/>
      <c r="I61" s="216">
        <f t="shared" si="0"/>
        <v>160652.40749999997</v>
      </c>
      <c r="J61" s="217">
        <f t="shared" si="1"/>
        <v>-37783.15625</v>
      </c>
      <c r="K61" s="217">
        <f t="shared" si="2"/>
        <v>0</v>
      </c>
      <c r="L61" s="217">
        <f t="shared" si="3"/>
        <v>122869.25124999997</v>
      </c>
      <c r="M61" s="218">
        <v>1</v>
      </c>
      <c r="N61" s="217">
        <f t="shared" si="4"/>
        <v>122869.25124999997</v>
      </c>
      <c r="O61" s="217">
        <f>+N61*(1+'OATT Additions by Asset '!Q$11)</f>
        <v>126925.58746613668</v>
      </c>
    </row>
    <row r="62" spans="1:15" s="25" customFormat="1" x14ac:dyDescent="0.2">
      <c r="A62" s="86" t="s">
        <v>217</v>
      </c>
      <c r="B62" s="216">
        <v>-63403.030000000028</v>
      </c>
      <c r="C62" s="216"/>
      <c r="D62" s="216"/>
      <c r="E62" s="216"/>
      <c r="F62" s="216"/>
      <c r="G62" s="216"/>
      <c r="H62" s="216"/>
      <c r="I62" s="216">
        <f t="shared" si="0"/>
        <v>-63403.030000000028</v>
      </c>
      <c r="J62" s="217">
        <f t="shared" si="1"/>
        <v>31701.515000000014</v>
      </c>
      <c r="K62" s="217">
        <f t="shared" si="2"/>
        <v>0</v>
      </c>
      <c r="L62" s="217">
        <f t="shared" si="3"/>
        <v>-31701.515000000014</v>
      </c>
      <c r="M62" s="218">
        <v>1</v>
      </c>
      <c r="N62" s="217">
        <f t="shared" si="4"/>
        <v>-31701.515000000014</v>
      </c>
      <c r="O62" s="217">
        <f>+N62*(1+'OATT Additions by Asset '!Q$11)</f>
        <v>-32748.090950391845</v>
      </c>
    </row>
    <row r="63" spans="1:15" s="25" customFormat="1" x14ac:dyDescent="0.2">
      <c r="A63" s="86" t="s">
        <v>64</v>
      </c>
      <c r="B63" s="216">
        <v>55169.09</v>
      </c>
      <c r="C63" s="216"/>
      <c r="D63" s="216"/>
      <c r="E63" s="216"/>
      <c r="F63" s="216"/>
      <c r="G63" s="216"/>
      <c r="H63" s="216"/>
      <c r="I63" s="216">
        <f t="shared" si="0"/>
        <v>55169.09</v>
      </c>
      <c r="J63" s="217">
        <f t="shared" si="1"/>
        <v>-27584.544999999998</v>
      </c>
      <c r="K63" s="217">
        <f t="shared" si="2"/>
        <v>0</v>
      </c>
      <c r="L63" s="217">
        <f t="shared" si="3"/>
        <v>27584.544999999998</v>
      </c>
      <c r="M63" s="218">
        <v>1</v>
      </c>
      <c r="N63" s="217">
        <f t="shared" si="4"/>
        <v>27584.544999999998</v>
      </c>
      <c r="O63" s="217">
        <f>+N63*(1+'OATT Additions by Asset '!Q$11)</f>
        <v>28495.205622986035</v>
      </c>
    </row>
    <row r="64" spans="1:15" s="25" customFormat="1" x14ac:dyDescent="0.2">
      <c r="A64" s="86" t="s">
        <v>67</v>
      </c>
      <c r="B64" s="216">
        <v>421926.56999999966</v>
      </c>
      <c r="C64" s="216"/>
      <c r="D64" s="216"/>
      <c r="E64" s="216"/>
      <c r="F64" s="216"/>
      <c r="G64" s="216"/>
      <c r="H64" s="216"/>
      <c r="I64" s="216">
        <f t="shared" si="0"/>
        <v>421926.56999999966</v>
      </c>
      <c r="J64" s="217">
        <f t="shared" si="1"/>
        <v>-210963.28499999983</v>
      </c>
      <c r="K64" s="217">
        <f t="shared" si="2"/>
        <v>0</v>
      </c>
      <c r="L64" s="217">
        <f t="shared" si="3"/>
        <v>210963.28499999983</v>
      </c>
      <c r="M64" s="218">
        <v>1</v>
      </c>
      <c r="N64" s="217">
        <f t="shared" si="4"/>
        <v>210963.28499999983</v>
      </c>
      <c r="O64" s="217">
        <f>+N64*(1+'OATT Additions by Asset '!Q$11)</f>
        <v>217927.9079997731</v>
      </c>
    </row>
    <row r="65" spans="1:21" s="25" customFormat="1" x14ac:dyDescent="0.2">
      <c r="A65" s="86" t="s">
        <v>66</v>
      </c>
      <c r="B65" s="216">
        <v>45540.03</v>
      </c>
      <c r="C65" s="216"/>
      <c r="D65" s="216"/>
      <c r="E65" s="216"/>
      <c r="F65" s="216"/>
      <c r="G65" s="216"/>
      <c r="H65" s="216"/>
      <c r="I65" s="216">
        <f t="shared" si="0"/>
        <v>45540.03</v>
      </c>
      <c r="J65" s="217">
        <f t="shared" si="1"/>
        <v>-22770.014999999999</v>
      </c>
      <c r="K65" s="217">
        <f t="shared" si="2"/>
        <v>0</v>
      </c>
      <c r="L65" s="217">
        <f t="shared" si="3"/>
        <v>22770.014999999999</v>
      </c>
      <c r="M65" s="218">
        <v>1</v>
      </c>
      <c r="N65" s="217">
        <f t="shared" si="4"/>
        <v>22770.014999999999</v>
      </c>
      <c r="O65" s="217">
        <f>+N65*(1+'OATT Additions by Asset '!Q$11)</f>
        <v>23521.731442859629</v>
      </c>
    </row>
    <row r="66" spans="1:21" s="25" customFormat="1" x14ac:dyDescent="0.2">
      <c r="A66" s="223" t="s">
        <v>77</v>
      </c>
      <c r="B66" s="224"/>
      <c r="C66" s="224">
        <v>85243.680000000008</v>
      </c>
      <c r="D66" s="224">
        <v>323577.87000000005</v>
      </c>
      <c r="E66" s="224"/>
      <c r="F66" s="224"/>
      <c r="G66" s="224"/>
      <c r="H66" s="224"/>
      <c r="I66" s="224">
        <f t="shared" si="0"/>
        <v>408821.55000000005</v>
      </c>
      <c r="J66" s="225">
        <f t="shared" si="1"/>
        <v>0</v>
      </c>
      <c r="K66" s="225">
        <f t="shared" si="2"/>
        <v>0</v>
      </c>
      <c r="L66" s="225">
        <f t="shared" si="3"/>
        <v>408821.55000000005</v>
      </c>
      <c r="M66" s="226">
        <v>1</v>
      </c>
      <c r="N66" s="225">
        <f t="shared" si="4"/>
        <v>408821.55000000005</v>
      </c>
      <c r="O66" s="225">
        <f>+N66*(1+'OATT Additions by Asset '!Q$11)</f>
        <v>422318.15425477811</v>
      </c>
    </row>
    <row r="67" spans="1:21" s="25" customFormat="1" x14ac:dyDescent="0.2">
      <c r="A67" s="86" t="s">
        <v>78</v>
      </c>
      <c r="B67" s="216"/>
      <c r="C67" s="216">
        <v>839943.37999999989</v>
      </c>
      <c r="D67" s="216">
        <v>898482.87000000034</v>
      </c>
      <c r="E67" s="216">
        <v>987230.13999999943</v>
      </c>
      <c r="F67" s="216">
        <v>728850.71000000008</v>
      </c>
      <c r="G67" s="216">
        <v>800543.69999999972</v>
      </c>
      <c r="H67" s="216">
        <v>970060.36</v>
      </c>
      <c r="I67" s="216">
        <f t="shared" si="0"/>
        <v>5225111.1599999992</v>
      </c>
      <c r="J67" s="217">
        <f t="shared" si="1"/>
        <v>0</v>
      </c>
      <c r="K67" s="217">
        <f t="shared" si="2"/>
        <v>-485030.18</v>
      </c>
      <c r="L67" s="217">
        <f t="shared" si="3"/>
        <v>4740080.9799999995</v>
      </c>
      <c r="M67" s="218">
        <v>1</v>
      </c>
      <c r="N67" s="217">
        <f t="shared" si="4"/>
        <v>4740080.9799999995</v>
      </c>
      <c r="O67" s="217">
        <f>+N67*(1+'OATT Additions by Asset '!Q$11)</f>
        <v>4896567.3421368795</v>
      </c>
    </row>
    <row r="68" spans="1:21" s="25" customFormat="1" x14ac:dyDescent="0.2">
      <c r="A68" s="86" t="s">
        <v>84</v>
      </c>
      <c r="B68" s="216"/>
      <c r="C68" s="216"/>
      <c r="D68" s="216">
        <v>190585.29000000004</v>
      </c>
      <c r="E68" s="216"/>
      <c r="F68" s="216"/>
      <c r="G68" s="216"/>
      <c r="H68" s="216"/>
      <c r="I68" s="216">
        <f t="shared" si="0"/>
        <v>190585.29000000004</v>
      </c>
      <c r="J68" s="217">
        <f t="shared" si="1"/>
        <v>0</v>
      </c>
      <c r="K68" s="217">
        <f t="shared" si="2"/>
        <v>0</v>
      </c>
      <c r="L68" s="217">
        <f t="shared" si="3"/>
        <v>190585.29000000004</v>
      </c>
      <c r="M68" s="218">
        <v>1</v>
      </c>
      <c r="N68" s="217">
        <f t="shared" si="4"/>
        <v>190585.29000000004</v>
      </c>
      <c r="O68" s="217">
        <f>+N68*(1+'OATT Additions by Asset '!Q$11)</f>
        <v>196877.16535713841</v>
      </c>
    </row>
    <row r="69" spans="1:21" s="25" customFormat="1" x14ac:dyDescent="0.2">
      <c r="A69" s="227" t="s">
        <v>21</v>
      </c>
      <c r="B69" s="228"/>
      <c r="C69" s="228"/>
      <c r="D69" s="228"/>
      <c r="E69" s="228">
        <v>920461.10000000009</v>
      </c>
      <c r="F69" s="228">
        <v>0</v>
      </c>
      <c r="G69" s="228"/>
      <c r="H69" s="228"/>
      <c r="I69" s="228">
        <f t="shared" si="0"/>
        <v>920461.10000000009</v>
      </c>
      <c r="J69" s="229">
        <f t="shared" si="1"/>
        <v>0</v>
      </c>
      <c r="K69" s="229">
        <f t="shared" si="2"/>
        <v>0</v>
      </c>
      <c r="L69" s="229">
        <f t="shared" si="3"/>
        <v>920461.10000000009</v>
      </c>
      <c r="M69" s="230">
        <v>1</v>
      </c>
      <c r="N69" s="229">
        <f t="shared" si="4"/>
        <v>920461.10000000009</v>
      </c>
      <c r="O69" s="229">
        <f>+N69*(1+'OATT Additions by Asset '!Q$11)</f>
        <v>950848.68401707965</v>
      </c>
    </row>
    <row r="70" spans="1:21" s="25" customFormat="1" x14ac:dyDescent="0.2">
      <c r="A70" s="231" t="s">
        <v>22</v>
      </c>
      <c r="B70" s="232"/>
      <c r="C70" s="232"/>
      <c r="D70" s="232"/>
      <c r="E70" s="232">
        <v>756688.73</v>
      </c>
      <c r="F70" s="232">
        <v>0</v>
      </c>
      <c r="G70" s="232"/>
      <c r="H70" s="232"/>
      <c r="I70" s="232">
        <f t="shared" ref="I70:I85" si="6">SUM(B70:H70)</f>
        <v>756688.73</v>
      </c>
      <c r="J70" s="233">
        <f t="shared" ref="J70:J85" si="7">-B70*0.5</f>
        <v>0</v>
      </c>
      <c r="K70" s="233">
        <f t="shared" ref="K70:K85" si="8">-H70*0.5</f>
        <v>0</v>
      </c>
      <c r="L70" s="233">
        <f t="shared" ref="L70:L85" si="9">SUM(I70:K70)</f>
        <v>756688.73</v>
      </c>
      <c r="M70" s="234">
        <v>1</v>
      </c>
      <c r="N70" s="233">
        <f t="shared" ref="N70:N85" si="10">+L70*M70</f>
        <v>756688.73</v>
      </c>
      <c r="O70" s="233">
        <f>+N70*(1+'OATT Additions by Asset '!Q$11)</f>
        <v>781669.62529003702</v>
      </c>
    </row>
    <row r="71" spans="1:21" s="25" customFormat="1" x14ac:dyDescent="0.2">
      <c r="A71" s="235" t="s">
        <v>23</v>
      </c>
      <c r="B71" s="236"/>
      <c r="C71" s="236"/>
      <c r="D71" s="236"/>
      <c r="E71" s="236">
        <v>60380.630000000005</v>
      </c>
      <c r="F71" s="236">
        <v>0</v>
      </c>
      <c r="G71" s="236"/>
      <c r="H71" s="236"/>
      <c r="I71" s="236">
        <f t="shared" si="6"/>
        <v>60380.630000000005</v>
      </c>
      <c r="J71" s="237">
        <f t="shared" si="7"/>
        <v>0</v>
      </c>
      <c r="K71" s="237">
        <f t="shared" si="8"/>
        <v>0</v>
      </c>
      <c r="L71" s="237">
        <f t="shared" si="9"/>
        <v>60380.630000000005</v>
      </c>
      <c r="M71" s="238">
        <v>1</v>
      </c>
      <c r="N71" s="237">
        <f t="shared" si="10"/>
        <v>60380.630000000005</v>
      </c>
      <c r="O71" s="237">
        <f>+N71*(1+'OATT Additions by Asset '!Q$11)</f>
        <v>62374.002090498121</v>
      </c>
    </row>
    <row r="72" spans="1:21" s="25" customFormat="1" x14ac:dyDescent="0.2">
      <c r="A72" s="86" t="s">
        <v>24</v>
      </c>
      <c r="B72" s="216"/>
      <c r="C72" s="216"/>
      <c r="D72" s="216"/>
      <c r="E72" s="216">
        <v>96000</v>
      </c>
      <c r="F72" s="216"/>
      <c r="G72" s="216">
        <v>0</v>
      </c>
      <c r="H72" s="216"/>
      <c r="I72" s="216">
        <f t="shared" si="6"/>
        <v>96000</v>
      </c>
      <c r="J72" s="217">
        <f t="shared" si="7"/>
        <v>0</v>
      </c>
      <c r="K72" s="217">
        <f t="shared" si="8"/>
        <v>0</v>
      </c>
      <c r="L72" s="217">
        <f t="shared" si="9"/>
        <v>96000</v>
      </c>
      <c r="M72" s="218">
        <v>1</v>
      </c>
      <c r="N72" s="217">
        <f t="shared" si="10"/>
        <v>96000</v>
      </c>
      <c r="O72" s="217">
        <f>+N72*(1+'OATT Additions by Asset '!Q$11)</f>
        <v>99169.289897899696</v>
      </c>
    </row>
    <row r="73" spans="1:21" s="25" customFormat="1" x14ac:dyDescent="0.2">
      <c r="A73" s="86" t="s">
        <v>105</v>
      </c>
      <c r="B73" s="216"/>
      <c r="C73" s="216"/>
      <c r="D73" s="216"/>
      <c r="E73" s="216"/>
      <c r="F73" s="216">
        <v>20685.319999999992</v>
      </c>
      <c r="G73" s="216"/>
      <c r="H73" s="216"/>
      <c r="I73" s="216">
        <f t="shared" si="6"/>
        <v>20685.319999999992</v>
      </c>
      <c r="J73" s="217">
        <f t="shared" si="7"/>
        <v>0</v>
      </c>
      <c r="K73" s="217">
        <f t="shared" si="8"/>
        <v>0</v>
      </c>
      <c r="L73" s="217">
        <f t="shared" si="9"/>
        <v>20685.319999999992</v>
      </c>
      <c r="M73" s="218">
        <v>1</v>
      </c>
      <c r="N73" s="217">
        <f t="shared" si="10"/>
        <v>20685.319999999992</v>
      </c>
      <c r="O73" s="217">
        <f>+N73*(1+'OATT Additions by Asset '!Q$11)</f>
        <v>21368.213496987726</v>
      </c>
    </row>
    <row r="74" spans="1:21" s="25" customFormat="1" x14ac:dyDescent="0.2">
      <c r="A74" s="235" t="s">
        <v>134</v>
      </c>
      <c r="B74" s="236"/>
      <c r="C74" s="236"/>
      <c r="D74" s="236"/>
      <c r="E74" s="236"/>
      <c r="F74" s="236">
        <v>1876554.9899999988</v>
      </c>
      <c r="G74" s="236">
        <v>0</v>
      </c>
      <c r="H74" s="236"/>
      <c r="I74" s="236">
        <f t="shared" si="6"/>
        <v>1876554.9899999988</v>
      </c>
      <c r="J74" s="237">
        <f t="shared" si="7"/>
        <v>0</v>
      </c>
      <c r="K74" s="237">
        <f t="shared" si="8"/>
        <v>0</v>
      </c>
      <c r="L74" s="237">
        <f t="shared" si="9"/>
        <v>1876554.9899999988</v>
      </c>
      <c r="M74" s="238">
        <v>1</v>
      </c>
      <c r="N74" s="237">
        <f t="shared" si="10"/>
        <v>1876554.9899999988</v>
      </c>
      <c r="O74" s="237">
        <f>+N74*(1+'OATT Additions by Asset '!Q$11)</f>
        <v>1938506.5188818765</v>
      </c>
    </row>
    <row r="75" spans="1:21" s="25" customFormat="1" x14ac:dyDescent="0.2">
      <c r="A75" s="86" t="s">
        <v>31</v>
      </c>
      <c r="B75" s="216"/>
      <c r="C75" s="216"/>
      <c r="D75" s="216"/>
      <c r="E75" s="216"/>
      <c r="F75" s="216">
        <v>35901.1</v>
      </c>
      <c r="G75" s="216">
        <v>185744.05000000008</v>
      </c>
      <c r="H75" s="216"/>
      <c r="I75" s="216">
        <f t="shared" si="6"/>
        <v>221645.15000000008</v>
      </c>
      <c r="J75" s="217">
        <f t="shared" si="7"/>
        <v>0</v>
      </c>
      <c r="K75" s="217">
        <f t="shared" si="8"/>
        <v>0</v>
      </c>
      <c r="L75" s="217">
        <f t="shared" si="9"/>
        <v>221645.15000000008</v>
      </c>
      <c r="M75" s="218">
        <v>1</v>
      </c>
      <c r="N75" s="217">
        <f t="shared" si="10"/>
        <v>221645.15000000008</v>
      </c>
      <c r="O75" s="217">
        <f>+N75*(1+'OATT Additions by Asset '!Q$11)</f>
        <v>228962.41807097365</v>
      </c>
    </row>
    <row r="76" spans="1:21" s="25" customFormat="1" x14ac:dyDescent="0.2">
      <c r="A76" s="239" t="s">
        <v>37</v>
      </c>
      <c r="B76" s="240"/>
      <c r="C76" s="240"/>
      <c r="D76" s="240"/>
      <c r="E76" s="240"/>
      <c r="F76" s="240"/>
      <c r="G76" s="240">
        <v>1021385.9799999997</v>
      </c>
      <c r="H76" s="240"/>
      <c r="I76" s="240">
        <f t="shared" si="6"/>
        <v>1021385.9799999997</v>
      </c>
      <c r="J76" s="241">
        <f t="shared" si="7"/>
        <v>0</v>
      </c>
      <c r="K76" s="241">
        <f t="shared" si="8"/>
        <v>0</v>
      </c>
      <c r="L76" s="241">
        <f t="shared" si="9"/>
        <v>1021385.9799999997</v>
      </c>
      <c r="M76" s="242">
        <v>1</v>
      </c>
      <c r="N76" s="241">
        <f t="shared" si="10"/>
        <v>1021385.9799999997</v>
      </c>
      <c r="O76" s="241">
        <f>+N76*(1+'OATT Additions by Asset '!Q$11)</f>
        <v>1055105.4411278162</v>
      </c>
    </row>
    <row r="77" spans="1:21" s="25" customFormat="1" x14ac:dyDescent="0.2">
      <c r="A77" s="243" t="s">
        <v>46</v>
      </c>
      <c r="B77" s="244"/>
      <c r="C77" s="244"/>
      <c r="D77" s="244"/>
      <c r="E77" s="244"/>
      <c r="F77" s="244"/>
      <c r="G77" s="244"/>
      <c r="H77" s="244">
        <v>354572.42</v>
      </c>
      <c r="I77" s="244">
        <f t="shared" si="6"/>
        <v>354572.42</v>
      </c>
      <c r="J77" s="245">
        <f t="shared" si="7"/>
        <v>0</v>
      </c>
      <c r="K77" s="245">
        <f t="shared" si="8"/>
        <v>-177286.21</v>
      </c>
      <c r="L77" s="245">
        <f t="shared" si="9"/>
        <v>177286.21</v>
      </c>
      <c r="M77" s="246">
        <v>1</v>
      </c>
      <c r="N77" s="245">
        <f t="shared" si="10"/>
        <v>177286.21</v>
      </c>
      <c r="O77" s="245">
        <f>+N77*(1+'OATT Additions by Asset '!Q$11)</f>
        <v>183139.03702489502</v>
      </c>
    </row>
    <row r="78" spans="1:21" s="25" customFormat="1" x14ac:dyDescent="0.2">
      <c r="A78" s="247" t="s">
        <v>47</v>
      </c>
      <c r="B78" s="248"/>
      <c r="C78" s="248"/>
      <c r="D78" s="248"/>
      <c r="E78" s="248"/>
      <c r="F78" s="248"/>
      <c r="G78" s="248"/>
      <c r="H78" s="248">
        <v>861659.84</v>
      </c>
      <c r="I78" s="248">
        <f t="shared" si="6"/>
        <v>861659.84</v>
      </c>
      <c r="J78" s="249">
        <f t="shared" si="7"/>
        <v>0</v>
      </c>
      <c r="K78" s="249">
        <f t="shared" si="8"/>
        <v>-430829.92</v>
      </c>
      <c r="L78" s="249">
        <f t="shared" si="9"/>
        <v>430829.92</v>
      </c>
      <c r="M78" s="250">
        <v>1</v>
      </c>
      <c r="N78" s="249">
        <f t="shared" si="10"/>
        <v>430829.92</v>
      </c>
      <c r="O78" s="249">
        <f>+N78*(1+'OATT Additions by Asset '!Q$11)</f>
        <v>445053.09617884306</v>
      </c>
    </row>
    <row r="79" spans="1:21" s="25" customFormat="1" x14ac:dyDescent="0.2">
      <c r="A79" s="251" t="s">
        <v>165</v>
      </c>
      <c r="B79" s="252">
        <v>2759869.4400000013</v>
      </c>
      <c r="C79" s="252">
        <v>3429419.620000001</v>
      </c>
      <c r="D79" s="252">
        <v>3266387.2499999977</v>
      </c>
      <c r="E79" s="252">
        <v>1761064.1600000008</v>
      </c>
      <c r="F79" s="252">
        <v>0</v>
      </c>
      <c r="G79" s="252"/>
      <c r="H79" s="252"/>
      <c r="I79" s="252">
        <f t="shared" si="6"/>
        <v>11216740.470000001</v>
      </c>
      <c r="J79" s="253">
        <f t="shared" si="7"/>
        <v>-1379934.7200000007</v>
      </c>
      <c r="K79" s="253">
        <f t="shared" si="8"/>
        <v>0</v>
      </c>
      <c r="L79" s="253">
        <f t="shared" si="9"/>
        <v>9836805.75</v>
      </c>
      <c r="M79" s="254">
        <v>1</v>
      </c>
      <c r="N79" s="253">
        <f t="shared" si="10"/>
        <v>9836805.75</v>
      </c>
      <c r="O79" s="253">
        <f>+N79+E101</f>
        <v>10211705.75</v>
      </c>
      <c r="Q79" s="13"/>
      <c r="R79" s="13"/>
      <c r="U79" s="12"/>
    </row>
    <row r="80" spans="1:21" s="25" customFormat="1" x14ac:dyDescent="0.2">
      <c r="A80" s="188" t="s">
        <v>69</v>
      </c>
      <c r="B80" s="189">
        <v>35997.71</v>
      </c>
      <c r="C80" s="189">
        <v>816256.46000000008</v>
      </c>
      <c r="D80" s="189">
        <v>0</v>
      </c>
      <c r="E80" s="189"/>
      <c r="F80" s="189"/>
      <c r="G80" s="189"/>
      <c r="H80" s="189"/>
      <c r="I80" s="189">
        <f t="shared" si="6"/>
        <v>852254.17</v>
      </c>
      <c r="J80" s="190">
        <f t="shared" si="7"/>
        <v>-17998.855</v>
      </c>
      <c r="K80" s="190">
        <f t="shared" si="8"/>
        <v>0</v>
      </c>
      <c r="L80" s="190">
        <f t="shared" si="9"/>
        <v>834255.31500000006</v>
      </c>
      <c r="M80" s="191">
        <v>0.53</v>
      </c>
      <c r="N80" s="190">
        <f t="shared" si="10"/>
        <v>442155.31695000007</v>
      </c>
      <c r="O80" s="190">
        <f>+N80*(1+'OATT Additions by Asset '!Q$11)</f>
        <v>456752.38340116956</v>
      </c>
      <c r="R80" s="12"/>
    </row>
    <row r="81" spans="1:22" s="25" customFormat="1" x14ac:dyDescent="0.2">
      <c r="A81" s="188" t="s">
        <v>70</v>
      </c>
      <c r="B81" s="189">
        <v>152526.22999999998</v>
      </c>
      <c r="C81" s="189">
        <v>98099.439999999988</v>
      </c>
      <c r="D81" s="189"/>
      <c r="E81" s="189"/>
      <c r="F81" s="189"/>
      <c r="G81" s="189"/>
      <c r="H81" s="189"/>
      <c r="I81" s="189">
        <f t="shared" si="6"/>
        <v>250625.66999999998</v>
      </c>
      <c r="J81" s="190">
        <f t="shared" si="7"/>
        <v>-76263.114999999991</v>
      </c>
      <c r="K81" s="190">
        <f t="shared" si="8"/>
        <v>0</v>
      </c>
      <c r="L81" s="190">
        <f t="shared" si="9"/>
        <v>174362.55499999999</v>
      </c>
      <c r="M81" s="191">
        <v>0.53</v>
      </c>
      <c r="N81" s="190">
        <f t="shared" si="10"/>
        <v>92412.154150000002</v>
      </c>
      <c r="O81" s="190">
        <f>+N81*(1+'OATT Additions by Asset '!Q$11)</f>
        <v>95462.996926986918</v>
      </c>
      <c r="Q81" s="13"/>
      <c r="R81" s="255"/>
      <c r="S81" s="256"/>
      <c r="U81" s="255"/>
      <c r="V81" s="256"/>
    </row>
    <row r="82" spans="1:22" s="25" customFormat="1" x14ac:dyDescent="0.2">
      <c r="A82" s="188" t="s">
        <v>80</v>
      </c>
      <c r="B82" s="189"/>
      <c r="C82" s="189">
        <v>716335.33</v>
      </c>
      <c r="D82" s="189"/>
      <c r="E82" s="189"/>
      <c r="F82" s="189"/>
      <c r="G82" s="189"/>
      <c r="H82" s="189"/>
      <c r="I82" s="189">
        <f t="shared" si="6"/>
        <v>716335.33</v>
      </c>
      <c r="J82" s="190">
        <f t="shared" si="7"/>
        <v>0</v>
      </c>
      <c r="K82" s="190">
        <f t="shared" si="8"/>
        <v>0</v>
      </c>
      <c r="L82" s="190">
        <f t="shared" si="9"/>
        <v>716335.33</v>
      </c>
      <c r="M82" s="191">
        <v>0.53</v>
      </c>
      <c r="N82" s="190">
        <f t="shared" si="10"/>
        <v>379657.72489999997</v>
      </c>
      <c r="O82" s="190">
        <f>+N82*(1+'OATT Additions by Asset '!Q$11)</f>
        <v>392191.5310685953</v>
      </c>
    </row>
    <row r="83" spans="1:22" s="25" customFormat="1" x14ac:dyDescent="0.2">
      <c r="A83" s="188" t="s">
        <v>20</v>
      </c>
      <c r="B83" s="189"/>
      <c r="C83" s="189"/>
      <c r="D83" s="189"/>
      <c r="E83" s="189">
        <v>551241.78000000014</v>
      </c>
      <c r="F83" s="189">
        <v>-1.4210854715202004E-13</v>
      </c>
      <c r="G83" s="189"/>
      <c r="H83" s="189"/>
      <c r="I83" s="189">
        <f t="shared" si="6"/>
        <v>551241.78000000014</v>
      </c>
      <c r="J83" s="190">
        <f t="shared" si="7"/>
        <v>0</v>
      </c>
      <c r="K83" s="190">
        <f t="shared" si="8"/>
        <v>0</v>
      </c>
      <c r="L83" s="190">
        <f t="shared" si="9"/>
        <v>551241.78000000014</v>
      </c>
      <c r="M83" s="191">
        <v>0.53</v>
      </c>
      <c r="N83" s="190">
        <f t="shared" si="10"/>
        <v>292158.14340000012</v>
      </c>
      <c r="O83" s="190">
        <f>+N83*(1+'OATT Additions by Asset '!Q$11)</f>
        <v>301803.28769652877</v>
      </c>
      <c r="R83" s="13"/>
      <c r="U83" s="13"/>
    </row>
    <row r="84" spans="1:22" s="25" customFormat="1" x14ac:dyDescent="0.2">
      <c r="A84" s="188" t="s">
        <v>79</v>
      </c>
      <c r="B84" s="189"/>
      <c r="C84" s="189">
        <v>5589.45</v>
      </c>
      <c r="D84" s="189"/>
      <c r="E84" s="189">
        <v>388.21000000000004</v>
      </c>
      <c r="F84" s="189">
        <v>0</v>
      </c>
      <c r="G84" s="189"/>
      <c r="H84" s="189"/>
      <c r="I84" s="189">
        <f t="shared" si="6"/>
        <v>5977.66</v>
      </c>
      <c r="J84" s="190">
        <f t="shared" si="7"/>
        <v>0</v>
      </c>
      <c r="K84" s="190">
        <f t="shared" si="8"/>
        <v>0</v>
      </c>
      <c r="L84" s="190">
        <f t="shared" si="9"/>
        <v>5977.66</v>
      </c>
      <c r="M84" s="191">
        <v>1</v>
      </c>
      <c r="N84" s="190">
        <f t="shared" si="10"/>
        <v>5977.66</v>
      </c>
      <c r="O84" s="190">
        <f>+N84*(1+'OATT Additions by Asset '!Q$11)</f>
        <v>6175.0030984487403</v>
      </c>
    </row>
    <row r="85" spans="1:22" s="25" customFormat="1" x14ac:dyDescent="0.2">
      <c r="A85" s="188" t="s">
        <v>112</v>
      </c>
      <c r="B85" s="257"/>
      <c r="C85" s="257">
        <v>7371</v>
      </c>
      <c r="D85" s="257"/>
      <c r="E85" s="257"/>
      <c r="F85" s="257">
        <v>9306.2800000000025</v>
      </c>
      <c r="G85" s="257">
        <v>8322.2499999999982</v>
      </c>
      <c r="H85" s="257">
        <v>26825.820000000003</v>
      </c>
      <c r="I85" s="257">
        <f t="shared" si="6"/>
        <v>51825.350000000006</v>
      </c>
      <c r="J85" s="258">
        <f t="shared" si="7"/>
        <v>0</v>
      </c>
      <c r="K85" s="258">
        <f t="shared" si="8"/>
        <v>-13412.910000000002</v>
      </c>
      <c r="L85" s="258">
        <f t="shared" si="9"/>
        <v>38412.44</v>
      </c>
      <c r="M85" s="259">
        <v>1</v>
      </c>
      <c r="N85" s="258">
        <f t="shared" si="10"/>
        <v>38412.44</v>
      </c>
      <c r="O85" s="258">
        <f>+N85*(1+'OATT Additions by Asset '!Q$12)</f>
        <v>38412.44</v>
      </c>
      <c r="R85" s="12"/>
      <c r="S85" s="12"/>
      <c r="U85" s="12"/>
      <c r="V85" s="12"/>
    </row>
    <row r="86" spans="1:22" s="25" customFormat="1" x14ac:dyDescent="0.2">
      <c r="A86" s="260" t="s">
        <v>3</v>
      </c>
      <c r="B86" s="261">
        <f>SUM(B5:B85)</f>
        <v>7158726.5604999997</v>
      </c>
      <c r="C86" s="261">
        <f t="shared" ref="C86:I86" si="11">SUM(C5:C85)</f>
        <v>8736266.9769999981</v>
      </c>
      <c r="D86" s="261">
        <f t="shared" si="11"/>
        <v>8973361.4099999964</v>
      </c>
      <c r="E86" s="261">
        <f t="shared" si="11"/>
        <v>11387079.980000002</v>
      </c>
      <c r="F86" s="261">
        <f t="shared" si="11"/>
        <v>7882328.330000001</v>
      </c>
      <c r="G86" s="261">
        <f t="shared" si="11"/>
        <v>9549051.2000000011</v>
      </c>
      <c r="H86" s="261">
        <f t="shared" si="11"/>
        <v>8725176.5500000007</v>
      </c>
      <c r="I86" s="261">
        <f t="shared" si="11"/>
        <v>62411991.0075</v>
      </c>
      <c r="J86" s="262">
        <f t="shared" ref="J86" si="12">SUM(J5:J85)</f>
        <v>-3579363.2802499998</v>
      </c>
      <c r="K86" s="262">
        <f t="shared" ref="K86" si="13">SUM(K5:K85)</f>
        <v>-4362588.2750000004</v>
      </c>
      <c r="L86" s="261">
        <f t="shared" ref="L86" si="14">SUM(L5:L85)</f>
        <v>54470039.452249989</v>
      </c>
      <c r="M86" s="261"/>
      <c r="N86" s="261">
        <f t="shared" ref="N86" si="15">SUM(N5:N85)</f>
        <v>39897684.558149986</v>
      </c>
      <c r="O86" s="261">
        <f t="shared" ref="O86" si="16">SUM(O5:O85)</f>
        <v>41717995.35149543</v>
      </c>
      <c r="Q86" s="13"/>
    </row>
    <row r="87" spans="1:22" s="25" customFormat="1" x14ac:dyDescent="0.2">
      <c r="A87" s="25" t="s">
        <v>133</v>
      </c>
      <c r="J87" s="12"/>
      <c r="K87" s="12"/>
      <c r="L87" s="12">
        <f>SUM('OATT Additions by Asset '!N13:P13)</f>
        <v>2193218.9900000012</v>
      </c>
      <c r="M87" s="263"/>
      <c r="N87" s="13">
        <f>+O86-N86</f>
        <v>1820310.7933454439</v>
      </c>
      <c r="O87" s="255"/>
      <c r="Q87" s="13"/>
      <c r="R87" s="13"/>
      <c r="V87" s="13"/>
    </row>
    <row r="88" spans="1:22" s="25" customFormat="1" x14ac:dyDescent="0.2">
      <c r="A88" s="25" t="s">
        <v>163</v>
      </c>
      <c r="G88" s="264"/>
      <c r="J88" s="12"/>
      <c r="K88" s="12"/>
      <c r="L88" s="12">
        <f>+K101</f>
        <v>-4159856.0272221016</v>
      </c>
      <c r="N88" s="13">
        <f>+K101</f>
        <v>-4159856.0272221016</v>
      </c>
      <c r="O88" s="13">
        <f>+N88</f>
        <v>-4159856.0272221016</v>
      </c>
      <c r="Q88" s="256"/>
    </row>
    <row r="89" spans="1:22" s="25" customFormat="1" x14ac:dyDescent="0.2">
      <c r="A89" s="265" t="s">
        <v>128</v>
      </c>
      <c r="J89" s="12"/>
      <c r="K89" s="12"/>
      <c r="L89" s="13">
        <f>-'OATT Additions by Asset '!R7*0.47</f>
        <v>-12147368.974879999</v>
      </c>
    </row>
    <row r="90" spans="1:22" s="25" customFormat="1" x14ac:dyDescent="0.2">
      <c r="A90" s="265" t="s">
        <v>130</v>
      </c>
      <c r="J90" s="12"/>
      <c r="K90" s="12"/>
      <c r="L90" s="19">
        <f>-'OATT Additions by Asset '!R5*0.75</f>
        <v>-2814219.3337500012</v>
      </c>
      <c r="N90" s="266"/>
      <c r="O90" s="266"/>
    </row>
    <row r="91" spans="1:22" s="25" customFormat="1" x14ac:dyDescent="0.2">
      <c r="A91" s="260" t="s">
        <v>131</v>
      </c>
      <c r="B91" s="37"/>
      <c r="C91" s="37"/>
      <c r="D91" s="37"/>
      <c r="E91" s="37"/>
      <c r="F91" s="37"/>
      <c r="G91" s="37"/>
      <c r="H91" s="37"/>
      <c r="I91" s="261"/>
      <c r="J91" s="262"/>
      <c r="K91" s="262"/>
      <c r="L91" s="262">
        <f>SUM(L86:L90)</f>
        <v>37541814.10639789</v>
      </c>
      <c r="N91" s="262">
        <f>SUM(N86:N90)</f>
        <v>37558139.324273326</v>
      </c>
      <c r="O91" s="262">
        <f>SUM(O86:O90)</f>
        <v>37558139.324273326</v>
      </c>
    </row>
    <row r="92" spans="1:22" s="25" customFormat="1" x14ac:dyDescent="0.2">
      <c r="A92" s="267" t="s">
        <v>129</v>
      </c>
      <c r="B92" s="268"/>
      <c r="C92" s="268"/>
      <c r="D92" s="268"/>
      <c r="E92" s="268"/>
      <c r="F92" s="268"/>
      <c r="G92" s="268"/>
      <c r="H92" s="268"/>
      <c r="I92" s="268"/>
      <c r="J92" s="269"/>
      <c r="K92" s="269"/>
      <c r="L92" s="270">
        <f>-'OATT Additions by Asset '!$S$7*(72.163%-53%)</f>
        <v>-7282997.4265337372</v>
      </c>
      <c r="M92" s="188"/>
      <c r="N92" s="271">
        <f>+L92</f>
        <v>-7282997.4265337372</v>
      </c>
      <c r="O92" s="271">
        <f>+N92</f>
        <v>-7282997.4265337372</v>
      </c>
    </row>
    <row r="93" spans="1:22" s="25" customFormat="1" ht="13.5" thickBot="1" x14ac:dyDescent="0.25">
      <c r="A93" s="260" t="s">
        <v>132</v>
      </c>
      <c r="B93" s="37"/>
      <c r="C93" s="37"/>
      <c r="D93" s="37"/>
      <c r="E93" s="37"/>
      <c r="F93" s="37"/>
      <c r="G93" s="37"/>
      <c r="H93" s="37"/>
      <c r="I93" s="37"/>
      <c r="J93" s="262" t="s">
        <v>154</v>
      </c>
      <c r="K93" s="262"/>
      <c r="L93" s="272">
        <f>SUM(L91:L92)</f>
        <v>30258816.679864153</v>
      </c>
    </row>
    <row r="94" spans="1:22" s="25" customFormat="1" ht="13.5" thickTop="1" x14ac:dyDescent="0.2">
      <c r="A94" s="188"/>
      <c r="B94" s="190"/>
      <c r="C94" s="190"/>
      <c r="D94" s="190"/>
      <c r="E94" s="190"/>
      <c r="F94" s="190"/>
      <c r="G94" s="190"/>
      <c r="H94" s="190"/>
      <c r="I94" s="190"/>
      <c r="J94" s="190" t="s">
        <v>167</v>
      </c>
      <c r="K94" s="190"/>
      <c r="L94" s="190"/>
      <c r="M94" s="188"/>
      <c r="N94" s="273">
        <f>+L93-N91-N92</f>
        <v>-16325.217875435017</v>
      </c>
      <c r="O94" s="273">
        <f>N94</f>
        <v>-16325.217875435017</v>
      </c>
    </row>
    <row r="95" spans="1:22" s="25" customFormat="1" ht="13.5" thickBot="1" x14ac:dyDescent="0.25">
      <c r="A95" s="274" t="s">
        <v>2</v>
      </c>
      <c r="B95" s="275"/>
      <c r="C95" s="276" t="s">
        <v>161</v>
      </c>
      <c r="D95" s="277" t="s">
        <v>187</v>
      </c>
      <c r="E95" s="278" t="s">
        <v>188</v>
      </c>
      <c r="J95" s="12"/>
      <c r="K95" s="12"/>
      <c r="L95" s="12"/>
      <c r="N95" s="279">
        <f>SUM(N91:N94)</f>
        <v>30258816.679864153</v>
      </c>
      <c r="O95" s="279">
        <f>SUM(O91:O94)</f>
        <v>30258816.679864153</v>
      </c>
    </row>
    <row r="96" spans="1:22" ht="13.5" thickTop="1" x14ac:dyDescent="0.2">
      <c r="A96" s="280">
        <v>2014</v>
      </c>
      <c r="B96" s="281"/>
      <c r="C96" s="282">
        <f>+B79</f>
        <v>2759869.4400000013</v>
      </c>
      <c r="D96" s="282">
        <f>+C96*0.5</f>
        <v>1379934.7200000007</v>
      </c>
      <c r="E96" s="283">
        <f>+C96*0.5</f>
        <v>1379934.7200000007</v>
      </c>
    </row>
    <row r="97" spans="1:15" x14ac:dyDescent="0.2">
      <c r="A97" s="280">
        <f>+A96+1</f>
        <v>2015</v>
      </c>
      <c r="B97" s="281"/>
      <c r="C97" s="282">
        <f>+C79</f>
        <v>3429419.620000001</v>
      </c>
      <c r="D97" s="282"/>
      <c r="E97" s="283">
        <f>+C97</f>
        <v>3429419.620000001</v>
      </c>
      <c r="H97" s="337" t="s">
        <v>164</v>
      </c>
      <c r="I97" s="338"/>
      <c r="J97" s="338"/>
      <c r="K97" s="339"/>
      <c r="M97" s="3"/>
      <c r="O97" s="4"/>
    </row>
    <row r="98" spans="1:15" x14ac:dyDescent="0.2">
      <c r="A98" s="280">
        <f t="shared" ref="A98:A99" si="17">+A97+1</f>
        <v>2016</v>
      </c>
      <c r="B98" s="281"/>
      <c r="C98" s="282">
        <f>+D79</f>
        <v>3266387.2499999977</v>
      </c>
      <c r="D98" s="282"/>
      <c r="E98" s="283">
        <f t="shared" ref="E98:E99" si="18">+C98</f>
        <v>3266387.2499999977</v>
      </c>
      <c r="H98" s="285" t="s">
        <v>168</v>
      </c>
      <c r="I98" s="96"/>
      <c r="J98" s="96"/>
      <c r="K98" s="286">
        <v>-5007700.1947221002</v>
      </c>
      <c r="M98" s="3"/>
    </row>
    <row r="99" spans="1:15" x14ac:dyDescent="0.2">
      <c r="A99" s="280">
        <f t="shared" si="17"/>
        <v>2017</v>
      </c>
      <c r="B99" s="281"/>
      <c r="C99" s="282">
        <f>+E79</f>
        <v>1761064.1600000008</v>
      </c>
      <c r="D99" s="282"/>
      <c r="E99" s="283">
        <f t="shared" si="18"/>
        <v>1761064.1600000008</v>
      </c>
      <c r="H99" s="287" t="s">
        <v>169</v>
      </c>
      <c r="I99" s="288"/>
      <c r="J99" s="288"/>
      <c r="K99" s="289">
        <v>2759281.1674999986</v>
      </c>
      <c r="M99" s="3"/>
      <c r="O99" s="4"/>
    </row>
    <row r="100" spans="1:15" ht="15" x14ac:dyDescent="0.35">
      <c r="A100" s="290" t="s">
        <v>186</v>
      </c>
      <c r="B100" s="281"/>
      <c r="C100" s="282">
        <f>SUM(C96:C99)</f>
        <v>11216740.470000001</v>
      </c>
      <c r="D100" s="282">
        <f>SUM(D96:D99)</f>
        <v>1379934.7200000007</v>
      </c>
      <c r="E100" s="283">
        <f>SUM(E96:E99)</f>
        <v>9836805.75</v>
      </c>
      <c r="H100" s="291" t="s">
        <v>170</v>
      </c>
      <c r="I100" s="282"/>
      <c r="J100" s="282"/>
      <c r="K100" s="292">
        <v>-1911437</v>
      </c>
      <c r="M100" s="3"/>
    </row>
    <row r="101" spans="1:15" ht="15" x14ac:dyDescent="0.35">
      <c r="A101" s="280" t="s">
        <v>159</v>
      </c>
      <c r="B101" s="281"/>
      <c r="C101" s="293">
        <v>374900</v>
      </c>
      <c r="D101" s="293">
        <v>0</v>
      </c>
      <c r="E101" s="294">
        <f>+C101-D101</f>
        <v>374900</v>
      </c>
      <c r="H101" s="295"/>
      <c r="I101" s="282"/>
      <c r="J101" s="282"/>
      <c r="K101" s="296">
        <f>SUM(K98:K100)</f>
        <v>-4159856.0272221016</v>
      </c>
      <c r="M101" s="3"/>
    </row>
    <row r="102" spans="1:15" x14ac:dyDescent="0.2">
      <c r="A102" s="290"/>
      <c r="B102" s="281"/>
      <c r="C102" s="282">
        <f>SUM(C100:C101)</f>
        <v>11591640.470000001</v>
      </c>
      <c r="D102" s="282">
        <f>SUM(D100:D101)</f>
        <v>1379934.7200000007</v>
      </c>
      <c r="E102" s="283">
        <f>SUM(E100:E101)</f>
        <v>10211705.75</v>
      </c>
      <c r="H102" s="297"/>
      <c r="I102" s="17"/>
      <c r="J102" s="17"/>
      <c r="K102" s="298"/>
      <c r="M102" s="3"/>
    </row>
    <row r="103" spans="1:15" ht="15" x14ac:dyDescent="0.35">
      <c r="A103" s="290" t="s">
        <v>160</v>
      </c>
      <c r="B103" s="281"/>
      <c r="C103" s="299">
        <f>-C102*35.9/83.1</f>
        <v>-5007700.275246691</v>
      </c>
      <c r="D103" s="299"/>
      <c r="E103" s="292">
        <f>+C103</f>
        <v>-5007700.275246691</v>
      </c>
    </row>
    <row r="104" spans="1:15" x14ac:dyDescent="0.2">
      <c r="A104" s="300" t="s">
        <v>161</v>
      </c>
      <c r="B104" s="301"/>
      <c r="C104" s="17">
        <f t="shared" ref="C104:D104" si="19">SUM(C102:C103)</f>
        <v>6583940.1947533097</v>
      </c>
      <c r="D104" s="17">
        <f t="shared" si="19"/>
        <v>1379934.7200000007</v>
      </c>
      <c r="E104" s="298">
        <f>SUM(E102:E103)</f>
        <v>5204005.474753309</v>
      </c>
    </row>
    <row r="105" spans="1:15" x14ac:dyDescent="0.2">
      <c r="A105" s="9"/>
      <c r="E105" s="4"/>
      <c r="N105" s="3"/>
      <c r="O105" s="3"/>
    </row>
    <row r="106" spans="1:15" ht="15" x14ac:dyDescent="0.35">
      <c r="A106" s="9" t="s">
        <v>216</v>
      </c>
      <c r="E106" s="302"/>
      <c r="N106" s="3"/>
      <c r="O106" s="3"/>
    </row>
    <row r="107" spans="1:15" x14ac:dyDescent="0.2">
      <c r="A107" s="303" t="s">
        <v>195</v>
      </c>
      <c r="B107" s="304">
        <f>SUM(B23:B85)</f>
        <v>6473910.1524999999</v>
      </c>
      <c r="C107" s="304">
        <f t="shared" ref="C107:H107" si="20">SUM(C23:C85)</f>
        <v>8096705.0969999982</v>
      </c>
      <c r="D107" s="304">
        <f t="shared" si="20"/>
        <v>8252150.1599999964</v>
      </c>
      <c r="E107" s="304">
        <f t="shared" si="20"/>
        <v>10707339.810000001</v>
      </c>
      <c r="F107" s="304">
        <f t="shared" si="20"/>
        <v>6994655.4699999997</v>
      </c>
      <c r="G107" s="304">
        <f t="shared" si="20"/>
        <v>8671357.1999999993</v>
      </c>
      <c r="H107" s="305">
        <f t="shared" si="20"/>
        <v>7496093.3800000008</v>
      </c>
    </row>
    <row r="108" spans="1:15" x14ac:dyDescent="0.2">
      <c r="A108" s="290" t="s">
        <v>196</v>
      </c>
      <c r="B108" s="306">
        <f>+'OATT Additions by Asset '!B5</f>
        <v>351851.99</v>
      </c>
      <c r="C108" s="306">
        <f>+'OATT Additions by Asset '!C5</f>
        <v>531860.28000000026</v>
      </c>
      <c r="D108" s="306">
        <f>+'OATT Additions by Asset '!D5</f>
        <v>522931.71999999986</v>
      </c>
      <c r="E108" s="306">
        <f>+'OATT Additions by Asset '!E5</f>
        <v>922021.40000000026</v>
      </c>
      <c r="F108" s="306">
        <f>+'OATT Additions by Asset '!F5</f>
        <v>644077.7700000006</v>
      </c>
      <c r="G108" s="306">
        <f>+'OATT Additions by Asset '!G5</f>
        <v>431171.42999999953</v>
      </c>
      <c r="H108" s="307">
        <f>+'OATT Additions by Asset '!H5</f>
        <v>927869.33000000089</v>
      </c>
      <c r="I108" s="38"/>
    </row>
    <row r="109" spans="1:15" x14ac:dyDescent="0.2">
      <c r="A109" s="300" t="s">
        <v>197</v>
      </c>
      <c r="B109" s="308">
        <f>+B86-B107-B108</f>
        <v>332964.41799999983</v>
      </c>
      <c r="C109" s="308">
        <f t="shared" ref="C109:H109" si="21">+C86-C107-C108</f>
        <v>107701.59999999963</v>
      </c>
      <c r="D109" s="308">
        <f t="shared" si="21"/>
        <v>198279.53000000014</v>
      </c>
      <c r="E109" s="308">
        <f t="shared" si="21"/>
        <v>-242281.22999999847</v>
      </c>
      <c r="F109" s="308">
        <f t="shared" si="21"/>
        <v>243595.09000000067</v>
      </c>
      <c r="G109" s="308">
        <f t="shared" si="21"/>
        <v>446522.57000000234</v>
      </c>
      <c r="H109" s="309">
        <f t="shared" si="21"/>
        <v>301213.83999999904</v>
      </c>
    </row>
  </sheetData>
  <autoFilter ref="A4:O104" xr:uid="{00000000-0009-0000-0000-000002000000}"/>
  <customSheetViews>
    <customSheetView guid="{0B883182-CA7E-436B-9583-BDCC5436016C}" showAutoFilter="1">
      <selection activeCell="Q4" sqref="Q4"/>
      <pageMargins left="0.7" right="0.7" top="0.75" bottom="0.75" header="0.3" footer="0.3"/>
      <pageSetup orientation="portrait" r:id="rId1"/>
      <autoFilter ref="A4:O4" xr:uid="{00000000-0000-0000-0000-000000000000}"/>
    </customSheetView>
  </customSheetViews>
  <pageMargins left="0.7" right="0.7" top="0.75" bottom="0.75" header="0.3" footer="0.3"/>
  <pageSetup orientation="portrait" r:id="rId2"/>
  <headerFooter>
    <oddHeader>&amp;RIR-4 - Attachment 1</oddHead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9"/>
  <sheetViews>
    <sheetView tabSelected="1" zoomScaleNormal="100" workbookViewId="0">
      <selection activeCell="D27" sqref="D27"/>
    </sheetView>
  </sheetViews>
  <sheetFormatPr defaultRowHeight="12.75" x14ac:dyDescent="0.2"/>
  <cols>
    <col min="1" max="1" width="46.5703125" style="47" customWidth="1"/>
    <col min="2" max="2" width="12.7109375" style="1" bestFit="1" customWidth="1"/>
    <col min="3" max="3" width="11.7109375" style="25" customWidth="1"/>
    <col min="4" max="4" width="14.7109375" style="51" customWidth="1"/>
    <col min="5" max="5" width="11.85546875" style="1" bestFit="1" customWidth="1"/>
    <col min="6" max="6" width="9.42578125" style="1" customWidth="1"/>
    <col min="7" max="7" width="13.140625" style="1" customWidth="1"/>
    <col min="8" max="8" width="11.85546875" style="1" bestFit="1" customWidth="1"/>
    <col min="9" max="10" width="11.7109375" style="1" customWidth="1"/>
    <col min="11" max="11" width="11.85546875" style="1" bestFit="1" customWidth="1"/>
    <col min="12" max="12" width="15.140625" style="1" bestFit="1" customWidth="1"/>
    <col min="13" max="13" width="10.28515625" style="1" customWidth="1"/>
    <col min="14" max="14" width="11.85546875" style="1" bestFit="1" customWidth="1"/>
    <col min="15" max="15" width="16.140625" style="1" bestFit="1" customWidth="1"/>
    <col min="16" max="16" width="10.28515625" style="1" customWidth="1"/>
    <col min="17" max="17" width="11.85546875" style="1" bestFit="1" customWidth="1"/>
    <col min="18" max="18" width="15.140625" style="1" bestFit="1" customWidth="1"/>
    <col min="19" max="19" width="9.42578125" style="1" bestFit="1" customWidth="1"/>
    <col min="20" max="20" width="11.85546875" style="1" bestFit="1" customWidth="1"/>
    <col min="21" max="22" width="9.42578125" style="1" bestFit="1" customWidth="1"/>
    <col min="23" max="16384" width="9.140625" style="1"/>
  </cols>
  <sheetData>
    <row r="1" spans="1:22" x14ac:dyDescent="0.2">
      <c r="A1" s="48" t="s">
        <v>110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50"/>
    </row>
    <row r="3" spans="1:22" ht="13.5" thickBot="1" x14ac:dyDescent="0.25"/>
    <row r="4" spans="1:22" s="43" customFormat="1" ht="51" x14ac:dyDescent="0.2">
      <c r="A4" s="52" t="s">
        <v>11</v>
      </c>
      <c r="B4" s="53" t="s">
        <v>81</v>
      </c>
      <c r="C4" s="54" t="s">
        <v>189</v>
      </c>
      <c r="D4" s="55" t="s">
        <v>100</v>
      </c>
      <c r="E4" s="53" t="s">
        <v>82</v>
      </c>
      <c r="F4" s="54" t="str">
        <f>+C4</f>
        <v>Capital Budget Approval Order #</v>
      </c>
      <c r="G4" s="55" t="s">
        <v>100</v>
      </c>
      <c r="H4" s="53" t="s">
        <v>83</v>
      </c>
      <c r="I4" s="54" t="str">
        <f>+C4</f>
        <v>Capital Budget Approval Order #</v>
      </c>
      <c r="J4" s="55" t="s">
        <v>100</v>
      </c>
      <c r="K4" s="53" t="s">
        <v>85</v>
      </c>
      <c r="L4" s="54" t="str">
        <f>+C4</f>
        <v>Capital Budget Approval Order #</v>
      </c>
      <c r="M4" s="55" t="s">
        <v>100</v>
      </c>
      <c r="N4" s="53" t="s">
        <v>86</v>
      </c>
      <c r="O4" s="54" t="str">
        <f>+C4</f>
        <v>Capital Budget Approval Order #</v>
      </c>
      <c r="P4" s="55" t="s">
        <v>100</v>
      </c>
      <c r="Q4" s="53" t="s">
        <v>87</v>
      </c>
      <c r="R4" s="54" t="str">
        <f>+O4</f>
        <v>Capital Budget Approval Order #</v>
      </c>
      <c r="S4" s="55" t="s">
        <v>100</v>
      </c>
      <c r="T4" s="53" t="s">
        <v>88</v>
      </c>
      <c r="U4" s="54" t="str">
        <f>+R4</f>
        <v>Capital Budget Approval Order #</v>
      </c>
      <c r="V4" s="55" t="s">
        <v>100</v>
      </c>
    </row>
    <row r="5" spans="1:22" x14ac:dyDescent="0.2">
      <c r="A5" s="56" t="s">
        <v>112</v>
      </c>
      <c r="B5" s="57"/>
      <c r="C5" s="58"/>
      <c r="D5" s="59"/>
      <c r="E5" s="57"/>
      <c r="F5" s="58"/>
      <c r="G5" s="60"/>
      <c r="H5" s="57"/>
      <c r="I5" s="58"/>
      <c r="J5" s="60"/>
      <c r="K5" s="57"/>
      <c r="L5" s="58"/>
      <c r="M5" s="60"/>
      <c r="N5" s="57"/>
      <c r="O5" s="58"/>
      <c r="P5" s="60"/>
      <c r="Q5" s="57"/>
      <c r="R5" s="58"/>
      <c r="S5" s="60"/>
      <c r="T5" s="57"/>
      <c r="U5" s="58"/>
      <c r="V5" s="60"/>
    </row>
    <row r="6" spans="1:22" x14ac:dyDescent="0.2">
      <c r="A6" s="56" t="s">
        <v>48</v>
      </c>
      <c r="B6" s="57">
        <v>1233000</v>
      </c>
      <c r="C6" s="58" t="s">
        <v>90</v>
      </c>
      <c r="D6" s="59" t="s">
        <v>93</v>
      </c>
      <c r="E6" s="57">
        <v>1000000</v>
      </c>
      <c r="F6" s="58" t="s">
        <v>91</v>
      </c>
      <c r="G6" s="60" t="s">
        <v>94</v>
      </c>
      <c r="H6" s="57">
        <v>521000</v>
      </c>
      <c r="I6" s="58" t="s">
        <v>93</v>
      </c>
      <c r="J6" s="61" t="s">
        <v>95</v>
      </c>
      <c r="K6" s="57">
        <v>0</v>
      </c>
      <c r="L6" s="58"/>
      <c r="M6" s="60"/>
      <c r="N6" s="57">
        <v>0</v>
      </c>
      <c r="O6" s="58"/>
      <c r="P6" s="60"/>
      <c r="Q6" s="57">
        <v>0</v>
      </c>
      <c r="R6" s="58"/>
      <c r="S6" s="60"/>
      <c r="T6" s="57">
        <v>0</v>
      </c>
      <c r="U6" s="58"/>
      <c r="V6" s="60"/>
    </row>
    <row r="7" spans="1:22" x14ac:dyDescent="0.2">
      <c r="A7" s="56" t="s">
        <v>52</v>
      </c>
      <c r="B7" s="57">
        <v>325000</v>
      </c>
      <c r="C7" s="58" t="s">
        <v>90</v>
      </c>
      <c r="D7" s="59" t="s">
        <v>93</v>
      </c>
      <c r="E7" s="57">
        <v>802000</v>
      </c>
      <c r="F7" s="58" t="s">
        <v>91</v>
      </c>
      <c r="G7" s="60" t="s">
        <v>94</v>
      </c>
      <c r="H7" s="57">
        <v>0</v>
      </c>
      <c r="I7" s="58"/>
      <c r="J7" s="60"/>
      <c r="K7" s="57">
        <v>0</v>
      </c>
      <c r="L7" s="58"/>
      <c r="M7" s="60"/>
      <c r="N7" s="57">
        <v>0</v>
      </c>
      <c r="O7" s="58"/>
      <c r="P7" s="60"/>
      <c r="Q7" s="57">
        <v>0</v>
      </c>
      <c r="R7" s="58"/>
      <c r="S7" s="60"/>
      <c r="T7" s="57">
        <v>0</v>
      </c>
      <c r="U7" s="58"/>
      <c r="V7" s="60"/>
    </row>
    <row r="8" spans="1:22" x14ac:dyDescent="0.2">
      <c r="A8" s="62" t="s">
        <v>53</v>
      </c>
      <c r="B8" s="63">
        <v>983000</v>
      </c>
      <c r="C8" s="64" t="s">
        <v>90</v>
      </c>
      <c r="D8" s="65" t="s">
        <v>93</v>
      </c>
      <c r="E8" s="63">
        <v>919000</v>
      </c>
      <c r="F8" s="64" t="s">
        <v>91</v>
      </c>
      <c r="G8" s="66" t="s">
        <v>94</v>
      </c>
      <c r="H8" s="63">
        <v>833000</v>
      </c>
      <c r="I8" s="64" t="s">
        <v>93</v>
      </c>
      <c r="J8" s="67" t="s">
        <v>95</v>
      </c>
      <c r="K8" s="63">
        <v>901000</v>
      </c>
      <c r="L8" s="64" t="s">
        <v>94</v>
      </c>
      <c r="M8" s="67" t="s">
        <v>96</v>
      </c>
      <c r="N8" s="63">
        <v>665000</v>
      </c>
      <c r="O8" s="64" t="s">
        <v>95</v>
      </c>
      <c r="P8" s="68" t="s">
        <v>97</v>
      </c>
      <c r="Q8" s="63">
        <v>716000</v>
      </c>
      <c r="R8" s="64" t="s">
        <v>96</v>
      </c>
      <c r="S8" s="69" t="s">
        <v>103</v>
      </c>
      <c r="T8" s="63">
        <v>947000</v>
      </c>
      <c r="U8" s="64" t="s">
        <v>97</v>
      </c>
      <c r="V8" s="67" t="s">
        <v>108</v>
      </c>
    </row>
    <row r="9" spans="1:22" x14ac:dyDescent="0.2">
      <c r="A9" s="56" t="s">
        <v>49</v>
      </c>
      <c r="B9" s="57">
        <v>0</v>
      </c>
      <c r="C9" s="58"/>
      <c r="D9" s="59"/>
      <c r="E9" s="57">
        <v>0</v>
      </c>
      <c r="F9" s="58"/>
      <c r="G9" s="60"/>
      <c r="H9" s="57">
        <v>521000</v>
      </c>
      <c r="I9" s="58" t="s">
        <v>93</v>
      </c>
      <c r="J9" s="61" t="s">
        <v>95</v>
      </c>
      <c r="K9" s="57">
        <v>560000</v>
      </c>
      <c r="L9" s="58" t="s">
        <v>94</v>
      </c>
      <c r="M9" s="61" t="s">
        <v>96</v>
      </c>
      <c r="N9" s="57">
        <v>487000</v>
      </c>
      <c r="O9" s="58" t="s">
        <v>95</v>
      </c>
      <c r="P9" s="70" t="s">
        <v>97</v>
      </c>
      <c r="Q9" s="57">
        <v>527000</v>
      </c>
      <c r="R9" s="58" t="s">
        <v>96</v>
      </c>
      <c r="S9" s="71" t="s">
        <v>103</v>
      </c>
      <c r="T9" s="57">
        <v>557000</v>
      </c>
      <c r="U9" s="58" t="s">
        <v>97</v>
      </c>
      <c r="V9" s="61" t="s">
        <v>108</v>
      </c>
    </row>
    <row r="10" spans="1:22" x14ac:dyDescent="0.2">
      <c r="A10" s="62" t="s">
        <v>50</v>
      </c>
      <c r="B10" s="63">
        <v>130000</v>
      </c>
      <c r="C10" s="64" t="s">
        <v>90</v>
      </c>
      <c r="D10" s="65" t="s">
        <v>93</v>
      </c>
      <c r="E10" s="63">
        <v>170000</v>
      </c>
      <c r="F10" s="64" t="s">
        <v>91</v>
      </c>
      <c r="G10" s="66" t="s">
        <v>94</v>
      </c>
      <c r="H10" s="63">
        <v>197000</v>
      </c>
      <c r="I10" s="64" t="s">
        <v>93</v>
      </c>
      <c r="J10" s="67" t="s">
        <v>95</v>
      </c>
      <c r="K10" s="63">
        <v>194000</v>
      </c>
      <c r="L10" s="64" t="s">
        <v>94</v>
      </c>
      <c r="M10" s="67" t="s">
        <v>96</v>
      </c>
      <c r="N10" s="63">
        <v>176000</v>
      </c>
      <c r="O10" s="64" t="s">
        <v>95</v>
      </c>
      <c r="P10" s="68" t="s">
        <v>97</v>
      </c>
      <c r="Q10" s="63">
        <v>182000</v>
      </c>
      <c r="R10" s="64" t="s">
        <v>96</v>
      </c>
      <c r="S10" s="69" t="s">
        <v>103</v>
      </c>
      <c r="T10" s="63">
        <v>200000</v>
      </c>
      <c r="U10" s="64" t="s">
        <v>97</v>
      </c>
      <c r="V10" s="67" t="s">
        <v>108</v>
      </c>
    </row>
    <row r="11" spans="1:22" x14ac:dyDescent="0.2">
      <c r="A11" s="72" t="s">
        <v>51</v>
      </c>
      <c r="B11" s="63">
        <v>45000</v>
      </c>
      <c r="C11" s="64" t="s">
        <v>90</v>
      </c>
      <c r="D11" s="65" t="s">
        <v>93</v>
      </c>
      <c r="E11" s="63"/>
      <c r="F11" s="64"/>
      <c r="G11" s="66"/>
      <c r="H11" s="63"/>
      <c r="I11" s="64"/>
      <c r="J11" s="67"/>
      <c r="K11" s="63"/>
      <c r="L11" s="64"/>
      <c r="M11" s="67"/>
      <c r="N11" s="63"/>
      <c r="O11" s="64"/>
      <c r="P11" s="68"/>
      <c r="Q11" s="63"/>
      <c r="R11" s="64"/>
      <c r="S11" s="69"/>
      <c r="T11" s="63"/>
      <c r="U11" s="64"/>
      <c r="V11" s="67"/>
    </row>
    <row r="12" spans="1:22" x14ac:dyDescent="0.2">
      <c r="A12" s="62" t="s">
        <v>54</v>
      </c>
      <c r="B12" s="63">
        <v>169000</v>
      </c>
      <c r="C12" s="64" t="s">
        <v>90</v>
      </c>
      <c r="D12" s="65" t="s">
        <v>93</v>
      </c>
      <c r="E12" s="63">
        <v>145000</v>
      </c>
      <c r="F12" s="64" t="s">
        <v>91</v>
      </c>
      <c r="G12" s="66" t="s">
        <v>94</v>
      </c>
      <c r="H12" s="63">
        <v>139000</v>
      </c>
      <c r="I12" s="64" t="s">
        <v>93</v>
      </c>
      <c r="J12" s="67" t="s">
        <v>95</v>
      </c>
      <c r="K12" s="63">
        <v>278000</v>
      </c>
      <c r="L12" s="64" t="s">
        <v>94</v>
      </c>
      <c r="M12" s="67" t="s">
        <v>96</v>
      </c>
      <c r="N12" s="63">
        <v>194000</v>
      </c>
      <c r="O12" s="64" t="s">
        <v>95</v>
      </c>
      <c r="P12" s="68" t="s">
        <v>97</v>
      </c>
      <c r="Q12" s="63">
        <v>204000</v>
      </c>
      <c r="R12" s="64" t="s">
        <v>96</v>
      </c>
      <c r="S12" s="69" t="s">
        <v>103</v>
      </c>
      <c r="T12" s="63">
        <v>228000</v>
      </c>
      <c r="U12" s="64" t="s">
        <v>97</v>
      </c>
      <c r="V12" s="67" t="s">
        <v>108</v>
      </c>
    </row>
    <row r="13" spans="1:22" ht="25.5" x14ac:dyDescent="0.2">
      <c r="A13" s="62" t="s">
        <v>55</v>
      </c>
      <c r="B13" s="63">
        <v>77000</v>
      </c>
      <c r="C13" s="64" t="s">
        <v>104</v>
      </c>
      <c r="D13" s="65" t="s">
        <v>113</v>
      </c>
      <c r="E13" s="63">
        <v>90000</v>
      </c>
      <c r="F13" s="64" t="s">
        <v>91</v>
      </c>
      <c r="G13" s="66" t="s">
        <v>94</v>
      </c>
      <c r="H13" s="63">
        <v>415000</v>
      </c>
      <c r="I13" s="64" t="s">
        <v>93</v>
      </c>
      <c r="J13" s="67" t="s">
        <v>95</v>
      </c>
      <c r="K13" s="63"/>
      <c r="L13" s="64"/>
      <c r="M13" s="66"/>
      <c r="N13" s="63">
        <v>498000</v>
      </c>
      <c r="O13" s="64" t="s">
        <v>95</v>
      </c>
      <c r="P13" s="68" t="s">
        <v>97</v>
      </c>
      <c r="Q13" s="63">
        <v>679000</v>
      </c>
      <c r="R13" s="64" t="s">
        <v>96</v>
      </c>
      <c r="S13" s="69" t="s">
        <v>103</v>
      </c>
      <c r="T13" s="63"/>
      <c r="U13" s="64"/>
      <c r="V13" s="66"/>
    </row>
    <row r="14" spans="1:22" ht="25.5" x14ac:dyDescent="0.2">
      <c r="A14" s="62" t="s">
        <v>72</v>
      </c>
      <c r="B14" s="63">
        <v>80000</v>
      </c>
      <c r="C14" s="64" t="s">
        <v>104</v>
      </c>
      <c r="D14" s="65" t="s">
        <v>113</v>
      </c>
      <c r="E14" s="63"/>
      <c r="F14" s="64"/>
      <c r="G14" s="66"/>
      <c r="H14" s="63"/>
      <c r="I14" s="64"/>
      <c r="J14" s="66"/>
      <c r="K14" s="63"/>
      <c r="L14" s="64"/>
      <c r="M14" s="66"/>
      <c r="N14" s="63"/>
      <c r="O14" s="64"/>
      <c r="P14" s="66"/>
      <c r="Q14" s="63"/>
      <c r="R14" s="64"/>
      <c r="S14" s="66"/>
      <c r="T14" s="63"/>
      <c r="U14" s="64"/>
      <c r="V14" s="66"/>
    </row>
    <row r="15" spans="1:22" x14ac:dyDescent="0.2">
      <c r="A15" s="62" t="s">
        <v>55</v>
      </c>
      <c r="B15" s="63">
        <v>145000</v>
      </c>
      <c r="C15" s="64" t="s">
        <v>90</v>
      </c>
      <c r="D15" s="65" t="s">
        <v>93</v>
      </c>
      <c r="E15" s="63"/>
      <c r="F15" s="64"/>
      <c r="G15" s="66"/>
      <c r="H15" s="63"/>
      <c r="I15" s="64"/>
      <c r="J15" s="66"/>
      <c r="K15" s="63"/>
      <c r="L15" s="64"/>
      <c r="M15" s="66"/>
      <c r="N15" s="63"/>
      <c r="O15" s="64"/>
      <c r="P15" s="66"/>
      <c r="Q15" s="63"/>
      <c r="R15" s="64"/>
      <c r="S15" s="66"/>
      <c r="T15" s="63"/>
      <c r="U15" s="64" t="s">
        <v>107</v>
      </c>
      <c r="V15" s="66"/>
    </row>
    <row r="16" spans="1:22" x14ac:dyDescent="0.2">
      <c r="A16" s="56" t="s">
        <v>74</v>
      </c>
      <c r="B16" s="57"/>
      <c r="C16" s="58"/>
      <c r="D16" s="59"/>
      <c r="E16" s="57">
        <v>0</v>
      </c>
      <c r="F16" s="58"/>
      <c r="G16" s="60"/>
      <c r="H16" s="57">
        <v>0</v>
      </c>
      <c r="I16" s="58"/>
      <c r="J16" s="60"/>
      <c r="K16" s="57">
        <v>840000</v>
      </c>
      <c r="L16" s="58" t="s">
        <v>94</v>
      </c>
      <c r="M16" s="61" t="s">
        <v>96</v>
      </c>
      <c r="N16" s="57">
        <v>945000</v>
      </c>
      <c r="O16" s="58" t="s">
        <v>95</v>
      </c>
      <c r="P16" s="70" t="s">
        <v>97</v>
      </c>
      <c r="Q16" s="57">
        <v>891000</v>
      </c>
      <c r="R16" s="58" t="s">
        <v>96</v>
      </c>
      <c r="S16" s="71" t="s">
        <v>103</v>
      </c>
      <c r="T16" s="57">
        <v>900000</v>
      </c>
      <c r="U16" s="58" t="s">
        <v>97</v>
      </c>
      <c r="V16" s="61" t="s">
        <v>108</v>
      </c>
    </row>
    <row r="17" spans="1:22" x14ac:dyDescent="0.2">
      <c r="A17" s="56" t="s">
        <v>92</v>
      </c>
      <c r="B17" s="57"/>
      <c r="C17" s="58"/>
      <c r="D17" s="59"/>
      <c r="E17" s="57"/>
      <c r="F17" s="58"/>
      <c r="G17" s="60"/>
      <c r="H17" s="57">
        <v>150000</v>
      </c>
      <c r="I17" s="58" t="s">
        <v>93</v>
      </c>
      <c r="J17" s="61" t="s">
        <v>95</v>
      </c>
      <c r="K17" s="57"/>
      <c r="L17" s="58"/>
      <c r="M17" s="60"/>
      <c r="N17" s="57"/>
      <c r="O17" s="58"/>
      <c r="P17" s="60"/>
      <c r="Q17" s="57"/>
      <c r="R17" s="58"/>
      <c r="S17" s="60"/>
      <c r="T17" s="57"/>
      <c r="U17" s="58"/>
      <c r="V17" s="60"/>
    </row>
    <row r="18" spans="1:22" x14ac:dyDescent="0.2">
      <c r="A18" s="56" t="s">
        <v>26</v>
      </c>
      <c r="B18" s="57"/>
      <c r="C18" s="58"/>
      <c r="D18" s="59"/>
      <c r="E18" s="57"/>
      <c r="F18" s="58"/>
      <c r="G18" s="60"/>
      <c r="H18" s="57"/>
      <c r="I18" s="58"/>
      <c r="J18" s="60"/>
      <c r="K18" s="57"/>
      <c r="L18" s="58"/>
      <c r="M18" s="60"/>
      <c r="N18" s="57">
        <v>660000</v>
      </c>
      <c r="O18" s="58" t="s">
        <v>95</v>
      </c>
      <c r="P18" s="70" t="s">
        <v>97</v>
      </c>
      <c r="Q18" s="57">
        <v>680000</v>
      </c>
      <c r="R18" s="58" t="s">
        <v>96</v>
      </c>
      <c r="S18" s="71" t="s">
        <v>103</v>
      </c>
      <c r="T18" s="57">
        <v>700000</v>
      </c>
      <c r="U18" s="58" t="s">
        <v>97</v>
      </c>
      <c r="V18" s="61" t="s">
        <v>108</v>
      </c>
    </row>
    <row r="19" spans="1:22" x14ac:dyDescent="0.2">
      <c r="A19" s="56" t="s">
        <v>99</v>
      </c>
      <c r="B19" s="57"/>
      <c r="C19" s="58"/>
      <c r="D19" s="59"/>
      <c r="E19" s="57"/>
      <c r="F19" s="58"/>
      <c r="G19" s="60"/>
      <c r="H19" s="57"/>
      <c r="I19" s="58"/>
      <c r="J19" s="60"/>
      <c r="K19" s="57"/>
      <c r="L19" s="58"/>
      <c r="M19" s="60"/>
      <c r="N19" s="57"/>
      <c r="O19" s="58"/>
      <c r="P19" s="60"/>
      <c r="Q19" s="57"/>
      <c r="R19" s="58"/>
      <c r="S19" s="60"/>
      <c r="T19" s="57">
        <v>0</v>
      </c>
      <c r="U19" s="58" t="s">
        <v>174</v>
      </c>
      <c r="V19" s="61" t="s">
        <v>108</v>
      </c>
    </row>
    <row r="20" spans="1:22" x14ac:dyDescent="0.2">
      <c r="A20" s="56" t="s">
        <v>98</v>
      </c>
      <c r="B20" s="57"/>
      <c r="C20" s="58"/>
      <c r="D20" s="59"/>
      <c r="E20" s="57"/>
      <c r="F20" s="58"/>
      <c r="G20" s="60"/>
      <c r="H20" s="57"/>
      <c r="I20" s="58"/>
      <c r="J20" s="60"/>
      <c r="K20" s="57"/>
      <c r="L20" s="58"/>
      <c r="M20" s="60"/>
      <c r="N20" s="57"/>
      <c r="O20" s="58"/>
      <c r="P20" s="60"/>
      <c r="Q20" s="57"/>
      <c r="R20" s="58"/>
      <c r="S20" s="60"/>
      <c r="T20" s="57">
        <v>0</v>
      </c>
      <c r="U20" s="58" t="s">
        <v>174</v>
      </c>
      <c r="V20" s="61" t="s">
        <v>108</v>
      </c>
    </row>
    <row r="21" spans="1:22" x14ac:dyDescent="0.2">
      <c r="A21" s="73" t="s">
        <v>62</v>
      </c>
      <c r="B21" s="74">
        <v>599000</v>
      </c>
      <c r="C21" s="75" t="s">
        <v>90</v>
      </c>
      <c r="D21" s="76" t="s">
        <v>93</v>
      </c>
      <c r="E21" s="74">
        <v>400000</v>
      </c>
      <c r="F21" s="75" t="s">
        <v>91</v>
      </c>
      <c r="G21" s="77" t="s">
        <v>94</v>
      </c>
      <c r="H21" s="74">
        <v>0</v>
      </c>
      <c r="I21" s="75"/>
      <c r="J21" s="77"/>
      <c r="K21" s="74">
        <v>0</v>
      </c>
      <c r="L21" s="75"/>
      <c r="M21" s="77"/>
      <c r="N21" s="74">
        <v>0</v>
      </c>
      <c r="O21" s="75"/>
      <c r="P21" s="77"/>
      <c r="Q21" s="74"/>
      <c r="R21" s="75"/>
      <c r="S21" s="77"/>
      <c r="T21" s="74">
        <v>0</v>
      </c>
      <c r="U21" s="75"/>
      <c r="V21" s="77"/>
    </row>
    <row r="22" spans="1:22" x14ac:dyDescent="0.2">
      <c r="A22" s="56" t="s">
        <v>56</v>
      </c>
      <c r="B22" s="57">
        <v>0</v>
      </c>
      <c r="C22" s="58"/>
      <c r="D22" s="59"/>
      <c r="E22" s="57">
        <v>0</v>
      </c>
      <c r="F22" s="58"/>
      <c r="G22" s="60"/>
      <c r="H22" s="57">
        <v>0</v>
      </c>
      <c r="I22" s="58"/>
      <c r="J22" s="60"/>
      <c r="K22" s="57">
        <v>0</v>
      </c>
      <c r="L22" s="58"/>
      <c r="M22" s="60"/>
      <c r="N22" s="57">
        <v>0</v>
      </c>
      <c r="O22" s="58"/>
      <c r="P22" s="60"/>
      <c r="Q22" s="57">
        <v>0</v>
      </c>
      <c r="R22" s="58"/>
      <c r="S22" s="60"/>
      <c r="T22" s="57">
        <v>0</v>
      </c>
      <c r="U22" s="58"/>
      <c r="V22" s="60"/>
    </row>
    <row r="23" spans="1:22" x14ac:dyDescent="0.2">
      <c r="A23" s="56" t="s">
        <v>15</v>
      </c>
      <c r="B23" s="57">
        <v>0</v>
      </c>
      <c r="C23" s="58"/>
      <c r="D23" s="59"/>
      <c r="E23" s="57"/>
      <c r="F23" s="58"/>
      <c r="G23" s="60"/>
      <c r="H23" s="57"/>
      <c r="I23" s="58"/>
      <c r="J23" s="60"/>
      <c r="K23" s="57"/>
      <c r="L23" s="58"/>
      <c r="M23" s="60"/>
      <c r="N23" s="57"/>
      <c r="O23" s="58"/>
      <c r="P23" s="60"/>
      <c r="Q23" s="57"/>
      <c r="R23" s="58"/>
      <c r="S23" s="60"/>
      <c r="T23" s="57"/>
      <c r="U23" s="58"/>
      <c r="V23" s="60"/>
    </row>
    <row r="24" spans="1:22" x14ac:dyDescent="0.2">
      <c r="A24" s="56" t="s">
        <v>60</v>
      </c>
      <c r="B24" s="57">
        <v>30000</v>
      </c>
      <c r="C24" s="58" t="s">
        <v>90</v>
      </c>
      <c r="D24" s="59" t="s">
        <v>93</v>
      </c>
      <c r="E24" s="57">
        <v>35000</v>
      </c>
      <c r="F24" s="58" t="s">
        <v>91</v>
      </c>
      <c r="G24" s="60" t="s">
        <v>94</v>
      </c>
      <c r="H24" s="57">
        <v>31000</v>
      </c>
      <c r="I24" s="58" t="s">
        <v>93</v>
      </c>
      <c r="J24" s="61" t="s">
        <v>95</v>
      </c>
      <c r="K24" s="57">
        <v>36000</v>
      </c>
      <c r="L24" s="58" t="s">
        <v>94</v>
      </c>
      <c r="M24" s="61" t="s">
        <v>96</v>
      </c>
      <c r="N24" s="57">
        <v>39000</v>
      </c>
      <c r="O24" s="58" t="s">
        <v>95</v>
      </c>
      <c r="P24" s="70" t="s">
        <v>97</v>
      </c>
      <c r="Q24" s="57"/>
      <c r="R24" s="58"/>
      <c r="S24" s="60"/>
      <c r="T24" s="57"/>
      <c r="U24" s="58"/>
      <c r="V24" s="60"/>
    </row>
    <row r="25" spans="1:22" ht="25.5" x14ac:dyDescent="0.2">
      <c r="A25" s="78" t="s">
        <v>63</v>
      </c>
      <c r="B25" s="79">
        <v>400000</v>
      </c>
      <c r="C25" s="80" t="s">
        <v>90</v>
      </c>
      <c r="D25" s="81" t="s">
        <v>93</v>
      </c>
      <c r="E25" s="79">
        <v>80000</v>
      </c>
      <c r="F25" s="80" t="s">
        <v>90</v>
      </c>
      <c r="G25" s="82" t="s">
        <v>114</v>
      </c>
      <c r="H25" s="79">
        <v>440000</v>
      </c>
      <c r="I25" s="80" t="s">
        <v>93</v>
      </c>
      <c r="J25" s="83" t="s">
        <v>95</v>
      </c>
      <c r="K25" s="79">
        <v>426000</v>
      </c>
      <c r="L25" s="80" t="s">
        <v>94</v>
      </c>
      <c r="M25" s="83" t="s">
        <v>96</v>
      </c>
      <c r="N25" s="79">
        <v>500000</v>
      </c>
      <c r="O25" s="80" t="s">
        <v>95</v>
      </c>
      <c r="P25" s="84" t="s">
        <v>97</v>
      </c>
      <c r="Q25" s="79">
        <v>515000</v>
      </c>
      <c r="R25" s="80" t="s">
        <v>96</v>
      </c>
      <c r="S25" s="85" t="s">
        <v>103</v>
      </c>
      <c r="T25" s="79">
        <v>565000</v>
      </c>
      <c r="U25" s="80" t="s">
        <v>97</v>
      </c>
      <c r="V25" s="83" t="s">
        <v>108</v>
      </c>
    </row>
    <row r="26" spans="1:22" ht="25.5" x14ac:dyDescent="0.2">
      <c r="A26" s="56" t="s">
        <v>73</v>
      </c>
      <c r="B26" s="57">
        <v>484000</v>
      </c>
      <c r="C26" s="58" t="s">
        <v>104</v>
      </c>
      <c r="D26" s="59" t="s">
        <v>113</v>
      </c>
      <c r="E26" s="57">
        <v>0</v>
      </c>
      <c r="F26" s="58"/>
      <c r="G26" s="60"/>
      <c r="H26" s="57"/>
      <c r="I26" s="58"/>
      <c r="J26" s="60"/>
      <c r="K26" s="57"/>
      <c r="L26" s="58"/>
      <c r="M26" s="60"/>
      <c r="N26" s="57"/>
      <c r="O26" s="58"/>
      <c r="P26" s="60"/>
      <c r="Q26" s="57"/>
      <c r="R26" s="58"/>
      <c r="S26" s="60"/>
      <c r="T26" s="57"/>
      <c r="U26" s="58"/>
      <c r="V26" s="60"/>
    </row>
    <row r="27" spans="1:22" x14ac:dyDescent="0.2">
      <c r="A27" s="73" t="s">
        <v>65</v>
      </c>
      <c r="B27" s="74">
        <v>100000</v>
      </c>
      <c r="C27" s="75" t="s">
        <v>90</v>
      </c>
      <c r="D27" s="76" t="s">
        <v>93</v>
      </c>
      <c r="E27" s="74">
        <v>100000</v>
      </c>
      <c r="F27" s="75" t="s">
        <v>91</v>
      </c>
      <c r="G27" s="77" t="s">
        <v>94</v>
      </c>
      <c r="H27" s="74"/>
      <c r="I27" s="75"/>
      <c r="J27" s="77"/>
      <c r="K27" s="74"/>
      <c r="L27" s="75"/>
      <c r="M27" s="77"/>
      <c r="N27" s="74"/>
      <c r="O27" s="75"/>
      <c r="P27" s="77"/>
      <c r="Q27" s="74"/>
      <c r="R27" s="75"/>
      <c r="S27" s="77"/>
      <c r="T27" s="74"/>
      <c r="U27" s="75"/>
      <c r="V27" s="77"/>
    </row>
    <row r="28" spans="1:22" x14ac:dyDescent="0.2">
      <c r="A28" s="86" t="s">
        <v>218</v>
      </c>
      <c r="B28" s="74"/>
      <c r="C28" s="75"/>
      <c r="D28" s="76"/>
      <c r="E28" s="74"/>
      <c r="F28" s="75"/>
      <c r="G28" s="77"/>
      <c r="H28" s="74"/>
      <c r="I28" s="75"/>
      <c r="J28" s="77"/>
      <c r="K28" s="74"/>
      <c r="L28" s="75"/>
      <c r="M28" s="77"/>
      <c r="N28" s="74"/>
      <c r="O28" s="75"/>
      <c r="P28" s="77"/>
      <c r="Q28" s="74"/>
      <c r="R28" s="75"/>
      <c r="S28" s="77"/>
      <c r="T28" s="74"/>
      <c r="U28" s="75"/>
      <c r="V28" s="77"/>
    </row>
    <row r="29" spans="1:22" x14ac:dyDescent="0.2">
      <c r="A29" s="73" t="s">
        <v>64</v>
      </c>
      <c r="B29" s="74">
        <v>135000</v>
      </c>
      <c r="C29" s="75" t="s">
        <v>90</v>
      </c>
      <c r="D29" s="76" t="s">
        <v>93</v>
      </c>
      <c r="E29" s="74"/>
      <c r="F29" s="75"/>
      <c r="G29" s="77"/>
      <c r="H29" s="74"/>
      <c r="I29" s="75"/>
      <c r="J29" s="77"/>
      <c r="K29" s="74"/>
      <c r="L29" s="75"/>
      <c r="M29" s="77"/>
      <c r="N29" s="74"/>
      <c r="O29" s="75"/>
      <c r="P29" s="77"/>
      <c r="Q29" s="74"/>
      <c r="R29" s="75"/>
      <c r="S29" s="77"/>
      <c r="T29" s="74"/>
      <c r="U29" s="75"/>
      <c r="V29" s="77"/>
    </row>
    <row r="30" spans="1:22" x14ac:dyDescent="0.2">
      <c r="A30" s="56" t="s">
        <v>58</v>
      </c>
      <c r="B30" s="57">
        <v>160000</v>
      </c>
      <c r="C30" s="58" t="s">
        <v>90</v>
      </c>
      <c r="D30" s="59" t="s">
        <v>93</v>
      </c>
      <c r="E30" s="57"/>
      <c r="F30" s="58"/>
      <c r="G30" s="60"/>
      <c r="H30" s="57"/>
      <c r="I30" s="58"/>
      <c r="J30" s="60"/>
      <c r="K30" s="57"/>
      <c r="L30" s="58"/>
      <c r="M30" s="60"/>
      <c r="N30" s="57"/>
      <c r="O30" s="58"/>
      <c r="P30" s="60"/>
      <c r="Q30" s="57"/>
      <c r="R30" s="58"/>
      <c r="S30" s="60"/>
      <c r="T30" s="57"/>
      <c r="U30" s="58"/>
      <c r="V30" s="60"/>
    </row>
    <row r="31" spans="1:22" x14ac:dyDescent="0.2">
      <c r="A31" s="87" t="s">
        <v>59</v>
      </c>
      <c r="B31" s="88">
        <v>450000</v>
      </c>
      <c r="C31" s="89" t="s">
        <v>90</v>
      </c>
      <c r="D31" s="90" t="s">
        <v>93</v>
      </c>
      <c r="E31" s="88">
        <v>565000</v>
      </c>
      <c r="F31" s="89" t="s">
        <v>91</v>
      </c>
      <c r="G31" s="91" t="s">
        <v>94</v>
      </c>
      <c r="H31" s="88">
        <v>427000</v>
      </c>
      <c r="I31" s="89" t="s">
        <v>93</v>
      </c>
      <c r="J31" s="92" t="s">
        <v>95</v>
      </c>
      <c r="K31" s="88">
        <v>566000</v>
      </c>
      <c r="L31" s="89" t="s">
        <v>94</v>
      </c>
      <c r="M31" s="92" t="s">
        <v>96</v>
      </c>
      <c r="N31" s="88">
        <v>460000</v>
      </c>
      <c r="O31" s="89" t="s">
        <v>95</v>
      </c>
      <c r="P31" s="93" t="s">
        <v>97</v>
      </c>
      <c r="Q31" s="88"/>
      <c r="R31" s="89"/>
      <c r="S31" s="91"/>
      <c r="T31" s="88"/>
      <c r="U31" s="89"/>
      <c r="V31" s="91"/>
    </row>
    <row r="32" spans="1:22" x14ac:dyDescent="0.2">
      <c r="A32" s="73" t="s">
        <v>67</v>
      </c>
      <c r="B32" s="74">
        <v>300000</v>
      </c>
      <c r="C32" s="75" t="s">
        <v>90</v>
      </c>
      <c r="D32" s="76" t="s">
        <v>93</v>
      </c>
      <c r="E32" s="74"/>
      <c r="F32" s="75"/>
      <c r="G32" s="77"/>
      <c r="H32" s="74"/>
      <c r="I32" s="75"/>
      <c r="J32" s="77"/>
      <c r="K32" s="74"/>
      <c r="L32" s="75"/>
      <c r="M32" s="77"/>
      <c r="N32" s="74"/>
      <c r="O32" s="75"/>
      <c r="P32" s="77"/>
      <c r="Q32" s="74"/>
      <c r="R32" s="75"/>
      <c r="S32" s="77"/>
      <c r="T32" s="74"/>
      <c r="U32" s="75"/>
      <c r="V32" s="77"/>
    </row>
    <row r="33" spans="1:22" s="25" customFormat="1" x14ac:dyDescent="0.2">
      <c r="A33" s="94" t="s">
        <v>165</v>
      </c>
      <c r="B33" s="95">
        <v>3058000</v>
      </c>
      <c r="C33" s="96" t="s">
        <v>90</v>
      </c>
      <c r="D33" s="97" t="s">
        <v>93</v>
      </c>
      <c r="E33" s="95">
        <v>3200000</v>
      </c>
      <c r="F33" s="96" t="s">
        <v>91</v>
      </c>
      <c r="G33" s="98" t="s">
        <v>94</v>
      </c>
      <c r="H33" s="95">
        <v>2884000</v>
      </c>
      <c r="I33" s="96" t="s">
        <v>93</v>
      </c>
      <c r="J33" s="99" t="s">
        <v>95</v>
      </c>
      <c r="K33" s="95">
        <v>1730000</v>
      </c>
      <c r="L33" s="96" t="s">
        <v>94</v>
      </c>
      <c r="M33" s="99" t="s">
        <v>96</v>
      </c>
      <c r="N33" s="95"/>
      <c r="O33" s="96"/>
      <c r="P33" s="98"/>
      <c r="Q33" s="95"/>
      <c r="R33" s="96"/>
      <c r="S33" s="98"/>
      <c r="T33" s="95"/>
      <c r="U33" s="96"/>
      <c r="V33" s="98"/>
    </row>
    <row r="34" spans="1:22" ht="25.5" x14ac:dyDescent="0.2">
      <c r="A34" s="56" t="s">
        <v>69</v>
      </c>
      <c r="B34" s="57">
        <v>750000</v>
      </c>
      <c r="C34" s="58" t="s">
        <v>90</v>
      </c>
      <c r="D34" s="59" t="s">
        <v>93</v>
      </c>
      <c r="E34" s="57">
        <v>801000</v>
      </c>
      <c r="F34" s="58" t="s">
        <v>90</v>
      </c>
      <c r="G34" s="100" t="s">
        <v>114</v>
      </c>
      <c r="H34" s="57"/>
      <c r="I34" s="58"/>
      <c r="J34" s="60"/>
      <c r="K34" s="57"/>
      <c r="L34" s="58"/>
      <c r="M34" s="60"/>
      <c r="N34" s="57"/>
      <c r="O34" s="58"/>
      <c r="P34" s="60"/>
      <c r="Q34" s="57"/>
      <c r="R34" s="58"/>
      <c r="S34" s="60"/>
      <c r="T34" s="57"/>
      <c r="U34" s="58"/>
      <c r="V34" s="60"/>
    </row>
    <row r="35" spans="1:22" ht="25.5" x14ac:dyDescent="0.2">
      <c r="A35" s="56" t="s">
        <v>70</v>
      </c>
      <c r="B35" s="57">
        <v>250000</v>
      </c>
      <c r="C35" s="58" t="s">
        <v>90</v>
      </c>
      <c r="D35" s="59" t="s">
        <v>93</v>
      </c>
      <c r="E35" s="57">
        <v>98000</v>
      </c>
      <c r="F35" s="58" t="s">
        <v>90</v>
      </c>
      <c r="G35" s="100" t="s">
        <v>114</v>
      </c>
      <c r="H35" s="57"/>
      <c r="I35" s="58"/>
      <c r="J35" s="60"/>
      <c r="K35" s="57"/>
      <c r="L35" s="58"/>
      <c r="M35" s="60"/>
      <c r="N35" s="57"/>
      <c r="O35" s="58"/>
      <c r="P35" s="60"/>
      <c r="Q35" s="57"/>
      <c r="R35" s="58"/>
      <c r="S35" s="60"/>
      <c r="T35" s="57"/>
      <c r="U35" s="58"/>
      <c r="V35" s="60"/>
    </row>
    <row r="36" spans="1:22" ht="25.5" x14ac:dyDescent="0.2">
      <c r="A36" s="56" t="s">
        <v>57</v>
      </c>
      <c r="B36" s="57">
        <v>902000</v>
      </c>
      <c r="C36" s="58" t="s">
        <v>90</v>
      </c>
      <c r="D36" s="59" t="s">
        <v>93</v>
      </c>
      <c r="E36" s="57">
        <v>80000</v>
      </c>
      <c r="F36" s="58" t="s">
        <v>90</v>
      </c>
      <c r="G36" s="100" t="s">
        <v>114</v>
      </c>
      <c r="H36" s="57"/>
      <c r="I36" s="58"/>
      <c r="J36" s="60"/>
      <c r="K36" s="57"/>
      <c r="L36" s="58"/>
      <c r="M36" s="60"/>
      <c r="N36" s="57"/>
      <c r="O36" s="58"/>
      <c r="P36" s="60"/>
      <c r="Q36" s="57"/>
      <c r="R36" s="58"/>
      <c r="S36" s="60"/>
      <c r="T36" s="57"/>
      <c r="U36" s="58"/>
      <c r="V36" s="60"/>
    </row>
    <row r="37" spans="1:22" x14ac:dyDescent="0.2">
      <c r="A37" s="56" t="s">
        <v>61</v>
      </c>
      <c r="B37" s="57">
        <v>30000</v>
      </c>
      <c r="C37" s="58" t="s">
        <v>90</v>
      </c>
      <c r="D37" s="59" t="s">
        <v>93</v>
      </c>
      <c r="E37" s="57"/>
      <c r="F37" s="58"/>
      <c r="G37" s="61"/>
      <c r="H37" s="57"/>
      <c r="I37" s="58"/>
      <c r="J37" s="60"/>
      <c r="K37" s="57"/>
      <c r="L37" s="58"/>
      <c r="M37" s="60"/>
      <c r="N37" s="57"/>
      <c r="O37" s="58"/>
      <c r="P37" s="60"/>
      <c r="Q37" s="57"/>
      <c r="R37" s="58"/>
      <c r="S37" s="60"/>
      <c r="T37" s="57"/>
      <c r="U37" s="58"/>
      <c r="V37" s="60"/>
    </row>
    <row r="38" spans="1:22" x14ac:dyDescent="0.2">
      <c r="A38" s="73" t="s">
        <v>66</v>
      </c>
      <c r="B38" s="74">
        <v>0</v>
      </c>
      <c r="C38" s="75" t="s">
        <v>90</v>
      </c>
      <c r="D38" s="76" t="s">
        <v>93</v>
      </c>
      <c r="E38" s="74"/>
      <c r="F38" s="75"/>
      <c r="G38" s="77"/>
      <c r="H38" s="74"/>
      <c r="I38" s="75"/>
      <c r="J38" s="77"/>
      <c r="K38" s="74"/>
      <c r="L38" s="75"/>
      <c r="M38" s="77"/>
      <c r="N38" s="74"/>
      <c r="O38" s="75"/>
      <c r="P38" s="77"/>
      <c r="Q38" s="74"/>
      <c r="R38" s="75"/>
      <c r="S38" s="77"/>
      <c r="T38" s="74"/>
      <c r="U38" s="75"/>
      <c r="V38" s="77"/>
    </row>
    <row r="39" spans="1:22" ht="25.5" x14ac:dyDescent="0.2">
      <c r="A39" s="56" t="s">
        <v>75</v>
      </c>
      <c r="B39" s="57"/>
      <c r="C39" s="58"/>
      <c r="D39" s="59"/>
      <c r="E39" s="57">
        <v>706000</v>
      </c>
      <c r="F39" s="58" t="s">
        <v>91</v>
      </c>
      <c r="G39" s="60" t="s">
        <v>94</v>
      </c>
      <c r="H39" s="57">
        <v>608000</v>
      </c>
      <c r="I39" s="58" t="s">
        <v>91</v>
      </c>
      <c r="J39" s="100" t="s">
        <v>115</v>
      </c>
      <c r="K39" s="57"/>
      <c r="L39" s="58"/>
      <c r="M39" s="60"/>
      <c r="N39" s="57"/>
      <c r="O39" s="58"/>
      <c r="P39" s="60"/>
      <c r="Q39" s="57"/>
      <c r="R39" s="58"/>
      <c r="S39" s="60"/>
      <c r="T39" s="57"/>
      <c r="U39" s="58"/>
      <c r="V39" s="60"/>
    </row>
    <row r="40" spans="1:22" x14ac:dyDescent="0.2">
      <c r="A40" s="56" t="s">
        <v>76</v>
      </c>
      <c r="B40" s="57"/>
      <c r="C40" s="58"/>
      <c r="D40" s="59"/>
      <c r="E40" s="57">
        <v>488000</v>
      </c>
      <c r="F40" s="58" t="s">
        <v>91</v>
      </c>
      <c r="G40" s="60" t="s">
        <v>94</v>
      </c>
      <c r="H40" s="57">
        <v>1305000</v>
      </c>
      <c r="I40" s="58" t="s">
        <v>93</v>
      </c>
      <c r="J40" s="61" t="s">
        <v>95</v>
      </c>
      <c r="K40" s="57"/>
      <c r="L40" s="58"/>
      <c r="M40" s="60"/>
      <c r="N40" s="57"/>
      <c r="O40" s="58"/>
      <c r="P40" s="60"/>
      <c r="Q40" s="57"/>
      <c r="R40" s="58"/>
      <c r="S40" s="60"/>
      <c r="T40" s="57"/>
      <c r="U40" s="58"/>
      <c r="V40" s="60"/>
    </row>
    <row r="41" spans="1:22" x14ac:dyDescent="0.2">
      <c r="A41" s="56" t="s">
        <v>80</v>
      </c>
      <c r="B41" s="57"/>
      <c r="C41" s="58"/>
      <c r="D41" s="59"/>
      <c r="E41" s="57">
        <v>714000</v>
      </c>
      <c r="F41" s="58" t="s">
        <v>91</v>
      </c>
      <c r="G41" s="60" t="s">
        <v>94</v>
      </c>
      <c r="H41" s="57"/>
      <c r="I41" s="58"/>
      <c r="J41" s="60"/>
      <c r="K41" s="57"/>
      <c r="L41" s="58"/>
      <c r="M41" s="60"/>
      <c r="N41" s="57"/>
      <c r="O41" s="58"/>
      <c r="P41" s="60"/>
      <c r="Q41" s="57"/>
      <c r="R41" s="58"/>
      <c r="S41" s="60"/>
      <c r="T41" s="57"/>
      <c r="U41" s="58"/>
      <c r="V41" s="60"/>
    </row>
    <row r="42" spans="1:22" ht="25.5" x14ac:dyDescent="0.2">
      <c r="A42" s="101" t="s">
        <v>77</v>
      </c>
      <c r="B42" s="102"/>
      <c r="C42" s="103"/>
      <c r="D42" s="104"/>
      <c r="E42" s="102">
        <v>600000</v>
      </c>
      <c r="F42" s="103" t="s">
        <v>91</v>
      </c>
      <c r="G42" s="105" t="s">
        <v>94</v>
      </c>
      <c r="H42" s="102">
        <v>300000</v>
      </c>
      <c r="I42" s="103" t="s">
        <v>91</v>
      </c>
      <c r="J42" s="106" t="s">
        <v>115</v>
      </c>
      <c r="K42" s="102"/>
      <c r="L42" s="103"/>
      <c r="M42" s="105"/>
      <c r="N42" s="102"/>
      <c r="O42" s="103"/>
      <c r="P42" s="105"/>
      <c r="Q42" s="102"/>
      <c r="R42" s="103"/>
      <c r="S42" s="105"/>
      <c r="T42" s="102"/>
      <c r="U42" s="103"/>
      <c r="V42" s="105"/>
    </row>
    <row r="43" spans="1:22" x14ac:dyDescent="0.2">
      <c r="A43" s="73" t="s">
        <v>78</v>
      </c>
      <c r="B43" s="74"/>
      <c r="C43" s="75"/>
      <c r="D43" s="76"/>
      <c r="E43" s="74">
        <v>882000</v>
      </c>
      <c r="F43" s="75" t="s">
        <v>91</v>
      </c>
      <c r="G43" s="77" t="s">
        <v>94</v>
      </c>
      <c r="H43" s="74">
        <v>850000</v>
      </c>
      <c r="I43" s="75" t="s">
        <v>93</v>
      </c>
      <c r="J43" s="107" t="s">
        <v>95</v>
      </c>
      <c r="K43" s="108">
        <v>1079000</v>
      </c>
      <c r="L43" s="75" t="s">
        <v>94</v>
      </c>
      <c r="M43" s="107" t="s">
        <v>96</v>
      </c>
      <c r="N43" s="74">
        <v>813000</v>
      </c>
      <c r="O43" s="75" t="s">
        <v>95</v>
      </c>
      <c r="P43" s="109" t="s">
        <v>97</v>
      </c>
      <c r="Q43" s="74">
        <v>865000</v>
      </c>
      <c r="R43" s="75" t="s">
        <v>96</v>
      </c>
      <c r="S43" s="110" t="s">
        <v>103</v>
      </c>
      <c r="T43" s="74">
        <v>890000</v>
      </c>
      <c r="U43" s="75" t="s">
        <v>97</v>
      </c>
      <c r="V43" s="107" t="s">
        <v>108</v>
      </c>
    </row>
    <row r="44" spans="1:22" x14ac:dyDescent="0.2">
      <c r="A44" s="73" t="s">
        <v>84</v>
      </c>
      <c r="B44" s="74"/>
      <c r="C44" s="75"/>
      <c r="D44" s="76"/>
      <c r="E44" s="74"/>
      <c r="F44" s="75"/>
      <c r="G44" s="77"/>
      <c r="H44" s="74">
        <v>254000</v>
      </c>
      <c r="I44" s="75" t="s">
        <v>93</v>
      </c>
      <c r="J44" s="107" t="s">
        <v>95</v>
      </c>
      <c r="K44" s="74"/>
      <c r="L44" s="75"/>
      <c r="M44" s="77"/>
      <c r="N44" s="74"/>
      <c r="O44" s="75"/>
      <c r="P44" s="77"/>
      <c r="Q44" s="74"/>
      <c r="R44" s="75"/>
      <c r="S44" s="77"/>
      <c r="T44" s="74"/>
      <c r="U44" s="75"/>
      <c r="V44" s="77"/>
    </row>
    <row r="45" spans="1:22" ht="25.5" x14ac:dyDescent="0.2">
      <c r="A45" s="111" t="s">
        <v>12</v>
      </c>
      <c r="B45" s="112"/>
      <c r="C45" s="113"/>
      <c r="D45" s="114"/>
      <c r="E45" s="112"/>
      <c r="F45" s="113"/>
      <c r="G45" s="115"/>
      <c r="H45" s="112">
        <v>1030000</v>
      </c>
      <c r="I45" s="113" t="s">
        <v>93</v>
      </c>
      <c r="J45" s="116" t="s">
        <v>95</v>
      </c>
      <c r="K45" s="112">
        <v>610000</v>
      </c>
      <c r="L45" s="117" t="s">
        <v>101</v>
      </c>
      <c r="M45" s="118" t="s">
        <v>116</v>
      </c>
      <c r="N45" s="112"/>
      <c r="O45" s="113"/>
      <c r="P45" s="115"/>
      <c r="Q45" s="112"/>
      <c r="R45" s="113"/>
      <c r="S45" s="115"/>
      <c r="T45" s="112"/>
      <c r="U45" s="113"/>
      <c r="V45" s="115"/>
    </row>
    <row r="46" spans="1:22" ht="25.5" x14ac:dyDescent="0.2">
      <c r="A46" s="56" t="s">
        <v>13</v>
      </c>
      <c r="B46" s="57"/>
      <c r="C46" s="58"/>
      <c r="D46" s="59"/>
      <c r="E46" s="57"/>
      <c r="F46" s="58"/>
      <c r="G46" s="60"/>
      <c r="H46" s="57">
        <v>600000</v>
      </c>
      <c r="I46" s="58" t="s">
        <v>93</v>
      </c>
      <c r="J46" s="61" t="s">
        <v>95</v>
      </c>
      <c r="K46" s="57">
        <v>485000</v>
      </c>
      <c r="L46" s="119" t="s">
        <v>101</v>
      </c>
      <c r="M46" s="100" t="s">
        <v>116</v>
      </c>
      <c r="N46" s="57"/>
      <c r="O46" s="58"/>
      <c r="P46" s="60"/>
      <c r="Q46" s="57"/>
      <c r="R46" s="58"/>
      <c r="S46" s="60"/>
      <c r="T46" s="57"/>
      <c r="U46" s="58"/>
      <c r="V46" s="60"/>
    </row>
    <row r="47" spans="1:22" ht="25.5" x14ac:dyDescent="0.2">
      <c r="A47" s="56" t="s">
        <v>14</v>
      </c>
      <c r="B47" s="57"/>
      <c r="C47" s="58"/>
      <c r="D47" s="59"/>
      <c r="E47" s="57"/>
      <c r="F47" s="58"/>
      <c r="G47" s="60"/>
      <c r="H47" s="57">
        <v>774000</v>
      </c>
      <c r="I47" s="58" t="s">
        <v>93</v>
      </c>
      <c r="J47" s="61" t="s">
        <v>95</v>
      </c>
      <c r="K47" s="57">
        <v>769000</v>
      </c>
      <c r="L47" s="119" t="s">
        <v>101</v>
      </c>
      <c r="M47" s="100" t="s">
        <v>116</v>
      </c>
      <c r="N47" s="57"/>
      <c r="O47" s="58"/>
      <c r="P47" s="60"/>
      <c r="Q47" s="57"/>
      <c r="R47" s="58"/>
      <c r="S47" s="60"/>
      <c r="T47" s="57"/>
      <c r="U47" s="58"/>
      <c r="V47" s="60"/>
    </row>
    <row r="48" spans="1:22" ht="51" x14ac:dyDescent="0.2">
      <c r="A48" s="56" t="s">
        <v>15</v>
      </c>
      <c r="B48" s="57"/>
      <c r="C48" s="58"/>
      <c r="D48" s="59"/>
      <c r="E48" s="57"/>
      <c r="F48" s="58"/>
      <c r="G48" s="60"/>
      <c r="H48" s="57">
        <v>61000</v>
      </c>
      <c r="I48" s="58" t="s">
        <v>93</v>
      </c>
      <c r="J48" s="61" t="s">
        <v>95</v>
      </c>
      <c r="K48" s="57">
        <v>60000</v>
      </c>
      <c r="L48" s="119" t="s">
        <v>101</v>
      </c>
      <c r="M48" s="100" t="s">
        <v>116</v>
      </c>
      <c r="N48" s="57">
        <v>60000</v>
      </c>
      <c r="O48" s="119" t="s">
        <v>101</v>
      </c>
      <c r="P48" s="100" t="s">
        <v>118</v>
      </c>
      <c r="Q48" s="57">
        <v>60000</v>
      </c>
      <c r="R48" s="119" t="s">
        <v>101</v>
      </c>
      <c r="S48" s="120" t="s">
        <v>120</v>
      </c>
      <c r="T48" s="57"/>
      <c r="U48" s="58"/>
      <c r="V48" s="60"/>
    </row>
    <row r="49" spans="1:22" ht="38.25" x14ac:dyDescent="0.2">
      <c r="A49" s="121" t="s">
        <v>16</v>
      </c>
      <c r="B49" s="122"/>
      <c r="C49" s="123"/>
      <c r="D49" s="124"/>
      <c r="E49" s="122"/>
      <c r="F49" s="123"/>
      <c r="G49" s="125"/>
      <c r="H49" s="122">
        <v>1661000</v>
      </c>
      <c r="I49" s="123" t="s">
        <v>93</v>
      </c>
      <c r="J49" s="126" t="s">
        <v>95</v>
      </c>
      <c r="K49" s="122">
        <v>1358000</v>
      </c>
      <c r="L49" s="127" t="s">
        <v>101</v>
      </c>
      <c r="M49" s="128" t="s">
        <v>116</v>
      </c>
      <c r="N49" s="122">
        <v>604000</v>
      </c>
      <c r="O49" s="127" t="s">
        <v>101</v>
      </c>
      <c r="P49" s="128" t="s">
        <v>118</v>
      </c>
      <c r="Q49" s="122"/>
      <c r="R49" s="123"/>
      <c r="S49" s="125"/>
      <c r="T49" s="122"/>
      <c r="U49" s="123"/>
      <c r="V49" s="125"/>
    </row>
    <row r="50" spans="1:22" ht="25.5" x14ac:dyDescent="0.2">
      <c r="A50" s="56" t="s">
        <v>17</v>
      </c>
      <c r="B50" s="57"/>
      <c r="C50" s="58"/>
      <c r="D50" s="59"/>
      <c r="E50" s="57"/>
      <c r="F50" s="58"/>
      <c r="G50" s="60"/>
      <c r="H50" s="57"/>
      <c r="I50" s="58"/>
      <c r="J50" s="60"/>
      <c r="K50" s="57">
        <v>82000</v>
      </c>
      <c r="L50" s="58" t="s">
        <v>94</v>
      </c>
      <c r="M50" s="61" t="s">
        <v>96</v>
      </c>
      <c r="N50" s="57">
        <v>1338000</v>
      </c>
      <c r="O50" s="58" t="s">
        <v>95</v>
      </c>
      <c r="P50" s="70" t="s">
        <v>97</v>
      </c>
      <c r="Q50" s="57">
        <v>110000</v>
      </c>
      <c r="R50" s="129" t="s">
        <v>102</v>
      </c>
      <c r="S50" s="120" t="s">
        <v>119</v>
      </c>
      <c r="T50" s="57"/>
      <c r="U50" s="58"/>
      <c r="V50" s="60"/>
    </row>
    <row r="51" spans="1:22" ht="25.5" x14ac:dyDescent="0.2">
      <c r="A51" s="56" t="s">
        <v>18</v>
      </c>
      <c r="B51" s="57"/>
      <c r="C51" s="58"/>
      <c r="D51" s="59"/>
      <c r="E51" s="57"/>
      <c r="F51" s="58"/>
      <c r="G51" s="60"/>
      <c r="H51" s="57"/>
      <c r="I51" s="58"/>
      <c r="J51" s="60"/>
      <c r="K51" s="57">
        <v>976000</v>
      </c>
      <c r="L51" s="58" t="s">
        <v>94</v>
      </c>
      <c r="M51" s="61" t="s">
        <v>96</v>
      </c>
      <c r="N51" s="57">
        <v>550000</v>
      </c>
      <c r="O51" s="58" t="s">
        <v>94</v>
      </c>
      <c r="P51" s="100" t="s">
        <v>117</v>
      </c>
      <c r="Q51" s="57"/>
      <c r="R51" s="58"/>
      <c r="S51" s="60"/>
      <c r="T51" s="57"/>
      <c r="U51" s="58"/>
      <c r="V51" s="60"/>
    </row>
    <row r="52" spans="1:22" ht="25.5" x14ac:dyDescent="0.2">
      <c r="A52" s="56" t="s">
        <v>19</v>
      </c>
      <c r="B52" s="57"/>
      <c r="C52" s="58"/>
      <c r="D52" s="59"/>
      <c r="E52" s="57"/>
      <c r="F52" s="58"/>
      <c r="G52" s="60"/>
      <c r="H52" s="57"/>
      <c r="I52" s="58"/>
      <c r="J52" s="60"/>
      <c r="K52" s="57">
        <v>992000</v>
      </c>
      <c r="L52" s="58" t="s">
        <v>94</v>
      </c>
      <c r="M52" s="61" t="s">
        <v>96</v>
      </c>
      <c r="N52" s="57">
        <v>110000</v>
      </c>
      <c r="O52" s="58" t="s">
        <v>94</v>
      </c>
      <c r="P52" s="100" t="s">
        <v>117</v>
      </c>
      <c r="Q52" s="57"/>
      <c r="R52" s="58"/>
      <c r="S52" s="60"/>
      <c r="T52" s="57"/>
      <c r="U52" s="58"/>
      <c r="V52" s="60"/>
    </row>
    <row r="53" spans="1:22" x14ac:dyDescent="0.2">
      <c r="A53" s="56" t="s">
        <v>20</v>
      </c>
      <c r="B53" s="57"/>
      <c r="C53" s="58"/>
      <c r="D53" s="59"/>
      <c r="E53" s="57"/>
      <c r="F53" s="58"/>
      <c r="G53" s="60"/>
      <c r="H53" s="57"/>
      <c r="I53" s="58"/>
      <c r="J53" s="60"/>
      <c r="K53" s="57">
        <v>552000</v>
      </c>
      <c r="L53" s="58" t="s">
        <v>94</v>
      </c>
      <c r="M53" s="61" t="s">
        <v>96</v>
      </c>
      <c r="N53" s="57"/>
      <c r="O53" s="58"/>
      <c r="P53" s="60"/>
      <c r="Q53" s="57"/>
      <c r="R53" s="58"/>
      <c r="S53" s="60"/>
      <c r="T53" s="57"/>
      <c r="U53" s="58"/>
      <c r="V53" s="60"/>
    </row>
    <row r="54" spans="1:22" x14ac:dyDescent="0.2">
      <c r="A54" s="130" t="s">
        <v>21</v>
      </c>
      <c r="B54" s="131"/>
      <c r="C54" s="132"/>
      <c r="D54" s="133"/>
      <c r="E54" s="131"/>
      <c r="F54" s="132"/>
      <c r="G54" s="134"/>
      <c r="H54" s="131"/>
      <c r="I54" s="132"/>
      <c r="J54" s="134"/>
      <c r="K54" s="131">
        <v>1062500</v>
      </c>
      <c r="L54" s="132" t="s">
        <v>94</v>
      </c>
      <c r="M54" s="135" t="s">
        <v>96</v>
      </c>
      <c r="N54" s="131"/>
      <c r="O54" s="132"/>
      <c r="P54" s="134"/>
      <c r="Q54" s="131"/>
      <c r="R54" s="132"/>
      <c r="S54" s="134"/>
      <c r="T54" s="131"/>
      <c r="U54" s="132"/>
      <c r="V54" s="134"/>
    </row>
    <row r="55" spans="1:22" x14ac:dyDescent="0.2">
      <c r="A55" s="136" t="s">
        <v>22</v>
      </c>
      <c r="B55" s="137"/>
      <c r="C55" s="138"/>
      <c r="D55" s="139"/>
      <c r="E55" s="137"/>
      <c r="F55" s="138"/>
      <c r="G55" s="140"/>
      <c r="H55" s="137"/>
      <c r="I55" s="138"/>
      <c r="J55" s="140"/>
      <c r="K55" s="137">
        <v>937500</v>
      </c>
      <c r="L55" s="138" t="s">
        <v>94</v>
      </c>
      <c r="M55" s="141" t="s">
        <v>96</v>
      </c>
      <c r="N55" s="137"/>
      <c r="O55" s="138"/>
      <c r="P55" s="140"/>
      <c r="Q55" s="137"/>
      <c r="R55" s="138"/>
      <c r="S55" s="140"/>
      <c r="T55" s="137"/>
      <c r="U55" s="138"/>
      <c r="V55" s="140"/>
    </row>
    <row r="56" spans="1:22" x14ac:dyDescent="0.2">
      <c r="A56" s="142" t="s">
        <v>23</v>
      </c>
      <c r="B56" s="143"/>
      <c r="C56" s="144"/>
      <c r="D56" s="145"/>
      <c r="E56" s="143"/>
      <c r="F56" s="144"/>
      <c r="G56" s="146"/>
      <c r="H56" s="143"/>
      <c r="I56" s="144"/>
      <c r="J56" s="146"/>
      <c r="K56" s="143">
        <v>106000</v>
      </c>
      <c r="L56" s="144" t="s">
        <v>94</v>
      </c>
      <c r="M56" s="147" t="s">
        <v>96</v>
      </c>
      <c r="N56" s="143"/>
      <c r="O56" s="144"/>
      <c r="P56" s="146"/>
      <c r="Q56" s="143"/>
      <c r="R56" s="144"/>
      <c r="S56" s="146"/>
      <c r="T56" s="143"/>
      <c r="U56" s="144"/>
      <c r="V56" s="146"/>
    </row>
    <row r="57" spans="1:22" x14ac:dyDescent="0.2">
      <c r="A57" s="73" t="s">
        <v>24</v>
      </c>
      <c r="B57" s="74"/>
      <c r="C57" s="75"/>
      <c r="D57" s="76"/>
      <c r="E57" s="74"/>
      <c r="F57" s="75"/>
      <c r="G57" s="77"/>
      <c r="H57" s="74"/>
      <c r="I57" s="75"/>
      <c r="J57" s="77"/>
      <c r="K57" s="108">
        <v>96000</v>
      </c>
      <c r="L57" s="75" t="s">
        <v>94</v>
      </c>
      <c r="M57" s="107" t="s">
        <v>96</v>
      </c>
      <c r="N57" s="74"/>
      <c r="O57" s="75"/>
      <c r="P57" s="77"/>
      <c r="Q57" s="74"/>
      <c r="R57" s="75"/>
      <c r="S57" s="77"/>
      <c r="T57" s="74"/>
      <c r="U57" s="75"/>
      <c r="V57" s="77"/>
    </row>
    <row r="58" spans="1:22" ht="25.5" x14ac:dyDescent="0.2">
      <c r="A58" s="56" t="s">
        <v>27</v>
      </c>
      <c r="B58" s="57"/>
      <c r="C58" s="58"/>
      <c r="D58" s="59"/>
      <c r="E58" s="57"/>
      <c r="F58" s="58"/>
      <c r="G58" s="60"/>
      <c r="H58" s="57"/>
      <c r="I58" s="58"/>
      <c r="J58" s="60"/>
      <c r="K58" s="57"/>
      <c r="L58" s="58"/>
      <c r="M58" s="60"/>
      <c r="N58" s="57">
        <v>822000</v>
      </c>
      <c r="O58" s="58" t="s">
        <v>95</v>
      </c>
      <c r="P58" s="70" t="s">
        <v>97</v>
      </c>
      <c r="Q58" s="57">
        <v>480000</v>
      </c>
      <c r="R58" s="129" t="s">
        <v>102</v>
      </c>
      <c r="S58" s="120" t="s">
        <v>119</v>
      </c>
      <c r="T58" s="57"/>
      <c r="U58" s="58"/>
      <c r="V58" s="60"/>
    </row>
    <row r="59" spans="1:22" x14ac:dyDescent="0.2">
      <c r="A59" s="56" t="s">
        <v>28</v>
      </c>
      <c r="B59" s="57"/>
      <c r="C59" s="58"/>
      <c r="D59" s="59"/>
      <c r="E59" s="57"/>
      <c r="F59" s="58"/>
      <c r="G59" s="60"/>
      <c r="H59" s="57"/>
      <c r="I59" s="58"/>
      <c r="J59" s="60"/>
      <c r="K59" s="57"/>
      <c r="L59" s="58"/>
      <c r="M59" s="60"/>
      <c r="N59" s="57">
        <v>100000</v>
      </c>
      <c r="O59" s="58" t="s">
        <v>95</v>
      </c>
      <c r="P59" s="70" t="s">
        <v>97</v>
      </c>
      <c r="Q59" s="57"/>
      <c r="R59" s="58"/>
      <c r="S59" s="60"/>
      <c r="T59" s="57"/>
      <c r="U59" s="58"/>
      <c r="V59" s="60"/>
    </row>
    <row r="60" spans="1:22" ht="25.5" x14ac:dyDescent="0.2">
      <c r="A60" s="56" t="s">
        <v>29</v>
      </c>
      <c r="B60" s="57"/>
      <c r="C60" s="58"/>
      <c r="D60" s="59"/>
      <c r="E60" s="57"/>
      <c r="F60" s="58"/>
      <c r="G60" s="60"/>
      <c r="H60" s="57"/>
      <c r="I60" s="58"/>
      <c r="J60" s="60"/>
      <c r="K60" s="57"/>
      <c r="L60" s="58"/>
      <c r="M60" s="60"/>
      <c r="N60" s="57">
        <v>117000</v>
      </c>
      <c r="O60" s="58" t="s">
        <v>95</v>
      </c>
      <c r="P60" s="70" t="s">
        <v>97</v>
      </c>
      <c r="Q60" s="57">
        <v>114000</v>
      </c>
      <c r="R60" s="129" t="s">
        <v>102</v>
      </c>
      <c r="S60" s="120" t="s">
        <v>119</v>
      </c>
      <c r="T60" s="57"/>
      <c r="U60" s="58"/>
      <c r="V60" s="60"/>
    </row>
    <row r="61" spans="1:22" ht="25.5" x14ac:dyDescent="0.2">
      <c r="A61" s="56" t="s">
        <v>30</v>
      </c>
      <c r="B61" s="57"/>
      <c r="C61" s="58"/>
      <c r="D61" s="59"/>
      <c r="E61" s="57"/>
      <c r="F61" s="58"/>
      <c r="G61" s="60"/>
      <c r="H61" s="57"/>
      <c r="I61" s="58"/>
      <c r="J61" s="60"/>
      <c r="K61" s="57"/>
      <c r="L61" s="58"/>
      <c r="M61" s="60"/>
      <c r="N61" s="57">
        <v>82000</v>
      </c>
      <c r="O61" s="119" t="s">
        <v>101</v>
      </c>
      <c r="P61" s="100" t="s">
        <v>117</v>
      </c>
      <c r="Q61" s="57"/>
      <c r="R61" s="58"/>
      <c r="S61" s="60"/>
      <c r="T61" s="57"/>
      <c r="U61" s="58"/>
      <c r="V61" s="60"/>
    </row>
    <row r="62" spans="1:22" x14ac:dyDescent="0.2">
      <c r="A62" s="73" t="s">
        <v>105</v>
      </c>
      <c r="B62" s="74"/>
      <c r="C62" s="75"/>
      <c r="D62" s="76"/>
      <c r="E62" s="74"/>
      <c r="F62" s="75"/>
      <c r="G62" s="77"/>
      <c r="H62" s="74"/>
      <c r="I62" s="75"/>
      <c r="J62" s="77"/>
      <c r="K62" s="74"/>
      <c r="L62" s="75"/>
      <c r="M62" s="77"/>
      <c r="N62" s="74">
        <v>813000</v>
      </c>
      <c r="O62" s="75" t="s">
        <v>95</v>
      </c>
      <c r="P62" s="77" t="s">
        <v>97</v>
      </c>
      <c r="Q62" s="74"/>
      <c r="R62" s="75"/>
      <c r="S62" s="77"/>
      <c r="T62" s="74"/>
      <c r="U62" s="75"/>
      <c r="V62" s="77"/>
    </row>
    <row r="63" spans="1:22" x14ac:dyDescent="0.2">
      <c r="A63" s="142" t="s">
        <v>106</v>
      </c>
      <c r="B63" s="143"/>
      <c r="C63" s="144"/>
      <c r="D63" s="145"/>
      <c r="E63" s="143"/>
      <c r="F63" s="144"/>
      <c r="G63" s="146"/>
      <c r="H63" s="143"/>
      <c r="I63" s="144"/>
      <c r="J63" s="146"/>
      <c r="K63" s="143"/>
      <c r="L63" s="144"/>
      <c r="M63" s="146"/>
      <c r="N63" s="143">
        <v>1910000</v>
      </c>
      <c r="O63" s="144" t="s">
        <v>95</v>
      </c>
      <c r="P63" s="148" t="s">
        <v>97</v>
      </c>
      <c r="Q63" s="143"/>
      <c r="R63" s="144"/>
      <c r="S63" s="146"/>
      <c r="T63" s="143"/>
      <c r="U63" s="144"/>
      <c r="V63" s="146"/>
    </row>
    <row r="64" spans="1:22" ht="25.5" x14ac:dyDescent="0.2">
      <c r="A64" s="73" t="s">
        <v>31</v>
      </c>
      <c r="B64" s="74"/>
      <c r="C64" s="75"/>
      <c r="D64" s="76"/>
      <c r="E64" s="74"/>
      <c r="F64" s="75"/>
      <c r="G64" s="77"/>
      <c r="H64" s="74"/>
      <c r="I64" s="75"/>
      <c r="J64" s="77"/>
      <c r="K64" s="74"/>
      <c r="L64" s="75"/>
      <c r="M64" s="77"/>
      <c r="N64" s="74">
        <v>141000</v>
      </c>
      <c r="O64" s="75" t="s">
        <v>95</v>
      </c>
      <c r="P64" s="109" t="s">
        <v>97</v>
      </c>
      <c r="Q64" s="74">
        <v>70000</v>
      </c>
      <c r="R64" s="149" t="s">
        <v>102</v>
      </c>
      <c r="S64" s="150" t="s">
        <v>119</v>
      </c>
      <c r="T64" s="74"/>
      <c r="U64" s="75"/>
      <c r="V64" s="77"/>
    </row>
    <row r="65" spans="1:22" x14ac:dyDescent="0.2">
      <c r="A65" s="56" t="s">
        <v>32</v>
      </c>
      <c r="B65" s="57"/>
      <c r="C65" s="58"/>
      <c r="D65" s="59"/>
      <c r="E65" s="57"/>
      <c r="F65" s="58"/>
      <c r="G65" s="60"/>
      <c r="H65" s="57"/>
      <c r="I65" s="58"/>
      <c r="J65" s="60"/>
      <c r="K65" s="57"/>
      <c r="L65" s="58"/>
      <c r="M65" s="60"/>
      <c r="N65" s="57"/>
      <c r="O65" s="58"/>
      <c r="P65" s="60"/>
      <c r="Q65" s="57">
        <v>1100000</v>
      </c>
      <c r="R65" s="58" t="s">
        <v>96</v>
      </c>
      <c r="S65" s="71" t="s">
        <v>103</v>
      </c>
      <c r="T65" s="57"/>
      <c r="U65" s="58"/>
      <c r="V65" s="60"/>
    </row>
    <row r="66" spans="1:22" x14ac:dyDescent="0.2">
      <c r="A66" s="151" t="s">
        <v>33</v>
      </c>
      <c r="B66" s="152"/>
      <c r="C66" s="153"/>
      <c r="D66" s="154"/>
      <c r="E66" s="152"/>
      <c r="F66" s="153"/>
      <c r="G66" s="155"/>
      <c r="H66" s="152"/>
      <c r="I66" s="153"/>
      <c r="J66" s="155"/>
      <c r="K66" s="152"/>
      <c r="L66" s="153"/>
      <c r="M66" s="155"/>
      <c r="N66" s="152"/>
      <c r="O66" s="153"/>
      <c r="P66" s="155"/>
      <c r="Q66" s="152">
        <v>685000</v>
      </c>
      <c r="R66" s="153" t="s">
        <v>96</v>
      </c>
      <c r="S66" s="156" t="s">
        <v>103</v>
      </c>
      <c r="T66" s="152">
        <v>236000</v>
      </c>
      <c r="U66" s="153" t="s">
        <v>97</v>
      </c>
      <c r="V66" s="157" t="s">
        <v>108</v>
      </c>
    </row>
    <row r="67" spans="1:22" ht="25.5" x14ac:dyDescent="0.2">
      <c r="A67" s="56" t="s">
        <v>34</v>
      </c>
      <c r="B67" s="57"/>
      <c r="C67" s="58"/>
      <c r="D67" s="59"/>
      <c r="E67" s="57"/>
      <c r="F67" s="58"/>
      <c r="G67" s="60"/>
      <c r="H67" s="57"/>
      <c r="I67" s="58"/>
      <c r="J67" s="60"/>
      <c r="K67" s="57"/>
      <c r="L67" s="58"/>
      <c r="M67" s="60"/>
      <c r="N67" s="57"/>
      <c r="O67" s="58"/>
      <c r="P67" s="60"/>
      <c r="Q67" s="57">
        <v>263000</v>
      </c>
      <c r="R67" s="58" t="s">
        <v>96</v>
      </c>
      <c r="S67" s="71" t="s">
        <v>103</v>
      </c>
      <c r="T67" s="158">
        <v>205000</v>
      </c>
      <c r="U67" s="58" t="s">
        <v>96</v>
      </c>
      <c r="V67" s="59" t="s">
        <v>121</v>
      </c>
    </row>
    <row r="68" spans="1:22" x14ac:dyDescent="0.2">
      <c r="A68" s="159" t="s">
        <v>35</v>
      </c>
      <c r="B68" s="160"/>
      <c r="C68" s="161"/>
      <c r="D68" s="162"/>
      <c r="E68" s="160"/>
      <c r="F68" s="161"/>
      <c r="G68" s="163"/>
      <c r="H68" s="160"/>
      <c r="I68" s="161"/>
      <c r="J68" s="163"/>
      <c r="K68" s="160"/>
      <c r="L68" s="161"/>
      <c r="M68" s="163"/>
      <c r="N68" s="160"/>
      <c r="O68" s="161"/>
      <c r="P68" s="163"/>
      <c r="Q68" s="160">
        <v>2820000</v>
      </c>
      <c r="R68" s="161" t="s">
        <v>96</v>
      </c>
      <c r="S68" s="164" t="s">
        <v>103</v>
      </c>
      <c r="T68" s="160"/>
      <c r="U68" s="161"/>
      <c r="V68" s="163"/>
    </row>
    <row r="69" spans="1:22" x14ac:dyDescent="0.2">
      <c r="A69" s="56" t="s">
        <v>36</v>
      </c>
      <c r="B69" s="57"/>
      <c r="C69" s="58"/>
      <c r="D69" s="59"/>
      <c r="E69" s="57"/>
      <c r="F69" s="58"/>
      <c r="G69" s="60"/>
      <c r="H69" s="57"/>
      <c r="I69" s="58"/>
      <c r="J69" s="60"/>
      <c r="K69" s="57"/>
      <c r="L69" s="58"/>
      <c r="M69" s="60"/>
      <c r="N69" s="57"/>
      <c r="O69" s="58"/>
      <c r="P69" s="60"/>
      <c r="Q69" s="57">
        <v>134000</v>
      </c>
      <c r="R69" s="58" t="s">
        <v>96</v>
      </c>
      <c r="S69" s="71" t="s">
        <v>103</v>
      </c>
      <c r="T69" s="158">
        <v>135000</v>
      </c>
      <c r="U69" s="58" t="s">
        <v>97</v>
      </c>
      <c r="V69" s="61" t="s">
        <v>108</v>
      </c>
    </row>
    <row r="70" spans="1:22" x14ac:dyDescent="0.2">
      <c r="A70" s="165" t="s">
        <v>37</v>
      </c>
      <c r="B70" s="166"/>
      <c r="C70" s="167"/>
      <c r="D70" s="168"/>
      <c r="E70" s="166"/>
      <c r="F70" s="167"/>
      <c r="G70" s="169"/>
      <c r="H70" s="166"/>
      <c r="I70" s="167"/>
      <c r="J70" s="169"/>
      <c r="K70" s="166"/>
      <c r="L70" s="167"/>
      <c r="M70" s="169"/>
      <c r="N70" s="166"/>
      <c r="O70" s="167"/>
      <c r="P70" s="169"/>
      <c r="Q70" s="166">
        <v>945000</v>
      </c>
      <c r="R70" s="167" t="s">
        <v>96</v>
      </c>
      <c r="S70" s="170" t="s">
        <v>103</v>
      </c>
      <c r="T70" s="167"/>
      <c r="U70" s="167"/>
      <c r="V70" s="169"/>
    </row>
    <row r="71" spans="1:22" x14ac:dyDescent="0.2">
      <c r="A71" s="56" t="s">
        <v>38</v>
      </c>
      <c r="B71" s="57"/>
      <c r="C71" s="58"/>
      <c r="D71" s="59"/>
      <c r="E71" s="57"/>
      <c r="F71" s="58"/>
      <c r="G71" s="60"/>
      <c r="H71" s="57"/>
      <c r="I71" s="58"/>
      <c r="J71" s="60"/>
      <c r="K71" s="57"/>
      <c r="L71" s="58"/>
      <c r="M71" s="60"/>
      <c r="N71" s="57"/>
      <c r="O71" s="58"/>
      <c r="P71" s="60"/>
      <c r="Q71" s="57"/>
      <c r="R71" s="58"/>
      <c r="S71" s="60"/>
      <c r="T71" s="158">
        <v>3543000</v>
      </c>
      <c r="U71" s="58" t="s">
        <v>97</v>
      </c>
      <c r="V71" s="61" t="s">
        <v>108</v>
      </c>
    </row>
    <row r="72" spans="1:22" x14ac:dyDescent="0.2">
      <c r="A72" s="56" t="s">
        <v>39</v>
      </c>
      <c r="B72" s="57"/>
      <c r="C72" s="58"/>
      <c r="D72" s="59"/>
      <c r="E72" s="57"/>
      <c r="F72" s="58"/>
      <c r="G72" s="60"/>
      <c r="H72" s="57"/>
      <c r="I72" s="58"/>
      <c r="J72" s="60"/>
      <c r="K72" s="57"/>
      <c r="L72" s="58"/>
      <c r="M72" s="60"/>
      <c r="N72" s="57"/>
      <c r="O72" s="58"/>
      <c r="P72" s="60"/>
      <c r="Q72" s="57"/>
      <c r="R72" s="58"/>
      <c r="S72" s="60"/>
      <c r="T72" s="158">
        <v>169000</v>
      </c>
      <c r="U72" s="58" t="s">
        <v>97</v>
      </c>
      <c r="V72" s="61" t="s">
        <v>108</v>
      </c>
    </row>
    <row r="73" spans="1:22" x14ac:dyDescent="0.2">
      <c r="A73" s="56" t="s">
        <v>40</v>
      </c>
      <c r="B73" s="57"/>
      <c r="C73" s="58"/>
      <c r="D73" s="59"/>
      <c r="E73" s="57"/>
      <c r="F73" s="58"/>
      <c r="G73" s="60"/>
      <c r="H73" s="57"/>
      <c r="I73" s="58"/>
      <c r="J73" s="60"/>
      <c r="K73" s="57"/>
      <c r="L73" s="58"/>
      <c r="M73" s="60"/>
      <c r="N73" s="57"/>
      <c r="O73" s="58"/>
      <c r="P73" s="60"/>
      <c r="Q73" s="57"/>
      <c r="R73" s="58"/>
      <c r="S73" s="60"/>
      <c r="T73" s="158">
        <v>932000</v>
      </c>
      <c r="U73" s="58" t="s">
        <v>97</v>
      </c>
      <c r="V73" s="61" t="s">
        <v>108</v>
      </c>
    </row>
    <row r="74" spans="1:22" x14ac:dyDescent="0.2">
      <c r="A74" s="56" t="s">
        <v>41</v>
      </c>
      <c r="B74" s="57"/>
      <c r="C74" s="58"/>
      <c r="D74" s="59"/>
      <c r="E74" s="57"/>
      <c r="F74" s="58"/>
      <c r="G74" s="60"/>
      <c r="H74" s="57"/>
      <c r="I74" s="58"/>
      <c r="J74" s="60"/>
      <c r="K74" s="57"/>
      <c r="L74" s="58"/>
      <c r="M74" s="60"/>
      <c r="N74" s="57"/>
      <c r="O74" s="58"/>
      <c r="P74" s="60"/>
      <c r="Q74" s="57"/>
      <c r="R74" s="58"/>
      <c r="S74" s="60"/>
      <c r="T74" s="158">
        <v>130000</v>
      </c>
      <c r="U74" s="58" t="s">
        <v>97</v>
      </c>
      <c r="V74" s="61" t="s">
        <v>108</v>
      </c>
    </row>
    <row r="75" spans="1:22" x14ac:dyDescent="0.2">
      <c r="A75" s="56" t="s">
        <v>42</v>
      </c>
      <c r="B75" s="57"/>
      <c r="C75" s="58"/>
      <c r="D75" s="59"/>
      <c r="E75" s="57"/>
      <c r="F75" s="58"/>
      <c r="G75" s="60"/>
      <c r="H75" s="57"/>
      <c r="I75" s="58"/>
      <c r="J75" s="60"/>
      <c r="K75" s="57"/>
      <c r="L75" s="58"/>
      <c r="M75" s="60"/>
      <c r="N75" s="57"/>
      <c r="O75" s="58"/>
      <c r="P75" s="60"/>
      <c r="Q75" s="57"/>
      <c r="R75" s="58"/>
      <c r="S75" s="60"/>
      <c r="T75" s="158">
        <v>110000</v>
      </c>
      <c r="U75" s="58" t="s">
        <v>97</v>
      </c>
      <c r="V75" s="61" t="s">
        <v>108</v>
      </c>
    </row>
    <row r="76" spans="1:22" x14ac:dyDescent="0.2">
      <c r="A76" s="56" t="s">
        <v>43</v>
      </c>
      <c r="B76" s="57"/>
      <c r="C76" s="58"/>
      <c r="D76" s="59"/>
      <c r="E76" s="57"/>
      <c r="F76" s="58"/>
      <c r="G76" s="60"/>
      <c r="H76" s="57"/>
      <c r="I76" s="58"/>
      <c r="J76" s="60"/>
      <c r="K76" s="57"/>
      <c r="L76" s="58"/>
      <c r="M76" s="60"/>
      <c r="N76" s="57"/>
      <c r="O76" s="58"/>
      <c r="P76" s="60"/>
      <c r="Q76" s="57"/>
      <c r="R76" s="58"/>
      <c r="S76" s="60"/>
      <c r="T76" s="158">
        <v>110000</v>
      </c>
      <c r="U76" s="58" t="s">
        <v>97</v>
      </c>
      <c r="V76" s="61" t="s">
        <v>108</v>
      </c>
    </row>
    <row r="77" spans="1:22" x14ac:dyDescent="0.2">
      <c r="A77" s="56" t="s">
        <v>44</v>
      </c>
      <c r="B77" s="57"/>
      <c r="C77" s="58"/>
      <c r="D77" s="59"/>
      <c r="E77" s="57"/>
      <c r="F77" s="58"/>
      <c r="G77" s="60"/>
      <c r="H77" s="57"/>
      <c r="I77" s="58"/>
      <c r="J77" s="60"/>
      <c r="K77" s="57"/>
      <c r="L77" s="58"/>
      <c r="M77" s="60"/>
      <c r="N77" s="57"/>
      <c r="O77" s="58"/>
      <c r="P77" s="60"/>
      <c r="Q77" s="57"/>
      <c r="R77" s="58"/>
      <c r="S77" s="60"/>
      <c r="T77" s="158">
        <v>322000</v>
      </c>
      <c r="U77" s="58" t="s">
        <v>97</v>
      </c>
      <c r="V77" s="61" t="s">
        <v>108</v>
      </c>
    </row>
    <row r="78" spans="1:22" x14ac:dyDescent="0.2">
      <c r="A78" s="56" t="s">
        <v>45</v>
      </c>
      <c r="B78" s="57"/>
      <c r="C78" s="58"/>
      <c r="D78" s="59"/>
      <c r="E78" s="57"/>
      <c r="F78" s="58"/>
      <c r="G78" s="60"/>
      <c r="H78" s="57"/>
      <c r="I78" s="58"/>
      <c r="J78" s="60"/>
      <c r="K78" s="57"/>
      <c r="L78" s="58"/>
      <c r="M78" s="60"/>
      <c r="N78" s="57"/>
      <c r="O78" s="58"/>
      <c r="P78" s="60"/>
      <c r="Q78" s="57"/>
      <c r="R78" s="58"/>
      <c r="S78" s="60"/>
      <c r="T78" s="158">
        <v>400000</v>
      </c>
      <c r="U78" s="58" t="s">
        <v>97</v>
      </c>
      <c r="V78" s="61" t="s">
        <v>108</v>
      </c>
    </row>
    <row r="79" spans="1:22" x14ac:dyDescent="0.2">
      <c r="A79" s="171" t="s">
        <v>46</v>
      </c>
      <c r="B79" s="172"/>
      <c r="C79" s="173"/>
      <c r="D79" s="174"/>
      <c r="E79" s="172"/>
      <c r="F79" s="173"/>
      <c r="G79" s="175"/>
      <c r="H79" s="172"/>
      <c r="I79" s="173"/>
      <c r="J79" s="175"/>
      <c r="K79" s="172"/>
      <c r="L79" s="173"/>
      <c r="M79" s="175"/>
      <c r="N79" s="172"/>
      <c r="O79" s="173"/>
      <c r="P79" s="175"/>
      <c r="Q79" s="172"/>
      <c r="R79" s="173"/>
      <c r="S79" s="175"/>
      <c r="T79" s="158">
        <v>442000</v>
      </c>
      <c r="U79" s="173" t="s">
        <v>97</v>
      </c>
      <c r="V79" s="176" t="s">
        <v>108</v>
      </c>
    </row>
    <row r="80" spans="1:22" x14ac:dyDescent="0.2">
      <c r="A80" s="177" t="s">
        <v>47</v>
      </c>
      <c r="B80" s="178"/>
      <c r="C80" s="179"/>
      <c r="D80" s="180"/>
      <c r="E80" s="178"/>
      <c r="F80" s="179"/>
      <c r="G80" s="181"/>
      <c r="H80" s="178"/>
      <c r="I80" s="179"/>
      <c r="J80" s="181"/>
      <c r="K80" s="178"/>
      <c r="L80" s="179"/>
      <c r="M80" s="181"/>
      <c r="N80" s="178"/>
      <c r="O80" s="179"/>
      <c r="P80" s="181"/>
      <c r="Q80" s="178"/>
      <c r="R80" s="179"/>
      <c r="S80" s="181"/>
      <c r="T80" s="158">
        <v>1060000</v>
      </c>
      <c r="U80" s="179" t="s">
        <v>97</v>
      </c>
      <c r="V80" s="182" t="s">
        <v>108</v>
      </c>
    </row>
    <row r="81" spans="1:22" x14ac:dyDescent="0.2">
      <c r="A81" s="56" t="s">
        <v>68</v>
      </c>
      <c r="B81" s="57">
        <v>0</v>
      </c>
      <c r="C81" s="58"/>
      <c r="D81" s="59"/>
      <c r="E81" s="57"/>
      <c r="F81" s="58"/>
      <c r="G81" s="60"/>
      <c r="H81" s="57"/>
      <c r="I81" s="58"/>
      <c r="J81" s="60"/>
      <c r="K81" s="57"/>
      <c r="L81" s="58"/>
      <c r="M81" s="60"/>
      <c r="N81" s="57"/>
      <c r="O81" s="58"/>
      <c r="P81" s="60"/>
      <c r="Q81" s="57"/>
      <c r="R81" s="58"/>
      <c r="S81" s="60"/>
      <c r="T81" s="158"/>
      <c r="U81" s="58"/>
      <c r="V81" s="60"/>
    </row>
    <row r="82" spans="1:22" x14ac:dyDescent="0.2">
      <c r="A82" s="56" t="s">
        <v>79</v>
      </c>
      <c r="B82" s="57"/>
      <c r="C82" s="58"/>
      <c r="D82" s="59"/>
      <c r="E82" s="57">
        <v>0</v>
      </c>
      <c r="F82" s="58"/>
      <c r="G82" s="60"/>
      <c r="H82" s="57"/>
      <c r="I82" s="58"/>
      <c r="J82" s="60"/>
      <c r="K82" s="57">
        <v>0</v>
      </c>
      <c r="L82" s="58"/>
      <c r="M82" s="60"/>
      <c r="N82" s="57"/>
      <c r="O82" s="58"/>
      <c r="P82" s="60"/>
      <c r="Q82" s="57"/>
      <c r="R82" s="58"/>
      <c r="S82" s="60"/>
      <c r="T82" s="158"/>
      <c r="U82" s="58"/>
      <c r="V82" s="60"/>
    </row>
    <row r="83" spans="1:22" x14ac:dyDescent="0.2">
      <c r="A83" s="56" t="s">
        <v>71</v>
      </c>
      <c r="B83" s="57">
        <v>252000</v>
      </c>
      <c r="C83" s="58" t="s">
        <v>90</v>
      </c>
      <c r="D83" s="59" t="s">
        <v>93</v>
      </c>
      <c r="E83" s="57">
        <v>260000</v>
      </c>
      <c r="F83" s="58" t="s">
        <v>91</v>
      </c>
      <c r="G83" s="60" t="s">
        <v>94</v>
      </c>
      <c r="H83" s="57">
        <v>300000</v>
      </c>
      <c r="I83" s="58" t="s">
        <v>93</v>
      </c>
      <c r="J83" s="61" t="s">
        <v>95</v>
      </c>
      <c r="K83" s="57">
        <v>300000</v>
      </c>
      <c r="L83" s="58" t="s">
        <v>94</v>
      </c>
      <c r="M83" s="61" t="s">
        <v>96</v>
      </c>
      <c r="N83" s="57">
        <v>150000</v>
      </c>
      <c r="O83" s="58" t="s">
        <v>95</v>
      </c>
      <c r="P83" s="70" t="s">
        <v>97</v>
      </c>
      <c r="Q83" s="57">
        <v>271000</v>
      </c>
      <c r="R83" s="58" t="s">
        <v>96</v>
      </c>
      <c r="S83" s="71" t="s">
        <v>103</v>
      </c>
      <c r="T83" s="158">
        <v>352000</v>
      </c>
      <c r="U83" s="58" t="s">
        <v>97</v>
      </c>
      <c r="V83" s="61" t="s">
        <v>108</v>
      </c>
    </row>
    <row r="84" spans="1:22" ht="25.5" x14ac:dyDescent="0.2">
      <c r="A84" s="56" t="s">
        <v>25</v>
      </c>
      <c r="B84" s="57"/>
      <c r="C84" s="58"/>
      <c r="D84" s="59"/>
      <c r="E84" s="57"/>
      <c r="F84" s="58"/>
      <c r="G84" s="60"/>
      <c r="H84" s="57"/>
      <c r="I84" s="58"/>
      <c r="J84" s="60"/>
      <c r="K84" s="57">
        <v>55000</v>
      </c>
      <c r="L84" s="119" t="s">
        <v>101</v>
      </c>
      <c r="M84" s="100" t="s">
        <v>116</v>
      </c>
      <c r="N84" s="57"/>
      <c r="O84" s="58"/>
      <c r="P84" s="60"/>
      <c r="Q84" s="57"/>
      <c r="R84" s="58"/>
      <c r="S84" s="60"/>
      <c r="T84" s="57"/>
      <c r="U84" s="58"/>
      <c r="V84" s="60"/>
    </row>
    <row r="85" spans="1:22" x14ac:dyDescent="0.2">
      <c r="A85" s="62" t="s">
        <v>89</v>
      </c>
      <c r="B85" s="63"/>
      <c r="C85" s="64"/>
      <c r="D85" s="65"/>
      <c r="E85" s="63"/>
      <c r="F85" s="64"/>
      <c r="G85" s="66"/>
      <c r="H85" s="63"/>
      <c r="I85" s="64"/>
      <c r="J85" s="66"/>
      <c r="K85" s="63"/>
      <c r="L85" s="64"/>
      <c r="M85" s="66"/>
      <c r="N85" s="63"/>
      <c r="O85" s="64"/>
      <c r="P85" s="66"/>
      <c r="Q85" s="63"/>
      <c r="R85" s="64"/>
      <c r="S85" s="66"/>
      <c r="T85" s="63">
        <v>70000</v>
      </c>
      <c r="U85" s="64" t="s">
        <v>97</v>
      </c>
      <c r="V85" s="67" t="s">
        <v>108</v>
      </c>
    </row>
    <row r="86" spans="1:22" x14ac:dyDescent="0.2">
      <c r="A86" s="183"/>
      <c r="B86" s="3">
        <f>SUM(B5:B85)</f>
        <v>11087000</v>
      </c>
      <c r="C86" s="3"/>
      <c r="D86" s="18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12"/>
      <c r="V86" s="12"/>
    </row>
    <row r="87" spans="1:22" x14ac:dyDescent="0.2">
      <c r="F87" s="25"/>
      <c r="G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12"/>
    </row>
    <row r="88" spans="1:22" ht="15" x14ac:dyDescent="0.35">
      <c r="F88" s="25"/>
      <c r="G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185"/>
    </row>
    <row r="89" spans="1:22" ht="15" x14ac:dyDescent="0.35">
      <c r="F89" s="25"/>
      <c r="G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186"/>
    </row>
    <row r="99" spans="3:3" x14ac:dyDescent="0.2">
      <c r="C99" s="187"/>
    </row>
  </sheetData>
  <autoFilter ref="A4:V86" xr:uid="{00000000-0009-0000-0000-000003000000}"/>
  <customSheetViews>
    <customSheetView guid="{0B883182-CA7E-436B-9583-BDCC5436016C}" showPageBreaks="1" showAutoFilter="1">
      <selection activeCell="D13" sqref="D13"/>
      <pageMargins left="0.7" right="0.7" top="0.75" bottom="0.75" header="0.3" footer="0.3"/>
      <pageSetup scale="34" orientation="portrait" r:id="rId1"/>
      <autoFilter ref="A4:V4" xr:uid="{00000000-0000-0000-0000-000000000000}"/>
    </customSheetView>
  </customSheetViews>
  <pageMargins left="0.7" right="0.7" top="0.75" bottom="0.75" header="0.3" footer="0.3"/>
  <pageSetup orientation="portrait" r:id="rId2"/>
  <headerFooter>
    <oddHeader>&amp;RIR-4 - Attachment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6600"/>
  </sheetPr>
  <dimension ref="A1:E15"/>
  <sheetViews>
    <sheetView tabSelected="1" workbookViewId="0">
      <selection activeCell="D27" sqref="D27"/>
    </sheetView>
  </sheetViews>
  <sheetFormatPr defaultRowHeight="12.75" x14ac:dyDescent="0.2"/>
  <cols>
    <col min="1" max="1" width="13.140625" style="1" bestFit="1" customWidth="1"/>
    <col min="2" max="2" width="13.42578125" style="3" bestFit="1" customWidth="1"/>
    <col min="3" max="3" width="13.28515625" style="1" bestFit="1" customWidth="1"/>
    <col min="4" max="4" width="17.5703125" style="1" bestFit="1" customWidth="1"/>
    <col min="5" max="5" width="14" style="1" customWidth="1"/>
    <col min="6" max="16384" width="9.140625" style="1"/>
  </cols>
  <sheetData>
    <row r="1" spans="1:5" s="43" customFormat="1" ht="38.25" x14ac:dyDescent="0.2">
      <c r="B1" s="44" t="s">
        <v>201</v>
      </c>
      <c r="C1" s="45" t="s">
        <v>202</v>
      </c>
      <c r="D1" s="45" t="s">
        <v>199</v>
      </c>
      <c r="E1" s="45" t="s">
        <v>203</v>
      </c>
    </row>
    <row r="3" spans="1:5" x14ac:dyDescent="0.2">
      <c r="A3" s="1">
        <v>2014</v>
      </c>
      <c r="B3" s="3">
        <f>+'Worksheet for Presentation Sum'!B59+'Worksheet for Presentation Sum'!B61+'Worksheet for Presentation Sum'!B62+'Worksheet for Presentation Sum'!B63+'Worksheet for Presentation Sum'!B64+'Worksheet for Presentation Sum'!B65</f>
        <v>1190012.4624999992</v>
      </c>
      <c r="C3" s="3">
        <f>+'Orders - OATT Projects'!B21+'Orders - OATT Projects'!B27+'Orders - OATT Projects'!B29+'Orders - OATT Projects'!B32+'Orders - OATT Projects'!B38</f>
        <v>1134000</v>
      </c>
      <c r="D3" s="3" t="str">
        <f>+'Orders - OATT Projects'!C21</f>
        <v>UE13-04</v>
      </c>
      <c r="E3" s="3" t="str">
        <f>+'Orders - OATT Projects'!D21</f>
        <v>UE15-01</v>
      </c>
    </row>
    <row r="4" spans="1:5" x14ac:dyDescent="0.2">
      <c r="A4" s="1">
        <f>+A3+1</f>
        <v>2015</v>
      </c>
      <c r="B4" s="3">
        <f>+'Worksheet for Presentation Sum'!C59+'Worksheet for Presentation Sum'!C61+'Worksheet for Presentation Sum'!C67</f>
        <v>1593654.3569999957</v>
      </c>
      <c r="C4" s="3">
        <f>+'Orders - OATT Projects'!E21+'Orders - OATT Projects'!E27+'Orders - OATT Projects'!E43</f>
        <v>1382000</v>
      </c>
      <c r="D4" s="3" t="str">
        <f>+'Orders - OATT Projects'!F21</f>
        <v>UE14-04</v>
      </c>
      <c r="E4" s="3" t="str">
        <f>+'Orders - OATT Projects'!G21</f>
        <v>UE16-08</v>
      </c>
    </row>
    <row r="5" spans="1:5" x14ac:dyDescent="0.2">
      <c r="A5" s="1">
        <f t="shared" ref="A5:A9" si="0">+A4+1</f>
        <v>2016</v>
      </c>
      <c r="B5" s="3">
        <f>+'Worksheet for Presentation Sum'!D59+'Worksheet for Presentation Sum'!D67+'Worksheet for Presentation Sum'!D68</f>
        <v>1325664.6599999995</v>
      </c>
      <c r="C5" s="3">
        <f>+'Orders - OATT Projects'!H43+'Orders - OATT Projects'!H44</f>
        <v>1104000</v>
      </c>
      <c r="D5" s="3" t="str">
        <f>+'Orders - OATT Projects'!I43</f>
        <v>UE15-01</v>
      </c>
      <c r="E5" s="3" t="str">
        <f>+'Orders - OATT Projects'!J43</f>
        <v>UE17-03</v>
      </c>
    </row>
    <row r="6" spans="1:5" x14ac:dyDescent="0.2">
      <c r="A6" s="1">
        <f t="shared" si="0"/>
        <v>2017</v>
      </c>
      <c r="B6" s="3">
        <f>+'Worksheet for Presentation Sum'!E59+'Worksheet for Presentation Sum'!E67+'Worksheet for Presentation Sum'!E72</f>
        <v>1404222.7399999998</v>
      </c>
      <c r="C6" s="3">
        <f>+'Orders - OATT Projects'!K43+'Orders - OATT Projects'!K57</f>
        <v>1175000</v>
      </c>
      <c r="D6" s="3" t="str">
        <f>+'Orders - OATT Projects'!L43</f>
        <v>UE16-08</v>
      </c>
      <c r="E6" s="3" t="str">
        <f>+'Orders - OATT Projects'!M43</f>
        <v>UE18-09</v>
      </c>
    </row>
    <row r="7" spans="1:5" x14ac:dyDescent="0.2">
      <c r="A7" s="1">
        <f t="shared" si="0"/>
        <v>2018</v>
      </c>
      <c r="B7" s="3">
        <f>+'Worksheet for Presentation Sum'!F59+'Worksheet for Presentation Sum'!F67+'Worksheet for Presentation Sum'!F73+'Worksheet for Presentation Sum'!F75</f>
        <v>954135.77</v>
      </c>
      <c r="C7" s="3">
        <f>+'Orders - OATT Projects'!N43+'Orders - OATT Projects'!N62+'Orders - OATT Projects'!N64</f>
        <v>1767000</v>
      </c>
      <c r="D7" s="3" t="str">
        <f>+'Orders - OATT Projects'!O62</f>
        <v>UE17-03</v>
      </c>
      <c r="E7" s="3" t="str">
        <f>+'Orders - OATT Projects'!P62</f>
        <v>UE19-09</v>
      </c>
    </row>
    <row r="8" spans="1:5" x14ac:dyDescent="0.2">
      <c r="A8" s="1">
        <f>+A7+1</f>
        <v>2019</v>
      </c>
      <c r="B8" s="3">
        <f>+'Worksheet for Presentation Sum'!G59+'Worksheet for Presentation Sum'!G67+'Worksheet for Presentation Sum'!G75</f>
        <v>1011317.519999999</v>
      </c>
      <c r="C8" s="3">
        <f>+'Orders - OATT Projects'!Q43</f>
        <v>865000</v>
      </c>
      <c r="D8" s="3" t="s">
        <v>96</v>
      </c>
      <c r="E8" s="3" t="s">
        <v>212</v>
      </c>
    </row>
    <row r="9" spans="1:5" x14ac:dyDescent="0.2">
      <c r="A9" s="1">
        <f t="shared" si="0"/>
        <v>2020</v>
      </c>
      <c r="B9" s="17">
        <f>+'Worksheet for Presentation Sum'!H59+'Worksheet for Presentation Sum'!H67</f>
        <v>1012077.4500000001</v>
      </c>
      <c r="C9" s="17">
        <f>+'Orders - OATT Projects'!T43</f>
        <v>890000</v>
      </c>
      <c r="D9" s="3" t="str">
        <f>+'Orders - OATT Projects'!U43</f>
        <v>UE19-09</v>
      </c>
      <c r="E9" s="3" t="str">
        <f>+'Orders - OATT Projects'!V43</f>
        <v>UE21-16</v>
      </c>
    </row>
    <row r="10" spans="1:5" x14ac:dyDescent="0.2">
      <c r="B10" s="3">
        <f>SUM(B3:B9)</f>
        <v>8491084.9594999924</v>
      </c>
      <c r="C10" s="3">
        <f>SUM(C3:C9)</f>
        <v>8317000</v>
      </c>
    </row>
    <row r="11" spans="1:5" x14ac:dyDescent="0.2">
      <c r="A11" s="1" t="s">
        <v>204</v>
      </c>
      <c r="B11" s="3">
        <f>+B3*0.5</f>
        <v>595006.2312499996</v>
      </c>
    </row>
    <row r="12" spans="1:5" x14ac:dyDescent="0.2">
      <c r="A12" s="1" t="s">
        <v>206</v>
      </c>
      <c r="B12" s="17">
        <f>+B9*0.5</f>
        <v>506038.72500000003</v>
      </c>
    </row>
    <row r="13" spans="1:5" x14ac:dyDescent="0.2">
      <c r="B13" s="3">
        <f>+B10-B11-B12</f>
        <v>7390040.0032499935</v>
      </c>
    </row>
    <row r="14" spans="1:5" x14ac:dyDescent="0.2">
      <c r="A14" s="1" t="s">
        <v>207</v>
      </c>
      <c r="B14" s="17">
        <f>+'Worksheet for Presentation Sum'!O59-'Worksheet for Presentation Sum'!N59+'Worksheet for Presentation Sum'!O61-'Worksheet for Presentation Sum'!N61+'Worksheet for Presentation Sum'!O62-'Worksheet for Presentation Sum'!N62+'Worksheet for Presentation Sum'!O63-'Worksheet for Presentation Sum'!N63+'Worksheet for Presentation Sum'!O64-'Worksheet for Presentation Sum'!N64+'Worksheet for Presentation Sum'!O65-'Worksheet for Presentation Sum'!N65+'Worksheet for Presentation Sum'!O67-'Worksheet for Presentation Sum'!N67+'Worksheet for Presentation Sum'!O68-'Worksheet for Presentation Sum'!N68+'Worksheet for Presentation Sum'!O72-'Worksheet for Presentation Sum'!N72+'Worksheet for Presentation Sum'!O73-'Worksheet for Presentation Sum'!N73+'Worksheet for Presentation Sum'!O75-'Worksheet for Presentation Sum'!N75</f>
        <v>701951.01091015385</v>
      </c>
    </row>
    <row r="15" spans="1:5" x14ac:dyDescent="0.2">
      <c r="B15" s="3">
        <f>SUM(B13:B14)</f>
        <v>8091991.0141601469</v>
      </c>
    </row>
  </sheetData>
  <pageMargins left="0.7" right="0.7" top="0.75" bottom="0.75" header="0.3" footer="0.3"/>
  <pageSetup orientation="portrait" r:id="rId1"/>
  <headerFooter>
    <oddHeader>&amp;RIR-4 - Attachment 1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A1:E13"/>
  <sheetViews>
    <sheetView tabSelected="1" workbookViewId="0">
      <selection activeCell="D27" sqref="D27"/>
    </sheetView>
  </sheetViews>
  <sheetFormatPr defaultRowHeight="12.75" x14ac:dyDescent="0.2"/>
  <cols>
    <col min="1" max="1" width="13.140625" style="1" bestFit="1" customWidth="1"/>
    <col min="2" max="2" width="13.42578125" style="3" bestFit="1" customWidth="1"/>
    <col min="3" max="3" width="13.28515625" style="1" bestFit="1" customWidth="1"/>
    <col min="4" max="4" width="17.5703125" style="1" bestFit="1" customWidth="1"/>
    <col min="5" max="5" width="14" style="1" customWidth="1"/>
    <col min="6" max="16384" width="9.140625" style="1"/>
  </cols>
  <sheetData>
    <row r="1" spans="1:5" s="43" customFormat="1" ht="38.25" x14ac:dyDescent="0.2">
      <c r="B1" s="44" t="s">
        <v>201</v>
      </c>
      <c r="C1" s="45" t="s">
        <v>202</v>
      </c>
      <c r="D1" s="45" t="s">
        <v>199</v>
      </c>
      <c r="E1" s="45" t="s">
        <v>203</v>
      </c>
    </row>
    <row r="3" spans="1:5" x14ac:dyDescent="0.2">
      <c r="A3" s="1">
        <v>2014</v>
      </c>
      <c r="B3" s="3">
        <f>+'Worksheet for Presentation Sum'!B79</f>
        <v>2759869.4400000013</v>
      </c>
      <c r="C3" s="3">
        <f>+'Orders - OATT Projects'!B33</f>
        <v>3058000</v>
      </c>
      <c r="D3" s="3" t="str">
        <f>+'Orders - OATT Projects'!C33</f>
        <v>UE13-04</v>
      </c>
      <c r="E3" s="3" t="str">
        <f>+'Orders - OATT Projects'!D33</f>
        <v>UE15-01</v>
      </c>
    </row>
    <row r="4" spans="1:5" x14ac:dyDescent="0.2">
      <c r="A4" s="1">
        <f>+A3+1</f>
        <v>2015</v>
      </c>
      <c r="B4" s="3">
        <f>+'Worksheet for Presentation Sum'!C79</f>
        <v>3429419.620000001</v>
      </c>
      <c r="C4" s="3">
        <f>+'Orders - OATT Projects'!E33</f>
        <v>3200000</v>
      </c>
      <c r="D4" s="3" t="str">
        <f>+'Orders - OATT Projects'!F33</f>
        <v>UE14-04</v>
      </c>
      <c r="E4" s="3" t="str">
        <f>+'Orders - OATT Projects'!G33</f>
        <v>UE16-08</v>
      </c>
    </row>
    <row r="5" spans="1:5" x14ac:dyDescent="0.2">
      <c r="A5" s="1">
        <f t="shared" ref="A5:A6" si="0">+A4+1</f>
        <v>2016</v>
      </c>
      <c r="B5" s="3">
        <f>+'Worksheet for Presentation Sum'!D79</f>
        <v>3266387.2499999977</v>
      </c>
      <c r="C5" s="3">
        <f>+'Orders - OATT Projects'!H33</f>
        <v>2884000</v>
      </c>
      <c r="D5" s="3" t="str">
        <f>+'Orders - OATT Projects'!I33</f>
        <v>UE15-01</v>
      </c>
      <c r="E5" s="3" t="str">
        <f>+'Orders - OATT Projects'!J33</f>
        <v>UE17-03</v>
      </c>
    </row>
    <row r="6" spans="1:5" x14ac:dyDescent="0.2">
      <c r="A6" s="1">
        <f t="shared" si="0"/>
        <v>2017</v>
      </c>
      <c r="B6" s="17">
        <f>+'Worksheet for Presentation Sum'!E79</f>
        <v>1761064.1600000008</v>
      </c>
      <c r="C6" s="17">
        <f>+'Orders - OATT Projects'!K33</f>
        <v>1730000</v>
      </c>
      <c r="D6" s="3" t="str">
        <f>+'Orders - OATT Projects'!L33</f>
        <v>UE16-08</v>
      </c>
      <c r="E6" s="3" t="str">
        <f>+'Orders - OATT Projects'!M33</f>
        <v>UE18-09</v>
      </c>
    </row>
    <row r="7" spans="1:5" x14ac:dyDescent="0.2">
      <c r="B7" s="3">
        <f>SUM(B3:B6)</f>
        <v>11216740.470000001</v>
      </c>
      <c r="C7" s="3">
        <f>SUM(C3:C6)</f>
        <v>10872000</v>
      </c>
    </row>
    <row r="8" spans="1:5" x14ac:dyDescent="0.2">
      <c r="A8" s="1" t="s">
        <v>204</v>
      </c>
      <c r="B8" s="17">
        <f>+B3*0.5</f>
        <v>1379934.7200000007</v>
      </c>
    </row>
    <row r="9" spans="1:5" x14ac:dyDescent="0.2">
      <c r="B9" s="3">
        <f>+B7-B8</f>
        <v>9836805.75</v>
      </c>
    </row>
    <row r="10" spans="1:5" x14ac:dyDescent="0.2">
      <c r="A10" s="1" t="s">
        <v>207</v>
      </c>
      <c r="B10" s="17">
        <f>+'Worksheet for Presentation Sum'!O79-'Worksheet for Presentation Sum'!N79</f>
        <v>374900</v>
      </c>
    </row>
    <row r="11" spans="1:5" x14ac:dyDescent="0.2">
      <c r="B11" s="3">
        <f>SUM(B9:B10)</f>
        <v>10211705.75</v>
      </c>
    </row>
    <row r="12" spans="1:5" x14ac:dyDescent="0.2">
      <c r="A12" s="1" t="s">
        <v>213</v>
      </c>
      <c r="B12" s="17">
        <f>+'Worksheet for Presentation Sum'!E103</f>
        <v>-5007700.275246691</v>
      </c>
    </row>
    <row r="13" spans="1:5" x14ac:dyDescent="0.2">
      <c r="B13" s="3">
        <f>SUM(B11:B12)</f>
        <v>5204005.474753309</v>
      </c>
    </row>
  </sheetData>
  <pageMargins left="0.7" right="0.7" top="0.75" bottom="0.75" header="0.3" footer="0.3"/>
  <pageSetup orientation="portrait" r:id="rId1"/>
  <headerFooter>
    <oddHeader>&amp;RIR-4 - Attachment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A1:E15"/>
  <sheetViews>
    <sheetView tabSelected="1" workbookViewId="0">
      <selection activeCell="D27" sqref="D27"/>
    </sheetView>
  </sheetViews>
  <sheetFormatPr defaultRowHeight="12.75" x14ac:dyDescent="0.2"/>
  <cols>
    <col min="1" max="1" width="11.28515625" style="1" bestFit="1" customWidth="1"/>
    <col min="2" max="2" width="13.42578125" style="3" bestFit="1" customWidth="1"/>
    <col min="3" max="3" width="13.28515625" style="1" bestFit="1" customWidth="1"/>
    <col min="4" max="4" width="14" style="1" customWidth="1"/>
    <col min="5" max="5" width="18" style="1" bestFit="1" customWidth="1"/>
    <col min="6" max="16384" width="9.140625" style="1"/>
  </cols>
  <sheetData>
    <row r="1" spans="1:5" s="43" customFormat="1" ht="25.5" x14ac:dyDescent="0.2">
      <c r="B1" s="44" t="s">
        <v>201</v>
      </c>
      <c r="C1" s="45" t="s">
        <v>202</v>
      </c>
      <c r="D1" s="45" t="s">
        <v>199</v>
      </c>
      <c r="E1" s="45" t="s">
        <v>203</v>
      </c>
    </row>
    <row r="3" spans="1:5" x14ac:dyDescent="0.2">
      <c r="A3" s="1">
        <v>2014</v>
      </c>
      <c r="B3" s="3">
        <f>+'Worksheet for Presentation Sum'!B60</f>
        <v>246189.46000000002</v>
      </c>
      <c r="C3" s="3">
        <f>+'Orders - OATT Projects'!B25</f>
        <v>400000</v>
      </c>
      <c r="D3" s="3" t="str">
        <f>+'Orders - OATT Projects'!C25</f>
        <v>UE13-04</v>
      </c>
      <c r="E3" s="3" t="str">
        <f>+'Orders - OATT Projects'!D25</f>
        <v>UE15-01</v>
      </c>
    </row>
    <row r="4" spans="1:5" x14ac:dyDescent="0.2">
      <c r="A4" s="1">
        <f>+A3+1</f>
        <v>2015</v>
      </c>
      <c r="B4" s="3">
        <f>+'Worksheet for Presentation Sum'!C60</f>
        <v>82138.14</v>
      </c>
      <c r="C4" s="3"/>
      <c r="D4" s="3" t="str">
        <f>+'Orders - OATT Projects'!F25</f>
        <v>UE13-04</v>
      </c>
      <c r="E4" s="3" t="str">
        <f>+'Orders - OATT Projects'!G25</f>
        <v>UE15-01/ UE16-08</v>
      </c>
    </row>
    <row r="5" spans="1:5" x14ac:dyDescent="0.2">
      <c r="A5" s="1">
        <f t="shared" ref="A5:A9" si="0">+A4+1</f>
        <v>2016</v>
      </c>
      <c r="B5" s="3">
        <f>+'Worksheet for Presentation Sum'!D60</f>
        <v>372747.62000000017</v>
      </c>
      <c r="C5" s="3">
        <f>+'Orders - OATT Projects'!H25</f>
        <v>440000</v>
      </c>
      <c r="D5" s="3" t="str">
        <f>+'Orders - OATT Projects'!I25</f>
        <v>UE15-01</v>
      </c>
      <c r="E5" s="3" t="str">
        <f>+'Orders - OATT Projects'!J25</f>
        <v>UE17-03</v>
      </c>
    </row>
    <row r="6" spans="1:5" x14ac:dyDescent="0.2">
      <c r="A6" s="1">
        <f t="shared" si="0"/>
        <v>2017</v>
      </c>
      <c r="B6" s="3">
        <f>+'Worksheet for Presentation Sum'!E60</f>
        <v>451793.60999999975</v>
      </c>
      <c r="C6" s="3">
        <f>+'Orders - OATT Projects'!K25</f>
        <v>426000</v>
      </c>
      <c r="D6" s="3" t="str">
        <f>+'Orders - OATT Projects'!L25</f>
        <v>UE16-08</v>
      </c>
      <c r="E6" s="3" t="str">
        <f>+'Orders - OATT Projects'!M25</f>
        <v>UE18-09</v>
      </c>
    </row>
    <row r="7" spans="1:5" x14ac:dyDescent="0.2">
      <c r="A7" s="1">
        <f t="shared" si="0"/>
        <v>2018</v>
      </c>
      <c r="B7" s="3">
        <f>+'Worksheet for Presentation Sum'!F60</f>
        <v>422115.16</v>
      </c>
      <c r="C7" s="3">
        <f>+'Orders - OATT Projects'!N25</f>
        <v>500000</v>
      </c>
      <c r="D7" s="3" t="str">
        <f>+'Orders - OATT Projects'!O25</f>
        <v>UE17-03</v>
      </c>
      <c r="E7" s="3" t="str">
        <f>+'Orders - OATT Projects'!P25</f>
        <v>UE19-09</v>
      </c>
    </row>
    <row r="8" spans="1:5" x14ac:dyDescent="0.2">
      <c r="A8" s="1">
        <f>+A7+1</f>
        <v>2019</v>
      </c>
      <c r="B8" s="3">
        <f>+'Worksheet for Presentation Sum'!G60</f>
        <v>441666.2799999998</v>
      </c>
      <c r="C8" s="3">
        <f>+'Orders - OATT Projects'!Q25</f>
        <v>515000</v>
      </c>
      <c r="D8" s="3" t="str">
        <f>+'Orders - OATT Projects'!R25</f>
        <v>UE18-09</v>
      </c>
      <c r="E8" s="3" t="str">
        <f>+'Orders - OATT Projects'!S25</f>
        <v>UE21-02</v>
      </c>
    </row>
    <row r="9" spans="1:5" x14ac:dyDescent="0.2">
      <c r="A9" s="1">
        <f t="shared" si="0"/>
        <v>2020</v>
      </c>
      <c r="B9" s="17">
        <f>+'Worksheet for Presentation Sum'!H60</f>
        <v>566479.30000000005</v>
      </c>
      <c r="C9" s="17">
        <f>+'Orders - OATT Projects'!T25</f>
        <v>565000</v>
      </c>
      <c r="D9" s="3" t="str">
        <f>+'Orders - OATT Projects'!U25</f>
        <v>UE19-09</v>
      </c>
      <c r="E9" s="3" t="str">
        <f>+'Orders - OATT Projects'!V25</f>
        <v>UE21-16</v>
      </c>
    </row>
    <row r="10" spans="1:5" x14ac:dyDescent="0.2">
      <c r="B10" s="3">
        <f>SUM(B3:B9)</f>
        <v>2583129.5699999998</v>
      </c>
      <c r="C10" s="3">
        <f>SUM(C3:C9)</f>
        <v>2846000</v>
      </c>
    </row>
    <row r="11" spans="1:5" x14ac:dyDescent="0.2">
      <c r="A11" s="1" t="s">
        <v>204</v>
      </c>
      <c r="B11" s="3">
        <f>+B3*0.5</f>
        <v>123094.73000000001</v>
      </c>
    </row>
    <row r="12" spans="1:5" x14ac:dyDescent="0.2">
      <c r="A12" s="1" t="s">
        <v>206</v>
      </c>
      <c r="B12" s="17">
        <f>+B9*0.5</f>
        <v>283239.65000000002</v>
      </c>
    </row>
    <row r="13" spans="1:5" x14ac:dyDescent="0.2">
      <c r="B13" s="3">
        <f>+B10-B11-B12</f>
        <v>2176795.19</v>
      </c>
    </row>
    <row r="14" spans="1:5" x14ac:dyDescent="0.2">
      <c r="A14" s="1" t="s">
        <v>207</v>
      </c>
      <c r="B14" s="17">
        <f>+'Worksheet for Presentation Sum'!O60-'Worksheet for Presentation Sum'!N60</f>
        <v>71863.489640246145</v>
      </c>
    </row>
    <row r="15" spans="1:5" x14ac:dyDescent="0.2">
      <c r="B15" s="3">
        <f>SUM(B13:B14)</f>
        <v>2248658.6796402461</v>
      </c>
    </row>
  </sheetData>
  <pageMargins left="0.7" right="0.7" top="0.75" bottom="0.75" header="0.3" footer="0.3"/>
  <pageSetup orientation="portrait" r:id="rId1"/>
  <headerFooter>
    <oddHeader>&amp;RIR-4 - Attachment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E7"/>
  <sheetViews>
    <sheetView tabSelected="1" workbookViewId="0">
      <selection activeCell="D27" sqref="D27"/>
    </sheetView>
  </sheetViews>
  <sheetFormatPr defaultRowHeight="12.75" x14ac:dyDescent="0.2"/>
  <cols>
    <col min="1" max="1" width="14.42578125" style="1" bestFit="1" customWidth="1"/>
    <col min="2" max="2" width="13.42578125" style="3" bestFit="1" customWidth="1"/>
    <col min="3" max="3" width="13.28515625" style="1" bestFit="1" customWidth="1"/>
    <col min="4" max="5" width="14" style="1" customWidth="1"/>
    <col min="6" max="16384" width="9.140625" style="1"/>
  </cols>
  <sheetData>
    <row r="1" spans="1:5" s="43" customFormat="1" ht="25.5" x14ac:dyDescent="0.2">
      <c r="B1" s="44" t="s">
        <v>201</v>
      </c>
      <c r="C1" s="45" t="s">
        <v>202</v>
      </c>
      <c r="D1" s="45" t="s">
        <v>199</v>
      </c>
      <c r="E1" s="45" t="s">
        <v>200</v>
      </c>
    </row>
    <row r="3" spans="1:5" x14ac:dyDescent="0.2">
      <c r="A3" s="1">
        <v>2017</v>
      </c>
      <c r="B3" s="3">
        <f>+'Worksheet for Presentation Sum'!E71+'Worksheet for Presentation Sum'!E74</f>
        <v>60380.630000000005</v>
      </c>
      <c r="C3" s="3">
        <f>+'Orders - OATT Projects'!K56</f>
        <v>106000</v>
      </c>
      <c r="D3" s="3" t="str">
        <f>+'Orders - OATT Projects'!L56</f>
        <v>UE16-08</v>
      </c>
      <c r="E3" s="3" t="str">
        <f>+'Orders - OATT Projects'!M56</f>
        <v>UE18-09</v>
      </c>
    </row>
    <row r="4" spans="1:5" x14ac:dyDescent="0.2">
      <c r="A4" s="1">
        <f t="shared" ref="A4" si="0">+A3+1</f>
        <v>2018</v>
      </c>
      <c r="B4" s="17">
        <f>+'Worksheet for Presentation Sum'!F71+'Worksheet for Presentation Sum'!F74</f>
        <v>1876554.9899999988</v>
      </c>
      <c r="C4" s="17">
        <f>+'Orders - OATT Projects'!N63</f>
        <v>1910000</v>
      </c>
      <c r="D4" s="3" t="str">
        <f>+'Orders - OATT Projects'!O63</f>
        <v>UE17-03</v>
      </c>
      <c r="E4" s="3" t="str">
        <f>+'Orders - OATT Projects'!P63</f>
        <v>UE19-09</v>
      </c>
    </row>
    <row r="5" spans="1:5" x14ac:dyDescent="0.2">
      <c r="B5" s="3">
        <f>SUM(B3:B4)</f>
        <v>1936935.6199999987</v>
      </c>
      <c r="C5" s="3">
        <f>SUM(C3:C4)</f>
        <v>2016000</v>
      </c>
    </row>
    <row r="6" spans="1:5" x14ac:dyDescent="0.2">
      <c r="A6" s="1" t="s">
        <v>207</v>
      </c>
      <c r="B6" s="17">
        <f>+'Worksheet for Presentation Sum'!O71+'Worksheet for Presentation Sum'!O74-'Worksheet for Presentation Sum'!N71-'Worksheet for Presentation Sum'!N74</f>
        <v>63944.900972375646</v>
      </c>
    </row>
    <row r="7" spans="1:5" x14ac:dyDescent="0.2">
      <c r="B7" s="3">
        <f>SUM(B5:B6)</f>
        <v>2000880.5209723744</v>
      </c>
    </row>
  </sheetData>
  <pageMargins left="0.7" right="0.7" top="0.75" bottom="0.75" header="0.3" footer="0.3"/>
  <pageSetup orientation="portrait" r:id="rId1"/>
  <headerFooter>
    <oddHeader>&amp;RIR-4 - Attachment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249977111117893"/>
  </sheetPr>
  <dimension ref="A1:E7"/>
  <sheetViews>
    <sheetView tabSelected="1" workbookViewId="0">
      <selection activeCell="D27" sqref="D27"/>
    </sheetView>
  </sheetViews>
  <sheetFormatPr defaultRowHeight="12.75" x14ac:dyDescent="0.2"/>
  <cols>
    <col min="1" max="1" width="13.140625" style="1" bestFit="1" customWidth="1"/>
    <col min="2" max="2" width="13.42578125" style="3" bestFit="1" customWidth="1"/>
    <col min="3" max="3" width="13.28515625" style="1" bestFit="1" customWidth="1"/>
    <col min="4" max="5" width="14" style="1" customWidth="1"/>
    <col min="6" max="16384" width="9.140625" style="1"/>
  </cols>
  <sheetData>
    <row r="1" spans="1:5" s="43" customFormat="1" ht="25.5" x14ac:dyDescent="0.2">
      <c r="B1" s="44" t="s">
        <v>201</v>
      </c>
      <c r="C1" s="45" t="s">
        <v>202</v>
      </c>
      <c r="D1" s="45" t="s">
        <v>199</v>
      </c>
      <c r="E1" s="45" t="s">
        <v>200</v>
      </c>
    </row>
    <row r="3" spans="1:5" x14ac:dyDescent="0.2">
      <c r="A3" s="43">
        <v>2019</v>
      </c>
      <c r="B3" s="17">
        <f>+'Worksheet for Presentation Sum'!G47</f>
        <v>3524350.3400000008</v>
      </c>
      <c r="C3" s="17">
        <f>+'Orders - OATT Projects'!Q68</f>
        <v>2820000</v>
      </c>
      <c r="D3" s="3" t="str">
        <f>+'Orders - OATT Projects'!R68</f>
        <v>UE18-09</v>
      </c>
      <c r="E3" s="3" t="str">
        <f>+'Orders - OATT Projects'!S68</f>
        <v>UE21-02</v>
      </c>
    </row>
    <row r="4" spans="1:5" x14ac:dyDescent="0.2">
      <c r="B4" s="46">
        <f>SUM(B3:B3)</f>
        <v>3524350.3400000008</v>
      </c>
      <c r="C4" s="46">
        <f>SUM(C3:C3)</f>
        <v>2820000</v>
      </c>
    </row>
    <row r="5" spans="1:5" x14ac:dyDescent="0.2">
      <c r="A5" s="1" t="s">
        <v>205</v>
      </c>
      <c r="B5" s="3">
        <f>+B4*0.53</f>
        <v>1867905.6802000005</v>
      </c>
    </row>
    <row r="6" spans="1:5" x14ac:dyDescent="0.2">
      <c r="A6" s="1" t="s">
        <v>159</v>
      </c>
      <c r="B6" s="17">
        <f>+'Worksheet for Presentation Sum'!O47-'Worksheet for Presentation Sum'!N47</f>
        <v>64192.777593231061</v>
      </c>
    </row>
    <row r="7" spans="1:5" x14ac:dyDescent="0.2">
      <c r="B7" s="3">
        <f>SUM(B5:B6)</f>
        <v>1932098.4577932316</v>
      </c>
    </row>
  </sheetData>
  <pageMargins left="0.7" right="0.7" top="0.75" bottom="0.75" header="0.3" footer="0.3"/>
  <pageSetup orientation="portrait" r:id="rId1"/>
  <headerFooter>
    <oddHeader>&amp;RIR-4 - 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OATT Additions by Asset </vt:lpstr>
      <vt:lpstr>Presentation Summary</vt:lpstr>
      <vt:lpstr>Worksheet for Presentation Sum</vt:lpstr>
      <vt:lpstr>Orders - OATT Projects</vt:lpstr>
      <vt:lpstr>Trans Line Refurb &amp; Proj</vt:lpstr>
      <vt:lpstr>Y104 Build</vt:lpstr>
      <vt:lpstr>69 &amp; 138 KV Switch Rep</vt:lpstr>
      <vt:lpstr>Y109 Ext to Borden</vt:lpstr>
      <vt:lpstr>Lorne Valley Switching Station</vt:lpstr>
      <vt:lpstr>69 KV Breaker Rep</vt:lpstr>
      <vt:lpstr>Comm Equipment</vt:lpstr>
      <vt:lpstr>T-3 Rebuild</vt:lpstr>
      <vt:lpstr>T-8 Rebuild</vt:lpstr>
      <vt:lpstr>T-1 Ext to Bagnall Rd</vt:lpstr>
      <vt:lpstr>Capacitors</vt:lpstr>
      <vt:lpstr>T-21 Rebuild</vt:lpstr>
      <vt:lpstr>138 kV Tap Clyde River</vt:lpstr>
      <vt:lpstr>Substation Modernization</vt:lpstr>
      <vt:lpstr>T-15 Ext to Airport</vt:lpstr>
      <vt:lpstr>Y109 Banockburn Rd</vt:lpstr>
      <vt:lpstr>Other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Crockett, Gloria</dc:creator>
  <cp:lastModifiedBy>Hughes, Sharon</cp:lastModifiedBy>
  <cp:lastPrinted>2022-05-20T11:13:51Z</cp:lastPrinted>
  <dcterms:created xsi:type="dcterms:W3CDTF">2021-11-19T14:54:32Z</dcterms:created>
  <dcterms:modified xsi:type="dcterms:W3CDTF">2022-05-20T11:13:58Z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17.1.5.0</vt:lpwstr>
  </property>
</Properties>
</file>