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mercury\users\FIN\Regulation\Applications and Filings\Capital Budgets &amp; Variance Reports\2022\Interrogatories\Synapse\"/>
    </mc:Choice>
  </mc:AlternateContent>
  <bookViews>
    <workbookView xWindow="0" yWindow="0" windowWidth="28800" windowHeight="10272"/>
  </bookViews>
  <sheets>
    <sheet name="IR-17 Inputs" sheetId="1" r:id="rId1"/>
    <sheet name="IR-17 CTGS" sheetId="2" r:id="rId2"/>
    <sheet name="IR-17 CT3" sheetId="3" r:id="rId3"/>
    <sheet name="IR-17 BGS" sheetId="4" r:id="rId4"/>
  </sheets>
  <definedNames>
    <definedName name="_xlnm.Print_Area" localSheetId="3">'IR-17 BGS'!$A$1:$H$25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2" i="2" l="1"/>
  <c r="A4" i="3" l="1"/>
  <c r="D9" i="1"/>
  <c r="C9" i="1"/>
  <c r="A18" i="4"/>
  <c r="I10" i="1"/>
  <c r="H10" i="1"/>
  <c r="G10" i="1"/>
  <c r="F10" i="1"/>
  <c r="E10" i="1"/>
  <c r="D10" i="1"/>
  <c r="C10" i="1"/>
  <c r="D59" i="1" l="1"/>
  <c r="A20" i="2"/>
  <c r="A18" i="3"/>
  <c r="A17" i="3"/>
  <c r="A17" i="4" s="1"/>
  <c r="E74" i="1"/>
  <c r="D17" i="2" s="1"/>
  <c r="F74" i="1"/>
  <c r="G74" i="1"/>
  <c r="H74" i="1"/>
  <c r="I74" i="1"/>
  <c r="C75" i="1"/>
  <c r="B17" i="3" s="1"/>
  <c r="C76" i="1"/>
  <c r="B17" i="4" s="1"/>
  <c r="C74" i="1"/>
  <c r="B17" i="2" s="1"/>
  <c r="D51" i="1"/>
  <c r="D69" i="1" s="1"/>
  <c r="B70" i="1"/>
  <c r="B75" i="1" s="1"/>
  <c r="B71" i="1"/>
  <c r="B76" i="1" s="1"/>
  <c r="B69" i="1"/>
  <c r="B74" i="1" s="1"/>
  <c r="D74" i="1" l="1"/>
  <c r="C17" i="2" s="1"/>
  <c r="G78" i="1"/>
  <c r="I78" i="1" s="1"/>
  <c r="H17" i="2" s="1"/>
  <c r="F78" i="1"/>
  <c r="H78" i="1" s="1"/>
  <c r="G17" i="2" s="1"/>
  <c r="F17" i="2" l="1"/>
  <c r="E17" i="2"/>
  <c r="I66" i="1"/>
  <c r="H66" i="1"/>
  <c r="G66" i="1"/>
  <c r="F66" i="1"/>
  <c r="E66" i="1"/>
  <c r="D66" i="1"/>
  <c r="D71" i="1" s="1"/>
  <c r="I65" i="1"/>
  <c r="G65" i="1"/>
  <c r="H65" i="1"/>
  <c r="F65" i="1"/>
  <c r="E65" i="1"/>
  <c r="D65" i="1"/>
  <c r="D70" i="1" s="1"/>
  <c r="E70" i="1" s="1"/>
  <c r="F70" i="1" l="1"/>
  <c r="G70" i="1" s="1"/>
  <c r="H70" i="1" s="1"/>
  <c r="I70" i="1" s="1"/>
  <c r="D60" i="1"/>
  <c r="E71" i="1"/>
  <c r="F71" i="1" s="1"/>
  <c r="G71" i="1" s="1"/>
  <c r="H71" i="1" s="1"/>
  <c r="I71" i="1" s="1"/>
  <c r="D61" i="1"/>
  <c r="C62" i="1"/>
  <c r="K60" i="1" s="1"/>
  <c r="E61" i="1" l="1"/>
  <c r="E76" i="1" s="1"/>
  <c r="D17" i="4" s="1"/>
  <c r="D76" i="1"/>
  <c r="C17" i="4" s="1"/>
  <c r="D62" i="1"/>
  <c r="L59" i="1" s="1"/>
  <c r="E60" i="1"/>
  <c r="E62" i="1" s="1"/>
  <c r="D75" i="1"/>
  <c r="C17" i="3" s="1"/>
  <c r="F61" i="1"/>
  <c r="F76" i="1" s="1"/>
  <c r="E17" i="4" s="1"/>
  <c r="K59" i="1"/>
  <c r="K61" i="1"/>
  <c r="L60" i="1" l="1"/>
  <c r="E75" i="1"/>
  <c r="D17" i="3" s="1"/>
  <c r="F60" i="1"/>
  <c r="L61" i="1"/>
  <c r="M59" i="1"/>
  <c r="M60" i="1"/>
  <c r="M61" i="1"/>
  <c r="G61" i="1"/>
  <c r="G76" i="1" s="1"/>
  <c r="F17" i="4" s="1"/>
  <c r="F75" i="1" l="1"/>
  <c r="E17" i="3" s="1"/>
  <c r="F62" i="1"/>
  <c r="N60" i="1" s="1"/>
  <c r="G60" i="1"/>
  <c r="H61" i="1"/>
  <c r="H76" i="1" s="1"/>
  <c r="G17" i="4" s="1"/>
  <c r="D15" i="2"/>
  <c r="E15" i="2"/>
  <c r="F15" i="2"/>
  <c r="G15" i="2"/>
  <c r="H15" i="2"/>
  <c r="B15" i="2"/>
  <c r="A15" i="2"/>
  <c r="A14" i="2"/>
  <c r="C15" i="4"/>
  <c r="D15" i="4"/>
  <c r="E15" i="4"/>
  <c r="F15" i="4"/>
  <c r="G15" i="4"/>
  <c r="H15" i="4"/>
  <c r="B15" i="4"/>
  <c r="C15" i="3"/>
  <c r="D15" i="3"/>
  <c r="E15" i="3"/>
  <c r="F15" i="3"/>
  <c r="G15" i="3"/>
  <c r="H15" i="3"/>
  <c r="B15" i="3"/>
  <c r="G75" i="1" l="1"/>
  <c r="F17" i="3" s="1"/>
  <c r="H60" i="1"/>
  <c r="H62" i="1" s="1"/>
  <c r="G62" i="1"/>
  <c r="N59" i="1"/>
  <c r="N61" i="1"/>
  <c r="I61" i="1"/>
  <c r="I76" i="1" s="1"/>
  <c r="H17" i="4" s="1"/>
  <c r="C9" i="2"/>
  <c r="D9" i="2"/>
  <c r="E9" i="2"/>
  <c r="F9" i="2"/>
  <c r="G9" i="2"/>
  <c r="H9" i="2"/>
  <c r="B9" i="2"/>
  <c r="C7" i="4"/>
  <c r="C9" i="4" s="1"/>
  <c r="D7" i="4"/>
  <c r="D9" i="4" s="1"/>
  <c r="E7" i="4"/>
  <c r="E9" i="4" s="1"/>
  <c r="F7" i="4"/>
  <c r="F9" i="4" s="1"/>
  <c r="G7" i="4"/>
  <c r="G9" i="4" s="1"/>
  <c r="H7" i="4"/>
  <c r="H9" i="4" s="1"/>
  <c r="B7" i="4"/>
  <c r="B9" i="4" s="1"/>
  <c r="C4" i="4"/>
  <c r="B4" i="4"/>
  <c r="C7" i="3"/>
  <c r="C9" i="3" s="1"/>
  <c r="D7" i="3"/>
  <c r="D9" i="3" s="1"/>
  <c r="E7" i="3"/>
  <c r="E9" i="3" s="1"/>
  <c r="F7" i="3"/>
  <c r="F9" i="3" s="1"/>
  <c r="G7" i="3"/>
  <c r="G9" i="3" s="1"/>
  <c r="H7" i="3"/>
  <c r="H9" i="3" s="1"/>
  <c r="B7" i="3"/>
  <c r="B9" i="3" s="1"/>
  <c r="C4" i="3"/>
  <c r="D4" i="3"/>
  <c r="E4" i="3"/>
  <c r="F4" i="3"/>
  <c r="G4" i="3"/>
  <c r="H4" i="3"/>
  <c r="B4" i="3"/>
  <c r="C4" i="2"/>
  <c r="D4" i="2"/>
  <c r="E4" i="2"/>
  <c r="F4" i="2"/>
  <c r="G4" i="2"/>
  <c r="H4" i="2"/>
  <c r="B4" i="2"/>
  <c r="C2" i="3"/>
  <c r="D2" i="3"/>
  <c r="C2" i="4"/>
  <c r="D2" i="4"/>
  <c r="C2" i="2"/>
  <c r="D2" i="2"/>
  <c r="B2" i="3"/>
  <c r="B2" i="4"/>
  <c r="B2" i="2"/>
  <c r="B1" i="3"/>
  <c r="B1" i="4"/>
  <c r="B1" i="2"/>
  <c r="A4" i="4"/>
  <c r="A4" i="2"/>
  <c r="O59" i="1" l="1"/>
  <c r="O61" i="1"/>
  <c r="O60" i="1"/>
  <c r="H75" i="1"/>
  <c r="G17" i="3" s="1"/>
  <c r="I60" i="1"/>
  <c r="P59" i="1"/>
  <c r="P60" i="1"/>
  <c r="P61" i="1"/>
  <c r="F11" i="3"/>
  <c r="H11" i="3"/>
  <c r="C11" i="4"/>
  <c r="B11" i="3"/>
  <c r="G11" i="3"/>
  <c r="E11" i="3"/>
  <c r="D11" i="3"/>
  <c r="C11" i="3"/>
  <c r="B11" i="4"/>
  <c r="E54" i="1"/>
  <c r="F54" i="1"/>
  <c r="G54" i="1"/>
  <c r="H54" i="1"/>
  <c r="I54" i="1"/>
  <c r="C54" i="1"/>
  <c r="C15" i="2"/>
  <c r="I75" i="1" l="1"/>
  <c r="H17" i="3" s="1"/>
  <c r="I62" i="1"/>
  <c r="Q60" i="1" s="1"/>
  <c r="D54" i="1"/>
  <c r="D42" i="1"/>
  <c r="C14" i="4" s="1"/>
  <c r="E42" i="1"/>
  <c r="D14" i="4" s="1"/>
  <c r="F42" i="1"/>
  <c r="E14" i="4" s="1"/>
  <c r="G42" i="1"/>
  <c r="F14" i="4" s="1"/>
  <c r="H42" i="1"/>
  <c r="G14" i="4" s="1"/>
  <c r="I42" i="1"/>
  <c r="H14" i="4" s="1"/>
  <c r="C42" i="1"/>
  <c r="B14" i="4" s="1"/>
  <c r="D35" i="1"/>
  <c r="C14" i="3" s="1"/>
  <c r="E35" i="1"/>
  <c r="D14" i="3" s="1"/>
  <c r="F35" i="1"/>
  <c r="E14" i="3" s="1"/>
  <c r="G35" i="1"/>
  <c r="F14" i="3" s="1"/>
  <c r="H35" i="1"/>
  <c r="G14" i="3" s="1"/>
  <c r="I35" i="1"/>
  <c r="H14" i="3" s="1"/>
  <c r="C35" i="1"/>
  <c r="B14" i="3" s="1"/>
  <c r="D28" i="1"/>
  <c r="C14" i="2" s="1"/>
  <c r="E28" i="1"/>
  <c r="D14" i="2" s="1"/>
  <c r="F28" i="1"/>
  <c r="E14" i="2" s="1"/>
  <c r="G28" i="1"/>
  <c r="F14" i="2" s="1"/>
  <c r="H28" i="1"/>
  <c r="G14" i="2" s="1"/>
  <c r="I28" i="1"/>
  <c r="H14" i="2" s="1"/>
  <c r="C28" i="1"/>
  <c r="B14" i="2" s="1"/>
  <c r="Q59" i="1" l="1"/>
  <c r="Q61" i="1"/>
  <c r="F2" i="1"/>
  <c r="D48" i="1"/>
  <c r="E48" i="1"/>
  <c r="F48" i="1"/>
  <c r="G48" i="1"/>
  <c r="H48" i="1"/>
  <c r="I48" i="1"/>
  <c r="C48" i="1"/>
  <c r="E5" i="1"/>
  <c r="D1" i="1"/>
  <c r="H16" i="2" l="1"/>
  <c r="H16" i="3"/>
  <c r="H16" i="4"/>
  <c r="B16" i="2"/>
  <c r="B16" i="3"/>
  <c r="B16" i="4"/>
  <c r="G16" i="3"/>
  <c r="G16" i="4"/>
  <c r="G16" i="2"/>
  <c r="F16" i="2"/>
  <c r="F16" i="4"/>
  <c r="F16" i="3"/>
  <c r="E16" i="2"/>
  <c r="E16" i="4"/>
  <c r="E16" i="3"/>
  <c r="D16" i="2"/>
  <c r="D16" i="3"/>
  <c r="D16" i="4"/>
  <c r="C16" i="2"/>
  <c r="C16" i="4"/>
  <c r="C16" i="3"/>
  <c r="F5" i="1"/>
  <c r="D4" i="4"/>
  <c r="E1" i="1"/>
  <c r="C1" i="3"/>
  <c r="C1" i="4"/>
  <c r="C1" i="2"/>
  <c r="G2" i="1"/>
  <c r="E2" i="3"/>
  <c r="E2" i="4"/>
  <c r="E2" i="2"/>
  <c r="C23" i="4" l="1"/>
  <c r="C18" i="4"/>
  <c r="G18" i="4"/>
  <c r="G23" i="4"/>
  <c r="F18" i="4"/>
  <c r="F23" i="4"/>
  <c r="G18" i="3"/>
  <c r="G23" i="3"/>
  <c r="H23" i="4"/>
  <c r="H18" i="4"/>
  <c r="F18" i="3"/>
  <c r="F23" i="3"/>
  <c r="C18" i="2"/>
  <c r="C23" i="2"/>
  <c r="D18" i="4"/>
  <c r="D23" i="4"/>
  <c r="E23" i="4"/>
  <c r="E18" i="4"/>
  <c r="F18" i="2"/>
  <c r="B23" i="4"/>
  <c r="B18" i="4"/>
  <c r="H18" i="3"/>
  <c r="H23" i="3"/>
  <c r="D18" i="2"/>
  <c r="B18" i="2"/>
  <c r="B23" i="2"/>
  <c r="E18" i="3"/>
  <c r="E23" i="3"/>
  <c r="C18" i="3"/>
  <c r="C23" i="3"/>
  <c r="D18" i="3"/>
  <c r="D23" i="3"/>
  <c r="E18" i="2"/>
  <c r="G18" i="2"/>
  <c r="B18" i="3"/>
  <c r="B23" i="3"/>
  <c r="H18" i="2"/>
  <c r="D11" i="4"/>
  <c r="F1" i="1"/>
  <c r="D1" i="2"/>
  <c r="D1" i="3"/>
  <c r="D1" i="4"/>
  <c r="H2" i="1"/>
  <c r="F2" i="3"/>
  <c r="F2" i="2"/>
  <c r="F2" i="4"/>
  <c r="G5" i="1"/>
  <c r="E4" i="4"/>
  <c r="B20" i="3" l="1"/>
  <c r="B22" i="3"/>
  <c r="C20" i="3"/>
  <c r="C22" i="3"/>
  <c r="H20" i="3"/>
  <c r="H22" i="3"/>
  <c r="D22" i="4"/>
  <c r="D20" i="4"/>
  <c r="F20" i="3"/>
  <c r="F22" i="3"/>
  <c r="G20" i="3"/>
  <c r="G22" i="3"/>
  <c r="G22" i="4"/>
  <c r="B22" i="4"/>
  <c r="B20" i="4"/>
  <c r="E22" i="4"/>
  <c r="E20" i="4"/>
  <c r="H22" i="4"/>
  <c r="C22" i="4"/>
  <c r="C20" i="4"/>
  <c r="D20" i="3"/>
  <c r="D22" i="3"/>
  <c r="E20" i="3"/>
  <c r="E22" i="3"/>
  <c r="C22" i="2"/>
  <c r="F22" i="4"/>
  <c r="E11" i="4"/>
  <c r="I2" i="1"/>
  <c r="G2" i="2"/>
  <c r="G2" i="3"/>
  <c r="G2" i="4"/>
  <c r="H5" i="1"/>
  <c r="F4" i="4"/>
  <c r="F20" i="4" s="1"/>
  <c r="G1" i="1"/>
  <c r="E1" i="2"/>
  <c r="E1" i="4"/>
  <c r="E1" i="3"/>
  <c r="F11" i="4" l="1"/>
  <c r="I5" i="1"/>
  <c r="H4" i="4" s="1"/>
  <c r="H20" i="4" s="1"/>
  <c r="G4" i="4"/>
  <c r="G20" i="4" s="1"/>
  <c r="H1" i="1"/>
  <c r="F1" i="4"/>
  <c r="F1" i="2"/>
  <c r="F1" i="3"/>
  <c r="H2" i="4"/>
  <c r="H2" i="2"/>
  <c r="H2" i="3"/>
  <c r="G11" i="4" l="1"/>
  <c r="H11" i="4"/>
  <c r="I1" i="1"/>
  <c r="G1" i="4"/>
  <c r="G1" i="2"/>
  <c r="G1" i="3"/>
  <c r="H1" i="2" l="1"/>
  <c r="H1" i="3"/>
  <c r="H1" i="4"/>
  <c r="G20" i="2"/>
  <c r="H20" i="2"/>
  <c r="H11" i="2"/>
  <c r="E23" i="2"/>
  <c r="C11" i="2"/>
  <c r="C20" i="2"/>
  <c r="H22" i="2"/>
  <c r="F22" i="2"/>
  <c r="G22" i="2"/>
  <c r="D11" i="2"/>
  <c r="G23" i="2"/>
  <c r="F20" i="2"/>
  <c r="E20" i="2"/>
  <c r="D22" i="2"/>
  <c r="E22" i="2"/>
  <c r="B11" i="2"/>
  <c r="E11" i="2"/>
  <c r="F23" i="2"/>
  <c r="B20" i="2"/>
  <c r="H23" i="2"/>
  <c r="D23" i="2"/>
  <c r="G11" i="2"/>
  <c r="F11" i="2"/>
  <c r="D20" i="2"/>
</calcChain>
</file>

<file path=xl/comments1.xml><?xml version="1.0" encoding="utf-8"?>
<comments xmlns="http://schemas.openxmlformats.org/spreadsheetml/2006/main">
  <authors>
    <author>Nicholson, Kent</author>
    <author>Crockett, Gloria</author>
  </authors>
  <commentList>
    <comment ref="C4" authorId="0" shapeId="0">
      <text>
        <r>
          <rPr>
            <b/>
            <sz val="9"/>
            <color indexed="81"/>
            <rFont val="Tahoma"/>
            <family val="2"/>
          </rPr>
          <t>Nicholson, Kent:</t>
        </r>
        <r>
          <rPr>
            <sz val="9"/>
            <color indexed="81"/>
            <rFont val="Tahoma"/>
            <family val="2"/>
          </rPr>
          <t xml:space="preserve">
No Generation from CTGS in 2020.  Last Generation Run in 2017.</t>
        </r>
      </text>
    </comment>
    <comment ref="D4" authorId="0" shapeId="0">
      <text>
        <r>
          <rPr>
            <b/>
            <sz val="9"/>
            <color indexed="81"/>
            <rFont val="Tahoma"/>
            <family val="2"/>
          </rPr>
          <t>Nicholson, Kent:</t>
        </r>
        <r>
          <rPr>
            <sz val="9"/>
            <color indexed="81"/>
            <rFont val="Tahoma"/>
            <family val="2"/>
          </rPr>
          <t xml:space="preserve">
No generation planned for CTGS in 2021.</t>
        </r>
      </text>
    </comment>
    <comment ref="E4" authorId="0" shapeId="0">
      <text>
        <r>
          <rPr>
            <b/>
            <sz val="9"/>
            <color indexed="81"/>
            <rFont val="Tahoma"/>
            <family val="2"/>
          </rPr>
          <t>Nicholson, Kent:</t>
        </r>
        <r>
          <rPr>
            <sz val="9"/>
            <color indexed="81"/>
            <rFont val="Tahoma"/>
            <family val="2"/>
          </rPr>
          <t xml:space="preserve">
CTGS Retired in 2022.</t>
        </r>
      </text>
    </comment>
    <comment ref="C5" authorId="1" shapeId="0">
      <text>
        <r>
          <rPr>
            <b/>
            <sz val="9"/>
            <color indexed="81"/>
            <rFont val="Tahoma"/>
            <charset val="1"/>
          </rPr>
          <t>Crockett, Gloria:</t>
        </r>
        <r>
          <rPr>
            <sz val="9"/>
            <color indexed="81"/>
            <rFont val="Tahoma"/>
            <charset val="1"/>
          </rPr>
          <t xml:space="preserve">
Station Service -385.442 MWh
</t>
        </r>
      </text>
    </comment>
    <comment ref="D5" authorId="1" shapeId="0">
      <text>
        <r>
          <rPr>
            <b/>
            <sz val="9"/>
            <color indexed="81"/>
            <rFont val="Tahoma"/>
            <charset val="1"/>
          </rPr>
          <t>Crockett, Gloria:</t>
        </r>
        <r>
          <rPr>
            <sz val="9"/>
            <color indexed="81"/>
            <rFont val="Tahoma"/>
            <charset val="1"/>
          </rPr>
          <t xml:space="preserve">
2021 Business Plan
Station Service -292.69 MWh YTD</t>
        </r>
      </text>
    </comment>
    <comment ref="C6" authorId="1" shapeId="0">
      <text>
        <r>
          <rPr>
            <b/>
            <sz val="9"/>
            <color indexed="81"/>
            <rFont val="Tahoma"/>
            <charset val="1"/>
          </rPr>
          <t>Crockett, Gloria:</t>
        </r>
        <r>
          <rPr>
            <sz val="9"/>
            <color indexed="81"/>
            <rFont val="Tahoma"/>
            <charset val="1"/>
          </rPr>
          <t xml:space="preserve">
Station Service -512.841 MWh</t>
        </r>
      </text>
    </comment>
    <comment ref="D6" authorId="1" shapeId="0">
      <text>
        <r>
          <rPr>
            <b/>
            <sz val="9"/>
            <color indexed="81"/>
            <rFont val="Tahoma"/>
            <charset val="1"/>
          </rPr>
          <t>Crockett, Gloria:</t>
        </r>
        <r>
          <rPr>
            <sz val="9"/>
            <color indexed="81"/>
            <rFont val="Tahoma"/>
            <charset val="1"/>
          </rPr>
          <t xml:space="preserve">
2021 Business Plan
Station Service -418.236 MWh YTD</t>
        </r>
      </text>
    </comment>
    <comment ref="C9" authorId="0" shapeId="0">
      <text>
        <r>
          <rPr>
            <b/>
            <sz val="9"/>
            <color indexed="81"/>
            <rFont val="Tahoma"/>
            <family val="2"/>
          </rPr>
          <t>Nicholson, Kent:</t>
        </r>
        <r>
          <rPr>
            <sz val="9"/>
            <color indexed="81"/>
            <rFont val="Tahoma"/>
            <family val="2"/>
          </rPr>
          <t xml:space="preserve">
Unit 9 -   19 MW
Unit 10-  19 MW
per 2020 Integrated System Plan</t>
        </r>
      </text>
    </comment>
    <comment ref="C10" authorId="0" shapeId="0">
      <text>
        <r>
          <rPr>
            <b/>
            <sz val="9"/>
            <color indexed="81"/>
            <rFont val="Tahoma"/>
            <family val="2"/>
          </rPr>
          <t>Nicholson, Kent:</t>
        </r>
        <r>
          <rPr>
            <sz val="9"/>
            <color indexed="81"/>
            <rFont val="Tahoma"/>
            <family val="2"/>
          </rPr>
          <t xml:space="preserve">
CT1 - 15 MW
CT2 - 25 MW
per 2020 Integrated System Plan</t>
        </r>
      </text>
    </comment>
    <comment ref="C11" authorId="0" shapeId="0">
      <text>
        <r>
          <rPr>
            <b/>
            <sz val="9"/>
            <color indexed="81"/>
            <rFont val="Tahoma"/>
            <family val="2"/>
          </rPr>
          <t>Nicholson, Kent:</t>
        </r>
        <r>
          <rPr>
            <sz val="9"/>
            <color indexed="81"/>
            <rFont val="Tahoma"/>
            <family val="2"/>
          </rPr>
          <t xml:space="preserve">
CT3 - 49 MW
per 2020 Integrated System Plan</t>
        </r>
      </text>
    </comment>
    <comment ref="D51" authorId="1" shapeId="0">
      <text>
        <r>
          <rPr>
            <b/>
            <sz val="9"/>
            <color indexed="81"/>
            <rFont val="Tahoma"/>
            <charset val="1"/>
          </rPr>
          <t>Crockett, Gloria:</t>
        </r>
        <r>
          <rPr>
            <sz val="9"/>
            <color indexed="81"/>
            <rFont val="Tahoma"/>
            <charset val="1"/>
          </rPr>
          <t xml:space="preserve">
Half year in year of retirement.</t>
        </r>
      </text>
    </comment>
    <comment ref="D59" authorId="1" shapeId="0">
      <text>
        <r>
          <rPr>
            <b/>
            <sz val="9"/>
            <color indexed="81"/>
            <rFont val="Tahoma"/>
            <family val="2"/>
          </rPr>
          <t>Crockett, Gloria:</t>
        </r>
        <r>
          <rPr>
            <sz val="9"/>
            <color indexed="81"/>
            <rFont val="Tahoma"/>
            <family val="2"/>
          </rPr>
          <t xml:space="preserve">
Including an allocation of 50% of average cost for 2021 as plant is retired on December 31, 2021.</t>
        </r>
      </text>
    </comment>
  </commentList>
</comments>
</file>

<file path=xl/comments2.xml><?xml version="1.0" encoding="utf-8"?>
<comments xmlns="http://schemas.openxmlformats.org/spreadsheetml/2006/main">
  <authors>
    <author>Nicholson, Kent</author>
  </authors>
  <commentList>
    <comment ref="B7" authorId="0" shapeId="0">
      <text>
        <r>
          <rPr>
            <b/>
            <sz val="9"/>
            <color indexed="81"/>
            <rFont val="Tahoma"/>
            <charset val="1"/>
          </rPr>
          <t>Nicholson, Kent:</t>
        </r>
        <r>
          <rPr>
            <sz val="9"/>
            <color indexed="81"/>
            <rFont val="Tahoma"/>
            <charset val="1"/>
          </rPr>
          <t xml:space="preserve">
Fuel Consumption in 2020 was only for Building Heating.</t>
        </r>
      </text>
    </comment>
    <comment ref="C7" authorId="0" shapeId="0">
      <text>
        <r>
          <rPr>
            <b/>
            <sz val="9"/>
            <color indexed="81"/>
            <rFont val="Tahoma"/>
            <charset val="1"/>
          </rPr>
          <t>Nicholson, Kent:</t>
        </r>
        <r>
          <rPr>
            <sz val="9"/>
            <color indexed="81"/>
            <rFont val="Tahoma"/>
            <charset val="1"/>
          </rPr>
          <t xml:space="preserve">
Fuel Consumption in 2021 was only for Building Heating.</t>
        </r>
      </text>
    </comment>
    <comment ref="D7" authorId="0" shapeId="0">
      <text>
        <r>
          <rPr>
            <b/>
            <sz val="9"/>
            <color indexed="81"/>
            <rFont val="Tahoma"/>
            <charset val="1"/>
          </rPr>
          <t>Nicholson, Kent:</t>
        </r>
        <r>
          <rPr>
            <sz val="9"/>
            <color indexed="81"/>
            <rFont val="Tahoma"/>
            <charset val="1"/>
          </rPr>
          <t xml:space="preserve">
Fuel Consumption projected for 2022 is only for Building Heating.</t>
        </r>
      </text>
    </comment>
    <comment ref="E7" authorId="0" shapeId="0">
      <text>
        <r>
          <rPr>
            <b/>
            <sz val="9"/>
            <color indexed="81"/>
            <rFont val="Tahoma"/>
            <charset val="1"/>
          </rPr>
          <t>Nicholson, Kent:</t>
        </r>
        <r>
          <rPr>
            <sz val="9"/>
            <color indexed="81"/>
            <rFont val="Tahoma"/>
            <charset val="1"/>
          </rPr>
          <t xml:space="preserve">
Fuel Consumption projected for 2023 is only for Building Heating.</t>
        </r>
      </text>
    </comment>
  </commentList>
</comments>
</file>

<file path=xl/sharedStrings.xml><?xml version="1.0" encoding="utf-8"?>
<sst xmlns="http://schemas.openxmlformats.org/spreadsheetml/2006/main" count="104" uniqueCount="67">
  <si>
    <t>CTGS</t>
  </si>
  <si>
    <t>BGS</t>
  </si>
  <si>
    <t>CT3</t>
  </si>
  <si>
    <t>Charlottetown Steam Plant</t>
  </si>
  <si>
    <t>CTGS Build and Serv</t>
  </si>
  <si>
    <t>CTGS Maintenance</t>
  </si>
  <si>
    <t>CTGS Operating</t>
  </si>
  <si>
    <t>CTGS Superintendence</t>
  </si>
  <si>
    <t>xxxx</t>
  </si>
  <si>
    <t>Charlottetown Diesel Plant</t>
  </si>
  <si>
    <t>CTGS CT Building and Services</t>
  </si>
  <si>
    <t>CTGS CT Maint</t>
  </si>
  <si>
    <t>CTGS CT Operating</t>
  </si>
  <si>
    <t>CTGS CT Superintendence</t>
  </si>
  <si>
    <t>Borden Generating Station</t>
  </si>
  <si>
    <t>BGS Building and Services</t>
  </si>
  <si>
    <t>BGS CT Operating</t>
  </si>
  <si>
    <t>BGS CT Maintenance</t>
  </si>
  <si>
    <t>Total Total On-Island Generation</t>
  </si>
  <si>
    <t>Total Charlottetown Diesel Plant</t>
  </si>
  <si>
    <t>Total BGS Building and Services</t>
  </si>
  <si>
    <t>Production - Other</t>
  </si>
  <si>
    <t>Insurance</t>
  </si>
  <si>
    <t>Property Taxes</t>
  </si>
  <si>
    <t>Training</t>
  </si>
  <si>
    <t>Total Production - Other</t>
  </si>
  <si>
    <t>Actual</t>
  </si>
  <si>
    <t>Forecast</t>
  </si>
  <si>
    <t>Budget</t>
  </si>
  <si>
    <t>CTGS CT Fuel - Diesel</t>
  </si>
  <si>
    <t>BGS CT Fuel - Diesel</t>
  </si>
  <si>
    <t>Total On-Island Generation</t>
  </si>
  <si>
    <t>Fuel</t>
  </si>
  <si>
    <t>Depreciation</t>
  </si>
  <si>
    <t>Borden</t>
  </si>
  <si>
    <t>Total Depreciation</t>
  </si>
  <si>
    <t>Variable Costs:</t>
  </si>
  <si>
    <t xml:space="preserve">  Fuel</t>
  </si>
  <si>
    <t xml:space="preserve">  Labour</t>
  </si>
  <si>
    <t>Fixed Costs:</t>
  </si>
  <si>
    <t xml:space="preserve">  Operating</t>
  </si>
  <si>
    <t xml:space="preserve">  Total Variable Costs</t>
  </si>
  <si>
    <t>Variable Cost per MWh</t>
  </si>
  <si>
    <t xml:space="preserve">  Depreciation</t>
  </si>
  <si>
    <t xml:space="preserve">  Insurance, Property Tax &amp; Training</t>
  </si>
  <si>
    <t>Additions, less retirements assumed 20%</t>
  </si>
  <si>
    <t>N/A</t>
  </si>
  <si>
    <t>Average Cost December 31</t>
  </si>
  <si>
    <t>WACC</t>
  </si>
  <si>
    <t xml:space="preserve">  Financing</t>
  </si>
  <si>
    <t>Cost Allocation</t>
  </si>
  <si>
    <t>Accumulated Depreciation</t>
  </si>
  <si>
    <t>NBV</t>
  </si>
  <si>
    <t xml:space="preserve">  Total Fixed Costs</t>
  </si>
  <si>
    <t>Fixed Cost per MWh</t>
  </si>
  <si>
    <t>CTGS Heating Fuel - Bunker</t>
  </si>
  <si>
    <t xml:space="preserve">Fixed Cost in $ / kilowatt-year </t>
  </si>
  <si>
    <t xml:space="preserve">Fixed O&amp;M Cost in  $ / kilowatt-year </t>
  </si>
  <si>
    <t>Installed Capacity in kiloWatts</t>
  </si>
  <si>
    <t>Note 1:</t>
  </si>
  <si>
    <t>Account #</t>
  </si>
  <si>
    <r>
      <t xml:space="preserve">Gross Production in MWh </t>
    </r>
    <r>
      <rPr>
        <b/>
        <u/>
        <vertAlign val="superscript"/>
        <sz val="11"/>
        <color theme="1"/>
        <rFont val="Arial"/>
        <family val="2"/>
      </rPr>
      <t>1</t>
    </r>
  </si>
  <si>
    <r>
      <t>Mech Maint</t>
    </r>
    <r>
      <rPr>
        <vertAlign val="superscript"/>
        <sz val="11"/>
        <color theme="1"/>
        <rFont val="Arial"/>
        <family val="2"/>
      </rPr>
      <t>2</t>
    </r>
  </si>
  <si>
    <t>Note 2:</t>
  </si>
  <si>
    <t>Station Service at "Standby" power plants like CT3 and BGS is higher than Gross Production in most years, so Net Production would be a Negative valve, so we are using Gross Production for $/MWh calculations</t>
  </si>
  <si>
    <t>Note 1:  Station Service at "Standby" power plants like CT3 and BGS is higher than Gross Production in most years, so Net Production would be a Negative valve, so we are using Gross Production for $/MWh calculations</t>
  </si>
  <si>
    <t>Account 7450 - "Mechanical Maintenance" moved to Substations Group starting in 2022 when CTGS is Retired.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</si>
</sst>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??_-;_-@_-"/>
    <numFmt numFmtId="165" formatCode="_(* #,##0_);_(* \(#,##0\);_(* &quot;-&quot;??_);_(@_)"/>
    <numFmt numFmtId="166" formatCode="_(&quot;$&quot;* #,##0_);_(&quot;$&quot;* \(#,##0\);_(&quot;$&quot;* &quot;-&quot;??_);_(@_)"/>
    <numFmt numFmtId="167" formatCode="0.0%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i/>
      <sz val="11"/>
      <color theme="1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u/>
      <sz val="11"/>
      <color theme="1"/>
      <name val="Arial"/>
      <family val="2"/>
    </font>
    <font>
      <vertAlign val="superscript"/>
      <sz val="11"/>
      <color theme="1"/>
      <name val="Arial"/>
      <family val="2"/>
    </font>
    <font>
      <b/>
      <u/>
      <vertAlign val="superscript"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3">
    <xf numFmtId="0" fontId="0" fillId="0" borderId="0" xfId="0"/>
    <xf numFmtId="0" fontId="2" fillId="0" borderId="0" xfId="0" applyFont="1"/>
    <xf numFmtId="0" fontId="2" fillId="0" borderId="1" xfId="0" applyFont="1" applyBorder="1"/>
    <xf numFmtId="0" fontId="5" fillId="0" borderId="0" xfId="0" applyFont="1"/>
    <xf numFmtId="165" fontId="5" fillId="0" borderId="0" xfId="1" applyNumberFormat="1" applyFont="1"/>
    <xf numFmtId="0" fontId="5" fillId="0" borderId="0" xfId="0" applyFont="1" applyFill="1"/>
    <xf numFmtId="164" fontId="5" fillId="0" borderId="0" xfId="1" applyNumberFormat="1" applyFont="1"/>
    <xf numFmtId="164" fontId="5" fillId="0" borderId="0" xfId="1" applyNumberFormat="1" applyFont="1" applyFill="1"/>
    <xf numFmtId="164" fontId="5" fillId="0" borderId="1" xfId="1" applyNumberFormat="1" applyFont="1" applyBorder="1"/>
    <xf numFmtId="164" fontId="5" fillId="0" borderId="1" xfId="1" applyNumberFormat="1" applyFont="1" applyFill="1" applyBorder="1"/>
    <xf numFmtId="164" fontId="5" fillId="0" borderId="0" xfId="0" applyNumberFormat="1" applyFont="1"/>
    <xf numFmtId="164" fontId="5" fillId="0" borderId="2" xfId="1" applyNumberFormat="1" applyFont="1" applyFill="1" applyBorder="1"/>
    <xf numFmtId="0" fontId="5" fillId="0" borderId="0" xfId="0" applyFont="1" applyAlignment="1">
      <alignment horizontal="center"/>
    </xf>
    <xf numFmtId="0" fontId="5" fillId="0" borderId="2" xfId="0" applyFont="1" applyBorder="1"/>
    <xf numFmtId="165" fontId="5" fillId="0" borderId="2" xfId="1" applyNumberFormat="1" applyFont="1" applyBorder="1"/>
    <xf numFmtId="0" fontId="6" fillId="0" borderId="0" xfId="0" applyFont="1"/>
    <xf numFmtId="165" fontId="5" fillId="0" borderId="0" xfId="0" applyNumberFormat="1" applyFont="1"/>
    <xf numFmtId="43" fontId="5" fillId="0" borderId="0" xfId="1" applyFont="1"/>
    <xf numFmtId="0" fontId="7" fillId="0" borderId="0" xfId="0" applyFont="1"/>
    <xf numFmtId="165" fontId="5" fillId="0" borderId="2" xfId="0" applyNumberFormat="1" applyFont="1" applyBorder="1"/>
    <xf numFmtId="167" fontId="5" fillId="0" borderId="0" xfId="3" applyNumberFormat="1" applyFont="1"/>
    <xf numFmtId="165" fontId="5" fillId="0" borderId="0" xfId="1" applyNumberFormat="1" applyFont="1" applyFill="1"/>
    <xf numFmtId="0" fontId="5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165" fontId="5" fillId="0" borderId="2" xfId="1" applyNumberFormat="1" applyFont="1" applyFill="1" applyBorder="1"/>
    <xf numFmtId="166" fontId="5" fillId="0" borderId="3" xfId="2" applyNumberFormat="1" applyFont="1" applyBorder="1"/>
    <xf numFmtId="43" fontId="5" fillId="0" borderId="2" xfId="1" applyFont="1" applyBorder="1"/>
    <xf numFmtId="165" fontId="5" fillId="0" borderId="3" xfId="1" applyNumberFormat="1" applyFont="1" applyBorder="1"/>
    <xf numFmtId="165" fontId="5" fillId="0" borderId="4" xfId="0" applyNumberFormat="1" applyFont="1" applyBorder="1"/>
    <xf numFmtId="166" fontId="5" fillId="0" borderId="4" xfId="2" applyNumberFormat="1" applyFont="1" applyBorder="1"/>
    <xf numFmtId="0" fontId="5" fillId="0" borderId="0" xfId="0" applyFont="1" applyFill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0" xfId="0" quotePrefix="1" applyFont="1" applyAlignment="1">
      <alignment horizontal="center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10" fillId="0" borderId="0" xfId="0" applyFont="1"/>
    <xf numFmtId="44" fontId="5" fillId="0" borderId="3" xfId="2" applyNumberFormat="1" applyFont="1" applyBorder="1"/>
    <xf numFmtId="165" fontId="5" fillId="0" borderId="0" xfId="1" applyNumberFormat="1" applyFont="1" applyBorder="1"/>
    <xf numFmtId="0" fontId="5" fillId="0" borderId="0" xfId="0" applyFont="1" applyAlignment="1">
      <alignment horizontal="left" vertical="top"/>
    </xf>
    <xf numFmtId="0" fontId="5" fillId="0" borderId="2" xfId="0" applyFont="1" applyBorder="1" applyAlignment="1">
      <alignment horizontal="center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left" vertical="top" wrapText="1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U81"/>
  <sheetViews>
    <sheetView tabSelected="1" workbookViewId="0">
      <selection activeCell="B84" sqref="B84"/>
    </sheetView>
  </sheetViews>
  <sheetFormatPr defaultColWidth="9.109375" defaultRowHeight="13.8" x14ac:dyDescent="0.25"/>
  <cols>
    <col min="1" max="1" width="11.109375" style="12" customWidth="1"/>
    <col min="2" max="2" width="31.33203125" style="3" bestFit="1" customWidth="1"/>
    <col min="3" max="3" width="16.88671875" style="3" bestFit="1" customWidth="1"/>
    <col min="4" max="5" width="15.6640625" style="3" bestFit="1" customWidth="1"/>
    <col min="6" max="9" width="14.5546875" style="3" bestFit="1" customWidth="1"/>
    <col min="10" max="10" width="9.33203125" style="3" bestFit="1" customWidth="1"/>
    <col min="11" max="16384" width="9.109375" style="3"/>
  </cols>
  <sheetData>
    <row r="1" spans="1:21" x14ac:dyDescent="0.25">
      <c r="C1" s="12">
        <v>2020</v>
      </c>
      <c r="D1" s="12">
        <f>+C1+1</f>
        <v>2021</v>
      </c>
      <c r="E1" s="12">
        <f t="shared" ref="E1:I1" si="0">+D1+1</f>
        <v>2022</v>
      </c>
      <c r="F1" s="12">
        <f t="shared" si="0"/>
        <v>2023</v>
      </c>
      <c r="G1" s="12">
        <f t="shared" si="0"/>
        <v>2024</v>
      </c>
      <c r="H1" s="12">
        <f>+G1+1</f>
        <v>2025</v>
      </c>
      <c r="I1" s="12">
        <f t="shared" si="0"/>
        <v>2026</v>
      </c>
    </row>
    <row r="2" spans="1:21" x14ac:dyDescent="0.25">
      <c r="C2" s="22" t="s">
        <v>26</v>
      </c>
      <c r="D2" s="22" t="s">
        <v>27</v>
      </c>
      <c r="E2" s="22" t="s">
        <v>28</v>
      </c>
      <c r="F2" s="22" t="str">
        <f>+E2</f>
        <v>Budget</v>
      </c>
      <c r="G2" s="22" t="str">
        <f t="shared" ref="G2:I2" si="1">+F2</f>
        <v>Budget</v>
      </c>
      <c r="H2" s="22" t="str">
        <f t="shared" si="1"/>
        <v>Budget</v>
      </c>
      <c r="I2" s="22" t="str">
        <f t="shared" si="1"/>
        <v>Budget</v>
      </c>
    </row>
    <row r="3" spans="1:21" ht="16.2" x14ac:dyDescent="0.25">
      <c r="A3" s="35" t="s">
        <v>60</v>
      </c>
      <c r="B3" s="36" t="s">
        <v>61</v>
      </c>
    </row>
    <row r="4" spans="1:21" x14ac:dyDescent="0.25">
      <c r="B4" s="3" t="s">
        <v>0</v>
      </c>
      <c r="C4" s="7">
        <v>0</v>
      </c>
      <c r="D4" s="3">
        <v>0</v>
      </c>
      <c r="E4" s="3">
        <v>0</v>
      </c>
      <c r="F4" s="3">
        <v>0</v>
      </c>
      <c r="G4" s="3">
        <v>0</v>
      </c>
      <c r="H4" s="3">
        <v>0</v>
      </c>
      <c r="I4" s="3">
        <v>0</v>
      </c>
    </row>
    <row r="5" spans="1:21" x14ac:dyDescent="0.25">
      <c r="B5" s="3" t="s">
        <v>1</v>
      </c>
      <c r="C5" s="7">
        <v>93</v>
      </c>
      <c r="D5" s="3">
        <v>550</v>
      </c>
      <c r="E5" s="3">
        <f>+D5</f>
        <v>550</v>
      </c>
      <c r="F5" s="3">
        <f t="shared" ref="F5:I5" si="2">+E5</f>
        <v>550</v>
      </c>
      <c r="G5" s="3">
        <f t="shared" si="2"/>
        <v>550</v>
      </c>
      <c r="H5" s="3">
        <f t="shared" si="2"/>
        <v>550</v>
      </c>
      <c r="I5" s="3">
        <f t="shared" si="2"/>
        <v>550</v>
      </c>
    </row>
    <row r="6" spans="1:21" x14ac:dyDescent="0.25">
      <c r="B6" s="3" t="s">
        <v>2</v>
      </c>
      <c r="C6" s="7">
        <v>491.87299999999999</v>
      </c>
      <c r="D6" s="3">
        <v>1200</v>
      </c>
      <c r="E6" s="3">
        <v>1200</v>
      </c>
      <c r="F6" s="3">
        <v>1200</v>
      </c>
      <c r="G6" s="3">
        <v>1200</v>
      </c>
      <c r="H6" s="3">
        <v>1950</v>
      </c>
      <c r="I6" s="3">
        <v>1950</v>
      </c>
    </row>
    <row r="7" spans="1:21" x14ac:dyDescent="0.25">
      <c r="C7" s="7"/>
    </row>
    <row r="8" spans="1:21" x14ac:dyDescent="0.25">
      <c r="B8" s="36" t="s">
        <v>58</v>
      </c>
      <c r="C8" s="7"/>
    </row>
    <row r="9" spans="1:21" x14ac:dyDescent="0.25">
      <c r="B9" s="3" t="s">
        <v>0</v>
      </c>
      <c r="C9" s="7">
        <f>19000+19000</f>
        <v>38000</v>
      </c>
      <c r="D9" s="7">
        <f>19000+19000</f>
        <v>38000</v>
      </c>
    </row>
    <row r="10" spans="1:21" x14ac:dyDescent="0.25">
      <c r="B10" s="3" t="s">
        <v>1</v>
      </c>
      <c r="C10" s="7">
        <f>15000+25000</f>
        <v>40000</v>
      </c>
      <c r="D10" s="7">
        <f t="shared" ref="D10:I10" si="3">15000+25000</f>
        <v>40000</v>
      </c>
      <c r="E10" s="7">
        <f t="shared" si="3"/>
        <v>40000</v>
      </c>
      <c r="F10" s="7">
        <f t="shared" si="3"/>
        <v>40000</v>
      </c>
      <c r="G10" s="7">
        <f t="shared" si="3"/>
        <v>40000</v>
      </c>
      <c r="H10" s="7">
        <f t="shared" si="3"/>
        <v>40000</v>
      </c>
      <c r="I10" s="7">
        <f t="shared" si="3"/>
        <v>40000</v>
      </c>
    </row>
    <row r="11" spans="1:21" x14ac:dyDescent="0.25">
      <c r="B11" s="3" t="s">
        <v>2</v>
      </c>
      <c r="C11" s="7">
        <v>49000</v>
      </c>
      <c r="D11" s="7">
        <v>49000</v>
      </c>
      <c r="E11" s="7">
        <v>49000</v>
      </c>
      <c r="F11" s="7">
        <v>49000</v>
      </c>
      <c r="G11" s="7">
        <v>49000</v>
      </c>
      <c r="H11" s="7">
        <v>49000</v>
      </c>
      <c r="I11" s="7">
        <v>49000</v>
      </c>
    </row>
    <row r="12" spans="1:21" x14ac:dyDescent="0.25">
      <c r="C12" s="7"/>
    </row>
    <row r="13" spans="1:21" x14ac:dyDescent="0.25">
      <c r="A13" s="30"/>
      <c r="B13" s="1" t="s">
        <v>32</v>
      </c>
      <c r="C13" s="7"/>
      <c r="D13" s="6"/>
      <c r="E13" s="6"/>
      <c r="F13" s="7"/>
      <c r="G13" s="7"/>
      <c r="H13" s="7"/>
      <c r="I13" s="7"/>
      <c r="J13" s="7"/>
      <c r="K13" s="7"/>
    </row>
    <row r="14" spans="1:21" x14ac:dyDescent="0.25">
      <c r="A14" s="30">
        <v>7117</v>
      </c>
      <c r="B14" s="3" t="s">
        <v>55</v>
      </c>
      <c r="C14" s="7">
        <v>297324</v>
      </c>
      <c r="D14" s="7">
        <v>400000</v>
      </c>
      <c r="E14" s="7">
        <v>101731.18920000001</v>
      </c>
      <c r="F14" s="7">
        <v>101731.18920000001</v>
      </c>
      <c r="G14" s="7">
        <v>0</v>
      </c>
      <c r="H14" s="7">
        <v>0</v>
      </c>
      <c r="I14" s="7">
        <v>0</v>
      </c>
      <c r="R14" s="6"/>
      <c r="S14" s="6"/>
      <c r="T14" s="6"/>
      <c r="U14" s="6"/>
    </row>
    <row r="15" spans="1:21" x14ac:dyDescent="0.25">
      <c r="A15" s="30">
        <v>7317</v>
      </c>
      <c r="B15" s="3" t="s">
        <v>29</v>
      </c>
      <c r="C15" s="7">
        <v>133944</v>
      </c>
      <c r="D15" s="7">
        <v>400000</v>
      </c>
      <c r="E15" s="7">
        <v>286462.80479502602</v>
      </c>
      <c r="F15" s="7">
        <v>423577.84474952298</v>
      </c>
      <c r="G15" s="7">
        <v>424696.50569238444</v>
      </c>
      <c r="H15" s="7">
        <v>614941.96380115976</v>
      </c>
      <c r="I15" s="7">
        <v>613761.5355052941</v>
      </c>
      <c r="R15" s="6"/>
      <c r="S15" s="6"/>
      <c r="T15" s="6"/>
      <c r="U15" s="6"/>
    </row>
    <row r="16" spans="1:21" x14ac:dyDescent="0.25">
      <c r="A16" s="30">
        <v>7217</v>
      </c>
      <c r="B16" s="3" t="s">
        <v>30</v>
      </c>
      <c r="C16" s="11">
        <v>66380</v>
      </c>
      <c r="D16" s="7">
        <v>250000</v>
      </c>
      <c r="E16" s="7">
        <v>215063.71654721946</v>
      </c>
      <c r="F16" s="7">
        <v>313405.10391067452</v>
      </c>
      <c r="G16" s="7">
        <v>314205.77469023323</v>
      </c>
      <c r="H16" s="7">
        <v>290998.2315547496</v>
      </c>
      <c r="I16" s="7">
        <v>290478.30529833073</v>
      </c>
      <c r="R16" s="6"/>
      <c r="S16" s="6"/>
      <c r="T16" s="6"/>
      <c r="U16" s="6"/>
    </row>
    <row r="17" spans="1:21" hidden="1" x14ac:dyDescent="0.25">
      <c r="A17" s="12" t="s">
        <v>8</v>
      </c>
      <c r="C17" s="7"/>
      <c r="D17" s="7"/>
      <c r="E17" s="7"/>
      <c r="F17" s="7"/>
      <c r="G17" s="7"/>
      <c r="H17" s="7"/>
      <c r="I17" s="7"/>
      <c r="R17" s="6"/>
      <c r="S17" s="6"/>
      <c r="T17" s="6"/>
      <c r="U17" s="6"/>
    </row>
    <row r="18" spans="1:21" hidden="1" x14ac:dyDescent="0.25">
      <c r="A18" s="12" t="s">
        <v>8</v>
      </c>
      <c r="C18" s="7"/>
      <c r="D18" s="7"/>
      <c r="E18" s="7"/>
      <c r="F18" s="7"/>
      <c r="G18" s="7"/>
      <c r="H18" s="7"/>
      <c r="I18" s="7"/>
      <c r="R18" s="6"/>
      <c r="S18" s="6"/>
      <c r="T18" s="6"/>
      <c r="U18" s="6"/>
    </row>
    <row r="19" spans="1:21" hidden="1" x14ac:dyDescent="0.25">
      <c r="A19" s="12" t="s">
        <v>8</v>
      </c>
      <c r="C19" s="7"/>
      <c r="D19" s="7"/>
      <c r="E19" s="7"/>
      <c r="F19" s="7"/>
      <c r="G19" s="7"/>
      <c r="H19" s="7"/>
      <c r="I19" s="7"/>
      <c r="R19" s="6"/>
      <c r="S19" s="6"/>
      <c r="T19" s="6"/>
      <c r="U19" s="6"/>
    </row>
    <row r="20" spans="1:21" x14ac:dyDescent="0.25">
      <c r="A20" s="31"/>
      <c r="B20" s="2" t="s">
        <v>31</v>
      </c>
      <c r="C20" s="7">
        <v>497648</v>
      </c>
      <c r="D20" s="9">
        <v>1050000</v>
      </c>
      <c r="E20" s="9">
        <v>603257.71054224554</v>
      </c>
      <c r="F20" s="9">
        <v>838714.13786019757</v>
      </c>
      <c r="G20" s="9">
        <v>738902.28038261761</v>
      </c>
      <c r="H20" s="9">
        <v>905940.19535590941</v>
      </c>
      <c r="I20" s="9">
        <v>904239.84080362483</v>
      </c>
      <c r="R20" s="10"/>
      <c r="S20" s="10"/>
      <c r="T20" s="10"/>
      <c r="U20" s="10"/>
    </row>
    <row r="21" spans="1:21" x14ac:dyDescent="0.25">
      <c r="C21" s="7"/>
    </row>
    <row r="22" spans="1:21" x14ac:dyDescent="0.25">
      <c r="A22" s="30"/>
      <c r="B22" s="1" t="s">
        <v>3</v>
      </c>
      <c r="C22" s="7"/>
      <c r="D22" s="7"/>
      <c r="E22" s="7"/>
      <c r="F22" s="7"/>
      <c r="G22" s="7"/>
      <c r="H22" s="7"/>
      <c r="I22" s="7"/>
    </row>
    <row r="23" spans="1:21" x14ac:dyDescent="0.25">
      <c r="A23" s="30">
        <v>7102</v>
      </c>
      <c r="B23" s="3" t="s">
        <v>4</v>
      </c>
      <c r="C23" s="7">
        <v>324947</v>
      </c>
      <c r="D23" s="7">
        <v>262796</v>
      </c>
      <c r="E23" s="7">
        <v>134360.98231935999</v>
      </c>
      <c r="F23" s="7">
        <v>0</v>
      </c>
      <c r="G23" s="7">
        <v>0</v>
      </c>
      <c r="H23" s="7">
        <v>0</v>
      </c>
      <c r="I23" s="7">
        <v>0</v>
      </c>
    </row>
    <row r="24" spans="1:21" x14ac:dyDescent="0.25">
      <c r="A24" s="30">
        <v>7103</v>
      </c>
      <c r="B24" s="3" t="s">
        <v>5</v>
      </c>
      <c r="C24" s="7">
        <v>283800</v>
      </c>
      <c r="D24" s="7">
        <v>243340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</row>
    <row r="25" spans="1:21" x14ac:dyDescent="0.25">
      <c r="A25" s="30">
        <v>7105</v>
      </c>
      <c r="B25" s="3" t="s">
        <v>6</v>
      </c>
      <c r="C25" s="7">
        <v>125813</v>
      </c>
      <c r="D25" s="7">
        <v>122103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</row>
    <row r="26" spans="1:21" x14ac:dyDescent="0.25">
      <c r="A26" s="30">
        <v>7116</v>
      </c>
      <c r="B26" s="3" t="s">
        <v>7</v>
      </c>
      <c r="C26" s="7">
        <v>73678</v>
      </c>
      <c r="D26" s="7">
        <v>32600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</row>
    <row r="27" spans="1:21" s="5" customFormat="1" ht="16.2" x14ac:dyDescent="0.25">
      <c r="A27" s="30">
        <v>7450</v>
      </c>
      <c r="B27" s="5" t="s">
        <v>62</v>
      </c>
      <c r="C27" s="11">
        <v>67000</v>
      </c>
      <c r="D27" s="7">
        <v>45512</v>
      </c>
      <c r="E27" s="7"/>
      <c r="F27" s="7"/>
      <c r="G27" s="7"/>
      <c r="H27" s="7"/>
      <c r="I27" s="7"/>
    </row>
    <row r="28" spans="1:21" x14ac:dyDescent="0.25">
      <c r="A28" s="31"/>
      <c r="B28" s="2" t="s">
        <v>18</v>
      </c>
      <c r="C28" s="7">
        <f>SUM(C23:C27)</f>
        <v>875238</v>
      </c>
      <c r="D28" s="8">
        <f t="shared" ref="D28:I28" si="4">SUM(D23:D27)</f>
        <v>706351</v>
      </c>
      <c r="E28" s="8">
        <f t="shared" si="4"/>
        <v>134360.98231935999</v>
      </c>
      <c r="F28" s="8">
        <f t="shared" si="4"/>
        <v>0</v>
      </c>
      <c r="G28" s="8">
        <f t="shared" si="4"/>
        <v>0</v>
      </c>
      <c r="H28" s="8">
        <f t="shared" si="4"/>
        <v>0</v>
      </c>
      <c r="I28" s="8">
        <f t="shared" si="4"/>
        <v>0</v>
      </c>
    </row>
    <row r="29" spans="1:21" x14ac:dyDescent="0.25">
      <c r="A29" s="30"/>
      <c r="C29" s="7"/>
      <c r="D29" s="7"/>
      <c r="E29" s="7"/>
      <c r="F29" s="7"/>
      <c r="G29" s="7"/>
      <c r="H29" s="7"/>
      <c r="I29" s="7"/>
    </row>
    <row r="30" spans="1:21" x14ac:dyDescent="0.25">
      <c r="A30" s="30"/>
      <c r="B30" s="1" t="s">
        <v>9</v>
      </c>
      <c r="C30" s="7"/>
      <c r="D30" s="7"/>
      <c r="E30" s="7"/>
      <c r="F30" s="7"/>
      <c r="G30" s="7"/>
      <c r="H30" s="7"/>
      <c r="I30" s="7"/>
    </row>
    <row r="31" spans="1:21" x14ac:dyDescent="0.25">
      <c r="A31" s="30">
        <v>7302</v>
      </c>
      <c r="B31" s="3" t="s">
        <v>10</v>
      </c>
      <c r="C31" s="7">
        <v>2000</v>
      </c>
      <c r="D31" s="7">
        <v>6700</v>
      </c>
      <c r="E31" s="7">
        <v>86727.273497145594</v>
      </c>
      <c r="F31" s="7">
        <v>68587.505871456917</v>
      </c>
      <c r="G31" s="7">
        <v>73775.893610114421</v>
      </c>
      <c r="H31" s="7">
        <v>78672.111292489179</v>
      </c>
      <c r="I31" s="7">
        <v>75531.384262560081</v>
      </c>
    </row>
    <row r="32" spans="1:21" x14ac:dyDescent="0.25">
      <c r="A32" s="30">
        <v>7303</v>
      </c>
      <c r="B32" s="3" t="s">
        <v>11</v>
      </c>
      <c r="C32" s="7">
        <v>177280</v>
      </c>
      <c r="D32" s="7">
        <v>119464</v>
      </c>
      <c r="E32" s="7">
        <v>328219.51433848881</v>
      </c>
      <c r="F32" s="7">
        <v>258195.76114541187</v>
      </c>
      <c r="G32" s="7">
        <v>310272.3100754965</v>
      </c>
      <c r="H32" s="7">
        <v>322017.01369389088</v>
      </c>
      <c r="I32" s="7">
        <v>278351.34882531496</v>
      </c>
    </row>
    <row r="33" spans="1:9" x14ac:dyDescent="0.25">
      <c r="A33" s="30">
        <v>7305</v>
      </c>
      <c r="B33" s="3" t="s">
        <v>12</v>
      </c>
      <c r="C33" s="7">
        <v>19005</v>
      </c>
      <c r="D33" s="7">
        <v>27950</v>
      </c>
      <c r="E33" s="7">
        <v>74038.546615910411</v>
      </c>
      <c r="F33" s="7">
        <v>63738.751481383733</v>
      </c>
      <c r="G33" s="7">
        <v>74176.718262061797</v>
      </c>
      <c r="H33" s="7">
        <v>83631.60927225319</v>
      </c>
      <c r="I33" s="7">
        <v>72426.728829909131</v>
      </c>
    </row>
    <row r="34" spans="1:9" x14ac:dyDescent="0.25">
      <c r="A34" s="12">
        <v>7316</v>
      </c>
      <c r="B34" s="3" t="s">
        <v>13</v>
      </c>
      <c r="C34" s="11">
        <v>97255</v>
      </c>
      <c r="D34" s="7">
        <v>47600</v>
      </c>
      <c r="E34" s="7">
        <v>56523.079280000005</v>
      </c>
      <c r="F34" s="7">
        <v>41024.575599200005</v>
      </c>
      <c r="G34" s="7">
        <v>54397.246991954613</v>
      </c>
      <c r="H34" s="7">
        <v>106779.25864131228</v>
      </c>
      <c r="I34" s="7">
        <v>107452.21593558014</v>
      </c>
    </row>
    <row r="35" spans="1:9" x14ac:dyDescent="0.25">
      <c r="A35" s="31"/>
      <c r="B35" s="2" t="s">
        <v>19</v>
      </c>
      <c r="C35" s="7">
        <f>SUM(C31:C34)</f>
        <v>295540</v>
      </c>
      <c r="D35" s="8">
        <f t="shared" ref="D35:I35" si="5">SUM(D31:D34)</f>
        <v>201714</v>
      </c>
      <c r="E35" s="8">
        <f t="shared" si="5"/>
        <v>545508.41373154486</v>
      </c>
      <c r="F35" s="8">
        <f t="shared" si="5"/>
        <v>431546.59409745259</v>
      </c>
      <c r="G35" s="8">
        <f t="shared" si="5"/>
        <v>512622.16893962736</v>
      </c>
      <c r="H35" s="8">
        <f t="shared" si="5"/>
        <v>591099.99289994547</v>
      </c>
      <c r="I35" s="8">
        <f t="shared" si="5"/>
        <v>533761.67785336426</v>
      </c>
    </row>
    <row r="36" spans="1:9" x14ac:dyDescent="0.25">
      <c r="A36" s="30"/>
      <c r="C36" s="7"/>
      <c r="D36" s="7"/>
      <c r="E36" s="7"/>
      <c r="F36" s="7"/>
      <c r="G36" s="7"/>
      <c r="H36" s="7"/>
      <c r="I36" s="7"/>
    </row>
    <row r="37" spans="1:9" x14ac:dyDescent="0.25">
      <c r="A37" s="30"/>
      <c r="B37" s="1" t="s">
        <v>14</v>
      </c>
      <c r="C37" s="7"/>
      <c r="D37" s="7"/>
      <c r="E37" s="7"/>
      <c r="F37" s="7"/>
      <c r="G37" s="7"/>
      <c r="H37" s="7"/>
      <c r="I37" s="7"/>
    </row>
    <row r="38" spans="1:9" x14ac:dyDescent="0.25">
      <c r="A38" s="30">
        <v>7202</v>
      </c>
      <c r="B38" s="3" t="s">
        <v>15</v>
      </c>
      <c r="C38" s="7">
        <v>9716</v>
      </c>
      <c r="D38" s="7">
        <v>3458</v>
      </c>
      <c r="E38" s="7">
        <v>5862.4612278991999</v>
      </c>
      <c r="F38" s="7">
        <v>5956.308422211051</v>
      </c>
      <c r="G38" s="7">
        <v>6174.4331903662232</v>
      </c>
      <c r="H38" s="7">
        <v>6399.4692957032175</v>
      </c>
      <c r="I38" s="7">
        <v>6467.3633082503175</v>
      </c>
    </row>
    <row r="39" spans="1:9" x14ac:dyDescent="0.25">
      <c r="A39" s="30">
        <v>7209</v>
      </c>
      <c r="B39" s="3" t="s">
        <v>16</v>
      </c>
      <c r="C39" s="7">
        <v>14802</v>
      </c>
      <c r="D39" s="7">
        <v>11227</v>
      </c>
      <c r="E39" s="7">
        <v>18904.116301684</v>
      </c>
      <c r="F39" s="7">
        <v>13704.641143517141</v>
      </c>
      <c r="G39" s="7">
        <v>18205.576998030279</v>
      </c>
      <c r="H39" s="7">
        <v>22353.377058444228</v>
      </c>
      <c r="I39" s="7">
        <v>16647.709340347508</v>
      </c>
    </row>
    <row r="40" spans="1:9" x14ac:dyDescent="0.25">
      <c r="A40" s="30">
        <v>7210</v>
      </c>
      <c r="B40" s="3" t="s">
        <v>17</v>
      </c>
      <c r="C40" s="7">
        <v>124595</v>
      </c>
      <c r="D40" s="7">
        <v>233011</v>
      </c>
      <c r="E40" s="7">
        <v>314051.15607752965</v>
      </c>
      <c r="F40" s="7">
        <v>204441.66450370449</v>
      </c>
      <c r="G40" s="7">
        <v>268512.88613674836</v>
      </c>
      <c r="H40" s="7">
        <v>326876.22451619117</v>
      </c>
      <c r="I40" s="7">
        <v>247298.92573941374</v>
      </c>
    </row>
    <row r="41" spans="1:9" x14ac:dyDescent="0.25">
      <c r="A41" s="12">
        <v>7216</v>
      </c>
      <c r="B41" s="3" t="s">
        <v>13</v>
      </c>
      <c r="C41" s="11">
        <v>97255</v>
      </c>
      <c r="D41" s="7">
        <v>47600</v>
      </c>
      <c r="E41" s="7">
        <v>35368.31192</v>
      </c>
      <c r="F41" s="7">
        <v>27499.367276000001</v>
      </c>
      <c r="G41" s="7">
        <v>44555.08782838341</v>
      </c>
      <c r="H41" s="7">
        <v>91267.470634052355</v>
      </c>
      <c r="I41" s="7">
        <v>91630.192168175025</v>
      </c>
    </row>
    <row r="42" spans="1:9" x14ac:dyDescent="0.25">
      <c r="A42" s="31"/>
      <c r="B42" s="2" t="s">
        <v>20</v>
      </c>
      <c r="C42" s="7">
        <f>SUM(C38:C41)</f>
        <v>246368</v>
      </c>
      <c r="D42" s="8">
        <f t="shared" ref="D42:I42" si="6">SUM(D38:D41)</f>
        <v>295296</v>
      </c>
      <c r="E42" s="8">
        <f t="shared" si="6"/>
        <v>374186.04552711284</v>
      </c>
      <c r="F42" s="8">
        <f t="shared" si="6"/>
        <v>251601.98134543269</v>
      </c>
      <c r="G42" s="8">
        <f t="shared" si="6"/>
        <v>337447.98415352829</v>
      </c>
      <c r="H42" s="8">
        <f t="shared" si="6"/>
        <v>446896.54150439095</v>
      </c>
      <c r="I42" s="8">
        <f t="shared" si="6"/>
        <v>362044.1905561866</v>
      </c>
    </row>
    <row r="43" spans="1:9" x14ac:dyDescent="0.25">
      <c r="C43" s="7"/>
    </row>
    <row r="44" spans="1:9" x14ac:dyDescent="0.25">
      <c r="A44" s="30"/>
      <c r="B44" s="1" t="s">
        <v>21</v>
      </c>
      <c r="C44" s="7"/>
      <c r="D44" s="7"/>
      <c r="E44" s="7"/>
      <c r="F44" s="7"/>
      <c r="G44" s="7"/>
      <c r="H44" s="7"/>
      <c r="I44" s="7"/>
    </row>
    <row r="45" spans="1:9" x14ac:dyDescent="0.25">
      <c r="A45" s="30">
        <v>7350</v>
      </c>
      <c r="B45" s="3" t="s">
        <v>22</v>
      </c>
      <c r="C45" s="7">
        <v>663914</v>
      </c>
      <c r="D45" s="7">
        <v>779500</v>
      </c>
      <c r="E45" s="7">
        <v>970912.06129146041</v>
      </c>
      <c r="F45" s="7">
        <v>1051888.1409593823</v>
      </c>
      <c r="G45" s="7">
        <v>1093759.4164732993</v>
      </c>
      <c r="H45" s="7">
        <v>1137297.4126630132</v>
      </c>
      <c r="I45" s="7">
        <v>1182568.4747204729</v>
      </c>
    </row>
    <row r="46" spans="1:9" x14ac:dyDescent="0.25">
      <c r="A46" s="30">
        <v>7355</v>
      </c>
      <c r="B46" s="3" t="s">
        <v>23</v>
      </c>
      <c r="C46" s="7">
        <v>227495</v>
      </c>
      <c r="D46" s="7">
        <v>233400</v>
      </c>
      <c r="E46" s="7">
        <v>236640</v>
      </c>
      <c r="F46" s="7">
        <v>241372.79999999999</v>
      </c>
      <c r="G46" s="7">
        <v>246200.25599999999</v>
      </c>
      <c r="H46" s="7">
        <v>251124.26111999998</v>
      </c>
      <c r="I46" s="7">
        <v>256146.7463424</v>
      </c>
    </row>
    <row r="47" spans="1:9" x14ac:dyDescent="0.25">
      <c r="A47" s="32">
        <v>7180</v>
      </c>
      <c r="B47" s="3" t="s">
        <v>24</v>
      </c>
      <c r="C47" s="11">
        <v>13325</v>
      </c>
      <c r="D47" s="11">
        <v>16700</v>
      </c>
      <c r="E47" s="7">
        <v>26339.690000000002</v>
      </c>
      <c r="F47" s="7">
        <v>39307.915699999998</v>
      </c>
      <c r="G47" s="7">
        <v>40104.057083</v>
      </c>
      <c r="H47" s="7">
        <v>40916.420785729999</v>
      </c>
      <c r="I47" s="7">
        <v>41745.340239346689</v>
      </c>
    </row>
    <row r="48" spans="1:9" x14ac:dyDescent="0.25">
      <c r="A48" s="31"/>
      <c r="B48" s="2" t="s">
        <v>25</v>
      </c>
      <c r="C48" s="7">
        <f>SUM(C45:C47)</f>
        <v>904734</v>
      </c>
      <c r="D48" s="8">
        <f t="shared" ref="D48:I48" si="7">SUM(D45:D47)</f>
        <v>1029600</v>
      </c>
      <c r="E48" s="8">
        <f t="shared" si="7"/>
        <v>1233891.7512914604</v>
      </c>
      <c r="F48" s="8">
        <f t="shared" si="7"/>
        <v>1332568.8566593823</v>
      </c>
      <c r="G48" s="8">
        <f t="shared" si="7"/>
        <v>1380063.7295562993</v>
      </c>
      <c r="H48" s="8">
        <f t="shared" si="7"/>
        <v>1429338.0945687431</v>
      </c>
      <c r="I48" s="8">
        <f t="shared" si="7"/>
        <v>1480460.5613022198</v>
      </c>
    </row>
    <row r="50" spans="1:17" x14ac:dyDescent="0.25">
      <c r="B50" s="3" t="s">
        <v>33</v>
      </c>
    </row>
    <row r="51" spans="1:17" x14ac:dyDescent="0.25">
      <c r="B51" s="3" t="s">
        <v>0</v>
      </c>
      <c r="C51" s="4">
        <v>7391347</v>
      </c>
      <c r="D51" s="4">
        <f>+C59-C69</f>
        <v>3541699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</row>
    <row r="52" spans="1:17" x14ac:dyDescent="0.25">
      <c r="B52" s="3" t="s">
        <v>2</v>
      </c>
      <c r="C52" s="4">
        <v>890658</v>
      </c>
      <c r="D52" s="4">
        <v>895717</v>
      </c>
      <c r="E52" s="4">
        <v>956593</v>
      </c>
      <c r="F52" s="4">
        <v>1068489.0524712957</v>
      </c>
      <c r="G52" s="4">
        <v>1081282.3249222303</v>
      </c>
      <c r="H52" s="4">
        <v>1116345.8267885668</v>
      </c>
      <c r="I52" s="4">
        <v>1152194.7677842944</v>
      </c>
    </row>
    <row r="53" spans="1:17" x14ac:dyDescent="0.25">
      <c r="A53" s="23"/>
      <c r="B53" s="13" t="s">
        <v>34</v>
      </c>
      <c r="C53" s="14">
        <v>815662</v>
      </c>
      <c r="D53" s="14">
        <v>824095</v>
      </c>
      <c r="E53" s="14">
        <v>855177</v>
      </c>
      <c r="F53" s="14">
        <v>941903.66138678708</v>
      </c>
      <c r="G53" s="14">
        <v>974365.39759232686</v>
      </c>
      <c r="H53" s="14">
        <v>993520.31644829852</v>
      </c>
      <c r="I53" s="14">
        <v>1014851.0394847859</v>
      </c>
    </row>
    <row r="54" spans="1:17" x14ac:dyDescent="0.25">
      <c r="B54" s="15" t="s">
        <v>35</v>
      </c>
      <c r="C54" s="4">
        <f>SUM(C51:C53)</f>
        <v>9097667</v>
      </c>
      <c r="D54" s="4">
        <f t="shared" ref="D54:I54" si="8">SUM(D51:D53)</f>
        <v>5261511</v>
      </c>
      <c r="E54" s="4">
        <f t="shared" si="8"/>
        <v>1811770</v>
      </c>
      <c r="F54" s="4">
        <f t="shared" si="8"/>
        <v>2010392.7138580829</v>
      </c>
      <c r="G54" s="4">
        <f t="shared" si="8"/>
        <v>2055647.7225145572</v>
      </c>
      <c r="H54" s="4">
        <f t="shared" si="8"/>
        <v>2109866.1432368653</v>
      </c>
      <c r="I54" s="4">
        <f t="shared" si="8"/>
        <v>2167045.8072690805</v>
      </c>
    </row>
    <row r="55" spans="1:17" x14ac:dyDescent="0.25">
      <c r="B55" s="15"/>
      <c r="C55" s="4"/>
      <c r="D55" s="4"/>
      <c r="E55" s="4"/>
      <c r="F55" s="4"/>
      <c r="G55" s="4"/>
      <c r="H55" s="4"/>
      <c r="I55" s="4"/>
    </row>
    <row r="56" spans="1:17" ht="14.4" x14ac:dyDescent="0.3">
      <c r="B56" s="18"/>
    </row>
    <row r="58" spans="1:17" x14ac:dyDescent="0.25">
      <c r="A58" s="34" t="s">
        <v>47</v>
      </c>
      <c r="K58" s="40" t="s">
        <v>50</v>
      </c>
      <c r="L58" s="40"/>
      <c r="M58" s="40"/>
      <c r="N58" s="40"/>
      <c r="O58" s="40"/>
      <c r="P58" s="40"/>
      <c r="Q58" s="40"/>
    </row>
    <row r="59" spans="1:17" x14ac:dyDescent="0.25">
      <c r="A59" s="33"/>
      <c r="B59" s="3" t="s">
        <v>0</v>
      </c>
      <c r="C59" s="4">
        <v>58243343</v>
      </c>
      <c r="D59" s="4">
        <f>+C59</f>
        <v>58243343</v>
      </c>
      <c r="E59" s="4">
        <v>0</v>
      </c>
      <c r="F59" s="4">
        <v>0</v>
      </c>
      <c r="G59" s="4">
        <v>0</v>
      </c>
      <c r="H59" s="4">
        <v>0</v>
      </c>
      <c r="I59" s="4">
        <v>0</v>
      </c>
      <c r="K59" s="20">
        <f>+C59/C$62</f>
        <v>0.5379696071637774</v>
      </c>
      <c r="L59" s="20">
        <f>+D59/D$62</f>
        <v>0.53418029373423959</v>
      </c>
      <c r="M59" s="20">
        <f t="shared" ref="M59:Q61" si="9">+E59/E$62</f>
        <v>0</v>
      </c>
      <c r="N59" s="20">
        <f t="shared" si="9"/>
        <v>0</v>
      </c>
      <c r="O59" s="20">
        <f t="shared" si="9"/>
        <v>0</v>
      </c>
      <c r="P59" s="20">
        <f t="shared" si="9"/>
        <v>0</v>
      </c>
      <c r="Q59" s="20">
        <f t="shared" si="9"/>
        <v>0</v>
      </c>
    </row>
    <row r="60" spans="1:17" x14ac:dyDescent="0.25">
      <c r="A60" s="33"/>
      <c r="B60" s="3" t="s">
        <v>2</v>
      </c>
      <c r="C60" s="4">
        <v>35920717</v>
      </c>
      <c r="D60" s="16">
        <f>+C60+D65</f>
        <v>36519917</v>
      </c>
      <c r="E60" s="16">
        <f t="shared" ref="E60:I60" si="10">+D60+E65</f>
        <v>40619295.399999999</v>
      </c>
      <c r="F60" s="16">
        <f t="shared" si="10"/>
        <v>41086517.799999997</v>
      </c>
      <c r="G60" s="16">
        <f t="shared" si="10"/>
        <v>41435361</v>
      </c>
      <c r="H60" s="16">
        <f t="shared" si="10"/>
        <v>43644287.399999999</v>
      </c>
      <c r="I60" s="16">
        <f t="shared" si="10"/>
        <v>44068237</v>
      </c>
      <c r="K60" s="20">
        <f t="shared" ref="K60:L61" si="11">+C60/C$62</f>
        <v>0.33178476746314545</v>
      </c>
      <c r="L60" s="20">
        <f t="shared" si="11"/>
        <v>0.33494334262732905</v>
      </c>
      <c r="M60" s="20">
        <f t="shared" si="9"/>
        <v>0.73091034749157879</v>
      </c>
      <c r="N60" s="20">
        <f t="shared" si="9"/>
        <v>0.7265371250234417</v>
      </c>
      <c r="O60" s="20">
        <f t="shared" si="9"/>
        <v>0.7223400872059772</v>
      </c>
      <c r="P60" s="20">
        <f t="shared" si="9"/>
        <v>0.73133984962995247</v>
      </c>
      <c r="Q60" s="20">
        <f t="shared" si="9"/>
        <v>0.72660598082828676</v>
      </c>
    </row>
    <row r="61" spans="1:17" x14ac:dyDescent="0.25">
      <c r="A61" s="33"/>
      <c r="B61" s="3" t="s">
        <v>1</v>
      </c>
      <c r="C61" s="14">
        <v>14101058</v>
      </c>
      <c r="D61" s="19">
        <f>+C61+D66</f>
        <v>14269858</v>
      </c>
      <c r="E61" s="19">
        <f t="shared" ref="E61:I61" si="12">+D61+E66</f>
        <v>14954271.918347476</v>
      </c>
      <c r="F61" s="19">
        <f t="shared" si="12"/>
        <v>15464643.021512523</v>
      </c>
      <c r="G61" s="19">
        <f t="shared" si="12"/>
        <v>15927315.852495654</v>
      </c>
      <c r="H61" s="19">
        <f t="shared" si="12"/>
        <v>16032875.579814903</v>
      </c>
      <c r="I61" s="19">
        <f t="shared" si="12"/>
        <v>16581190.83675533</v>
      </c>
      <c r="K61" s="20">
        <f t="shared" si="11"/>
        <v>0.13024562537307724</v>
      </c>
      <c r="L61" s="20">
        <f t="shared" si="11"/>
        <v>0.13087636363843139</v>
      </c>
      <c r="M61" s="20">
        <f t="shared" si="9"/>
        <v>0.26908965250842121</v>
      </c>
      <c r="N61" s="20">
        <f t="shared" si="9"/>
        <v>0.27346287497655836</v>
      </c>
      <c r="O61" s="20">
        <f t="shared" si="9"/>
        <v>0.2776599127940228</v>
      </c>
      <c r="P61" s="20">
        <f t="shared" si="9"/>
        <v>0.26866015037004748</v>
      </c>
      <c r="Q61" s="20">
        <f t="shared" si="9"/>
        <v>0.2733940191717133</v>
      </c>
    </row>
    <row r="62" spans="1:17" x14ac:dyDescent="0.25">
      <c r="A62" s="33"/>
      <c r="C62" s="16">
        <f>SUM(C59:C61)</f>
        <v>108265118</v>
      </c>
      <c r="D62" s="16">
        <f>SUM(D59:D61)</f>
        <v>109033118</v>
      </c>
      <c r="E62" s="16">
        <f t="shared" ref="E62:I62" si="13">SUM(E59:E61)</f>
        <v>55573567.318347476</v>
      </c>
      <c r="F62" s="16">
        <f t="shared" si="13"/>
        <v>56551160.82151252</v>
      </c>
      <c r="G62" s="16">
        <f t="shared" si="13"/>
        <v>57362676.852495655</v>
      </c>
      <c r="H62" s="16">
        <f t="shared" si="13"/>
        <v>59677162.979814902</v>
      </c>
      <c r="I62" s="16">
        <f t="shared" si="13"/>
        <v>60649427.836755328</v>
      </c>
    </row>
    <row r="63" spans="1:17" x14ac:dyDescent="0.25">
      <c r="A63" s="33"/>
    </row>
    <row r="64" spans="1:17" x14ac:dyDescent="0.25">
      <c r="A64" s="34" t="s">
        <v>45</v>
      </c>
    </row>
    <row r="65" spans="1:9" x14ac:dyDescent="0.25">
      <c r="A65" s="33"/>
      <c r="B65" s="3" t="s">
        <v>2</v>
      </c>
      <c r="C65" s="12" t="s">
        <v>46</v>
      </c>
      <c r="D65" s="4">
        <f>749000*0.8</f>
        <v>599200</v>
      </c>
      <c r="E65" s="4">
        <f>3693000+507973*0.8</f>
        <v>4099378.4</v>
      </c>
      <c r="F65" s="4">
        <f>584028*0.8</f>
        <v>467222.4</v>
      </c>
      <c r="G65" s="4">
        <f>436054*0.8</f>
        <v>348843.2</v>
      </c>
      <c r="H65" s="4">
        <f>2761158*0.8</f>
        <v>2208926.4</v>
      </c>
      <c r="I65" s="4">
        <f>529937*0.8</f>
        <v>423949.60000000003</v>
      </c>
    </row>
    <row r="66" spans="1:9" x14ac:dyDescent="0.25">
      <c r="A66" s="33"/>
      <c r="B66" s="3" t="s">
        <v>1</v>
      </c>
      <c r="C66" s="12" t="s">
        <v>46</v>
      </c>
      <c r="D66" s="4">
        <f>211000*0.8</f>
        <v>168800</v>
      </c>
      <c r="E66" s="4">
        <f>0.8*855517.397934346</f>
        <v>684413.91834747687</v>
      </c>
      <c r="F66" s="4">
        <f>0.8*637963.87895631</f>
        <v>510371.103165048</v>
      </c>
      <c r="G66" s="4">
        <f>0.8*578341.038728912</f>
        <v>462672.83098312962</v>
      </c>
      <c r="H66" s="4">
        <f>0.8*131949.659149063</f>
        <v>105559.72731925041</v>
      </c>
      <c r="I66" s="4">
        <f>0.8*685394.071175532</f>
        <v>548315.25694042561</v>
      </c>
    </row>
    <row r="67" spans="1:9" x14ac:dyDescent="0.25">
      <c r="A67" s="33"/>
    </row>
    <row r="68" spans="1:9" x14ac:dyDescent="0.25">
      <c r="A68" s="34" t="s">
        <v>51</v>
      </c>
    </row>
    <row r="69" spans="1:9" x14ac:dyDescent="0.25">
      <c r="A69" s="33"/>
      <c r="B69" s="3" t="str">
        <f>+B59</f>
        <v>CTGS</v>
      </c>
      <c r="C69" s="4">
        <v>54701644</v>
      </c>
      <c r="D69" s="4">
        <f>+C69+D50+D51</f>
        <v>58243343</v>
      </c>
      <c r="E69" s="4">
        <v>0</v>
      </c>
      <c r="F69" s="4">
        <v>0</v>
      </c>
      <c r="G69" s="4">
        <v>0</v>
      </c>
      <c r="H69" s="4">
        <v>0</v>
      </c>
      <c r="I69" s="4">
        <v>0</v>
      </c>
    </row>
    <row r="70" spans="1:9" x14ac:dyDescent="0.25">
      <c r="A70" s="33"/>
      <c r="B70" s="3" t="str">
        <f t="shared" ref="B70:B71" si="14">+B60</f>
        <v>CT3</v>
      </c>
      <c r="C70" s="4">
        <v>7385482.3041758835</v>
      </c>
      <c r="D70" s="4">
        <f>+C70+D52+D65/0.2*0.2</f>
        <v>8880399.3041758835</v>
      </c>
      <c r="E70" s="4">
        <f t="shared" ref="E70:I70" si="15">+D70+E52+E65/0.2*0.2</f>
        <v>13936370.704175884</v>
      </c>
      <c r="F70" s="4">
        <f t="shared" si="15"/>
        <v>15472082.156647179</v>
      </c>
      <c r="G70" s="4">
        <f t="shared" si="15"/>
        <v>16902207.681569409</v>
      </c>
      <c r="H70" s="4">
        <f t="shared" si="15"/>
        <v>20227479.908357974</v>
      </c>
      <c r="I70" s="4">
        <f t="shared" si="15"/>
        <v>21803624.276142269</v>
      </c>
    </row>
    <row r="71" spans="1:9" x14ac:dyDescent="0.25">
      <c r="A71" s="33"/>
      <c r="B71" s="3" t="str">
        <f t="shared" si="14"/>
        <v>BGS</v>
      </c>
      <c r="C71" s="4">
        <v>5715993.3360530324</v>
      </c>
      <c r="D71" s="4">
        <f>+C71+D53+D66/0.2*0.2</f>
        <v>6708888.3360530324</v>
      </c>
      <c r="E71" s="4">
        <f t="shared" ref="E71:I71" si="16">+D71+E53+E66/0.2*0.2</f>
        <v>8248479.2544005094</v>
      </c>
      <c r="F71" s="4">
        <f t="shared" si="16"/>
        <v>9700754.0189523436</v>
      </c>
      <c r="G71" s="4">
        <f t="shared" si="16"/>
        <v>11137792.247527801</v>
      </c>
      <c r="H71" s="4">
        <f t="shared" si="16"/>
        <v>12236872.29129535</v>
      </c>
      <c r="I71" s="4">
        <f t="shared" si="16"/>
        <v>13800038.587720562</v>
      </c>
    </row>
    <row r="72" spans="1:9" x14ac:dyDescent="0.25">
      <c r="A72" s="33"/>
    </row>
    <row r="73" spans="1:9" x14ac:dyDescent="0.25">
      <c r="A73" s="34" t="s">
        <v>52</v>
      </c>
    </row>
    <row r="74" spans="1:9" x14ac:dyDescent="0.25">
      <c r="A74" s="33"/>
      <c r="B74" s="3" t="str">
        <f>+B69</f>
        <v>CTGS</v>
      </c>
      <c r="C74" s="16">
        <f>+C59-C69</f>
        <v>3541699</v>
      </c>
      <c r="D74" s="16">
        <f t="shared" ref="D74:I74" si="17">+D59-D69</f>
        <v>0</v>
      </c>
      <c r="E74" s="16">
        <f t="shared" si="17"/>
        <v>0</v>
      </c>
      <c r="F74" s="16">
        <f t="shared" si="17"/>
        <v>0</v>
      </c>
      <c r="G74" s="16">
        <f t="shared" si="17"/>
        <v>0</v>
      </c>
      <c r="H74" s="16">
        <f t="shared" si="17"/>
        <v>0</v>
      </c>
      <c r="I74" s="16">
        <f t="shared" si="17"/>
        <v>0</v>
      </c>
    </row>
    <row r="75" spans="1:9" x14ac:dyDescent="0.25">
      <c r="A75" s="33"/>
      <c r="B75" s="3" t="str">
        <f t="shared" ref="B75:B76" si="18">+B70</f>
        <v>CT3</v>
      </c>
      <c r="C75" s="16">
        <f t="shared" ref="C75:I76" si="19">+C60-C70</f>
        <v>28535234.695824116</v>
      </c>
      <c r="D75" s="16">
        <f t="shared" si="19"/>
        <v>27639517.695824116</v>
      </c>
      <c r="E75" s="16">
        <f t="shared" si="19"/>
        <v>26682924.695824116</v>
      </c>
      <c r="F75" s="16">
        <f t="shared" si="19"/>
        <v>25614435.643352818</v>
      </c>
      <c r="G75" s="16">
        <f t="shared" si="19"/>
        <v>24533153.318430591</v>
      </c>
      <c r="H75" s="16">
        <f t="shared" si="19"/>
        <v>23416807.491642024</v>
      </c>
      <c r="I75" s="16">
        <f t="shared" si="19"/>
        <v>22264612.723857731</v>
      </c>
    </row>
    <row r="76" spans="1:9" x14ac:dyDescent="0.25">
      <c r="A76" s="33"/>
      <c r="B76" s="3" t="str">
        <f t="shared" si="18"/>
        <v>BGS</v>
      </c>
      <c r="C76" s="16">
        <f t="shared" si="19"/>
        <v>8385064.6639469676</v>
      </c>
      <c r="D76" s="16">
        <f t="shared" si="19"/>
        <v>7560969.6639469676</v>
      </c>
      <c r="E76" s="16">
        <f t="shared" si="19"/>
        <v>6705792.6639469666</v>
      </c>
      <c r="F76" s="16">
        <f t="shared" si="19"/>
        <v>5763889.0025601797</v>
      </c>
      <c r="G76" s="16">
        <f t="shared" si="19"/>
        <v>4789523.6049678531</v>
      </c>
      <c r="H76" s="16">
        <f t="shared" si="19"/>
        <v>3796003.2885195538</v>
      </c>
      <c r="I76" s="16">
        <f t="shared" si="19"/>
        <v>2781152.249034768</v>
      </c>
    </row>
    <row r="77" spans="1:9" x14ac:dyDescent="0.25">
      <c r="A77" s="33"/>
    </row>
    <row r="78" spans="1:9" x14ac:dyDescent="0.25">
      <c r="A78" s="34" t="s">
        <v>48</v>
      </c>
      <c r="C78" s="20">
        <v>5.7912552700065414E-2</v>
      </c>
      <c r="D78" s="20">
        <v>5.7563341355928159E-2</v>
      </c>
      <c r="E78" s="20">
        <v>5.7707184690904023E-2</v>
      </c>
      <c r="F78" s="20">
        <f>+D78</f>
        <v>5.7563341355928159E-2</v>
      </c>
      <c r="G78" s="20">
        <f t="shared" ref="G78:I78" si="20">+E78</f>
        <v>5.7707184690904023E-2</v>
      </c>
      <c r="H78" s="20">
        <f t="shared" si="20"/>
        <v>5.7563341355928159E-2</v>
      </c>
      <c r="I78" s="20">
        <f t="shared" si="20"/>
        <v>5.7707184690904023E-2</v>
      </c>
    </row>
    <row r="80" spans="1:9" ht="28.5" customHeight="1" x14ac:dyDescent="0.25">
      <c r="A80" s="39" t="s">
        <v>59</v>
      </c>
      <c r="B80" s="41" t="s">
        <v>64</v>
      </c>
      <c r="C80" s="41"/>
      <c r="D80" s="41"/>
      <c r="E80" s="41"/>
      <c r="F80" s="41"/>
      <c r="G80" s="41"/>
      <c r="H80" s="41"/>
      <c r="I80" s="41"/>
    </row>
    <row r="81" spans="1:2" x14ac:dyDescent="0.25">
      <c r="A81" s="3" t="s">
        <v>63</v>
      </c>
      <c r="B81" s="3" t="s">
        <v>66</v>
      </c>
    </row>
  </sheetData>
  <mergeCells count="2">
    <mergeCell ref="K58:Q58"/>
    <mergeCell ref="B80:I80"/>
  </mergeCells>
  <pageMargins left="0.7" right="0.7" top="0.75" bottom="0.75" header="0.3" footer="0.3"/>
  <pageSetup paperSize="17" scale="62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25"/>
  <sheetViews>
    <sheetView workbookViewId="0">
      <selection activeCell="E23" sqref="E23:H23"/>
    </sheetView>
  </sheetViews>
  <sheetFormatPr defaultColWidth="9.109375" defaultRowHeight="13.8" x14ac:dyDescent="0.25"/>
  <cols>
    <col min="1" max="1" width="36.6640625" style="3" customWidth="1"/>
    <col min="2" max="3" width="15.6640625" style="3" bestFit="1" customWidth="1"/>
    <col min="4" max="4" width="14" style="3" bestFit="1" customWidth="1"/>
    <col min="5" max="8" width="9.33203125" style="3" bestFit="1" customWidth="1"/>
    <col min="9" max="16384" width="9.109375" style="3"/>
  </cols>
  <sheetData>
    <row r="1" spans="1:8" x14ac:dyDescent="0.25">
      <c r="B1" s="12">
        <f>+'IR-17 Inputs'!C1</f>
        <v>2020</v>
      </c>
      <c r="C1" s="12">
        <f>+'IR-17 Inputs'!D1</f>
        <v>2021</v>
      </c>
      <c r="D1" s="12">
        <f>+'IR-17 Inputs'!E1</f>
        <v>2022</v>
      </c>
      <c r="E1" s="12">
        <f>+'IR-17 Inputs'!F1</f>
        <v>2023</v>
      </c>
      <c r="F1" s="12">
        <f>+'IR-17 Inputs'!G1</f>
        <v>2024</v>
      </c>
      <c r="G1" s="12">
        <f>+'IR-17 Inputs'!H1</f>
        <v>2025</v>
      </c>
      <c r="H1" s="12">
        <f>+'IR-17 Inputs'!I1</f>
        <v>2026</v>
      </c>
    </row>
    <row r="2" spans="1:8" x14ac:dyDescent="0.25">
      <c r="B2" s="12" t="str">
        <f>+'IR-17 Inputs'!C2</f>
        <v>Actual</v>
      </c>
      <c r="C2" s="12" t="str">
        <f>+'IR-17 Inputs'!D2</f>
        <v>Forecast</v>
      </c>
      <c r="D2" s="12" t="str">
        <f>+'IR-17 Inputs'!E2</f>
        <v>Budget</v>
      </c>
      <c r="E2" s="12" t="str">
        <f>+'IR-17 Inputs'!F2</f>
        <v>Budget</v>
      </c>
      <c r="F2" s="12" t="str">
        <f>+'IR-17 Inputs'!G2</f>
        <v>Budget</v>
      </c>
      <c r="G2" s="12" t="str">
        <f>+'IR-17 Inputs'!H2</f>
        <v>Budget</v>
      </c>
      <c r="H2" s="12" t="str">
        <f>+'IR-17 Inputs'!I2</f>
        <v>Budget</v>
      </c>
    </row>
    <row r="3" spans="1:8" x14ac:dyDescent="0.25">
      <c r="B3" s="12"/>
      <c r="C3" s="12"/>
      <c r="D3" s="12"/>
      <c r="E3" s="12"/>
      <c r="F3" s="12"/>
      <c r="G3" s="12"/>
      <c r="H3" s="12"/>
    </row>
    <row r="4" spans="1:8" x14ac:dyDescent="0.25">
      <c r="A4" s="15" t="str">
        <f>'IR-17 Inputs'!B3</f>
        <v>Gross Production in MWh 1</v>
      </c>
      <c r="B4" s="17">
        <f>+'IR-17 Inputs'!C4</f>
        <v>0</v>
      </c>
      <c r="C4" s="17">
        <f>+'IR-17 Inputs'!D4</f>
        <v>0</v>
      </c>
      <c r="D4" s="17">
        <f>+'IR-17 Inputs'!E4</f>
        <v>0</v>
      </c>
      <c r="E4" s="17">
        <f>+'IR-17 Inputs'!F4</f>
        <v>0</v>
      </c>
      <c r="F4" s="17">
        <f>+'IR-17 Inputs'!G4</f>
        <v>0</v>
      </c>
      <c r="G4" s="17">
        <f>+'IR-17 Inputs'!H4</f>
        <v>0</v>
      </c>
      <c r="H4" s="17">
        <f>+'IR-17 Inputs'!I4</f>
        <v>0</v>
      </c>
    </row>
    <row r="6" spans="1:8" x14ac:dyDescent="0.25">
      <c r="A6" s="15" t="s">
        <v>36</v>
      </c>
    </row>
    <row r="7" spans="1:8" x14ac:dyDescent="0.25">
      <c r="A7" s="3" t="s">
        <v>37</v>
      </c>
      <c r="B7" s="3">
        <v>0</v>
      </c>
      <c r="C7" s="3">
        <v>0</v>
      </c>
      <c r="D7" s="3">
        <v>0</v>
      </c>
      <c r="E7" s="3">
        <v>0</v>
      </c>
    </row>
    <row r="8" spans="1:8" x14ac:dyDescent="0.25">
      <c r="A8" s="3" t="s">
        <v>38</v>
      </c>
      <c r="B8" s="26"/>
      <c r="C8" s="26"/>
      <c r="D8" s="26"/>
      <c r="E8" s="26"/>
      <c r="F8" s="26"/>
      <c r="G8" s="26"/>
      <c r="H8" s="26"/>
    </row>
    <row r="9" spans="1:8" x14ac:dyDescent="0.25">
      <c r="A9" s="15" t="s">
        <v>41</v>
      </c>
      <c r="B9" s="29">
        <f>SUM(B7:B8)</f>
        <v>0</v>
      </c>
      <c r="C9" s="29">
        <f t="shared" ref="C9:H9" si="0">SUM(C7:C8)</f>
        <v>0</v>
      </c>
      <c r="D9" s="29">
        <f t="shared" si="0"/>
        <v>0</v>
      </c>
      <c r="E9" s="29">
        <f t="shared" si="0"/>
        <v>0</v>
      </c>
      <c r="F9" s="29">
        <f t="shared" si="0"/>
        <v>0</v>
      </c>
      <c r="G9" s="29">
        <f t="shared" si="0"/>
        <v>0</v>
      </c>
      <c r="H9" s="29">
        <f t="shared" si="0"/>
        <v>0</v>
      </c>
    </row>
    <row r="11" spans="1:8" ht="14.4" thickBot="1" x14ac:dyDescent="0.3">
      <c r="A11" s="15" t="s">
        <v>42</v>
      </c>
      <c r="B11" s="25">
        <f ca="1">IF(B11,+B9/B4,"-")</f>
        <v>0</v>
      </c>
      <c r="C11" s="25">
        <f ca="1">IF(C11,+C9/C4,"-")</f>
        <v>0</v>
      </c>
      <c r="D11" s="25">
        <f ca="1">IF(D11,+D9/D4,"-")</f>
        <v>0</v>
      </c>
      <c r="E11" s="25">
        <f ca="1">IF(E11,+E9/E4,"-")</f>
        <v>0</v>
      </c>
      <c r="F11" s="25">
        <f ca="1">IF(F11,+F9/F4,"-")</f>
        <v>0</v>
      </c>
      <c r="G11" s="25">
        <f t="shared" ref="G11:H11" ca="1" si="1">IF(G11,+G9/G4,"-")</f>
        <v>0</v>
      </c>
      <c r="H11" s="25">
        <f t="shared" ca="1" si="1"/>
        <v>0</v>
      </c>
    </row>
    <row r="12" spans="1:8" ht="14.4" thickTop="1" x14ac:dyDescent="0.25"/>
    <row r="13" spans="1:8" x14ac:dyDescent="0.25">
      <c r="A13" s="15" t="s">
        <v>39</v>
      </c>
    </row>
    <row r="14" spans="1:8" x14ac:dyDescent="0.25">
      <c r="A14" s="3" t="str">
        <f>+'IR-17 CT3'!A14</f>
        <v xml:space="preserve">  Operating</v>
      </c>
      <c r="B14" s="4">
        <f>+'IR-17 Inputs'!C28</f>
        <v>875238</v>
      </c>
      <c r="C14" s="4">
        <f>+'IR-17 Inputs'!D28</f>
        <v>706351</v>
      </c>
      <c r="D14" s="4">
        <f>+'IR-17 Inputs'!E28</f>
        <v>134360.98231935999</v>
      </c>
      <c r="E14" s="4">
        <f>+'IR-17 Inputs'!F28</f>
        <v>0</v>
      </c>
      <c r="F14" s="4">
        <f>+'IR-17 Inputs'!G28</f>
        <v>0</v>
      </c>
      <c r="G14" s="4">
        <f>+'IR-17 Inputs'!H28</f>
        <v>0</v>
      </c>
      <c r="H14" s="4">
        <f>+'IR-17 Inputs'!I28</f>
        <v>0</v>
      </c>
    </row>
    <row r="15" spans="1:8" x14ac:dyDescent="0.25">
      <c r="A15" s="3" t="str">
        <f>+'IR-17 CT3'!A15</f>
        <v xml:space="preserve">  Depreciation</v>
      </c>
      <c r="B15" s="4">
        <f>+'IR-17 Inputs'!C51</f>
        <v>7391347</v>
      </c>
      <c r="C15" s="4">
        <f>+'IR-17 Inputs'!D51</f>
        <v>3541699</v>
      </c>
      <c r="D15" s="4">
        <f>+'IR-17 Inputs'!E51</f>
        <v>0</v>
      </c>
      <c r="E15" s="4">
        <f>+'IR-17 Inputs'!F51</f>
        <v>0</v>
      </c>
      <c r="F15" s="4">
        <f>+'IR-17 Inputs'!G51</f>
        <v>0</v>
      </c>
      <c r="G15" s="4">
        <f>+'IR-17 Inputs'!H51</f>
        <v>0</v>
      </c>
      <c r="H15" s="4">
        <f>+'IR-17 Inputs'!I51</f>
        <v>0</v>
      </c>
    </row>
    <row r="16" spans="1:8" x14ac:dyDescent="0.25">
      <c r="A16" s="3" t="s">
        <v>44</v>
      </c>
      <c r="B16" s="4">
        <f>+'IR-17 Inputs'!C48*'IR-17 Inputs'!K59</f>
        <v>486719.39456771297</v>
      </c>
      <c r="C16" s="4">
        <f>+'IR-17 Inputs'!D48*'IR-17 Inputs'!L59</f>
        <v>549992.03042877303</v>
      </c>
      <c r="D16" s="4">
        <f>+'IR-17 Inputs'!E48*'IR-17 Inputs'!M59</f>
        <v>0</v>
      </c>
      <c r="E16" s="4">
        <f>+'IR-17 Inputs'!F48*'IR-17 Inputs'!N59</f>
        <v>0</v>
      </c>
      <c r="F16" s="4">
        <f>+'IR-17 Inputs'!G48*'IR-17 Inputs'!O59</f>
        <v>0</v>
      </c>
      <c r="G16" s="4">
        <f>+'IR-17 Inputs'!H48*'IR-17 Inputs'!P59</f>
        <v>0</v>
      </c>
      <c r="H16" s="4">
        <f>+'IR-17 Inputs'!I48*'IR-17 Inputs'!Q59</f>
        <v>0</v>
      </c>
    </row>
    <row r="17" spans="1:8" x14ac:dyDescent="0.25">
      <c r="A17" s="3" t="s">
        <v>49</v>
      </c>
      <c r="B17" s="14">
        <f>+'IR-17 Inputs'!C74*'IR-17 Inputs'!C$78</f>
        <v>205108.82998526897</v>
      </c>
      <c r="C17" s="14">
        <f>SUM('IR-17 Inputs'!C74:D74)*0.5*'IR-17 Inputs'!D78</f>
        <v>101936.01425847471</v>
      </c>
      <c r="D17" s="14">
        <f>+'IR-17 Inputs'!E74*'IR-17 Inputs'!E$78</f>
        <v>0</v>
      </c>
      <c r="E17" s="14">
        <f>+'IR-17 Inputs'!F74*'IR-17 Inputs'!F$78</f>
        <v>0</v>
      </c>
      <c r="F17" s="14">
        <f>+'IR-17 Inputs'!G74*'IR-17 Inputs'!G$78</f>
        <v>0</v>
      </c>
      <c r="G17" s="14">
        <f>+'IR-17 Inputs'!H74*'IR-17 Inputs'!H$78</f>
        <v>0</v>
      </c>
      <c r="H17" s="14">
        <f>+'IR-17 Inputs'!I74*'IR-17 Inputs'!I$78</f>
        <v>0</v>
      </c>
    </row>
    <row r="18" spans="1:8" x14ac:dyDescent="0.25">
      <c r="A18" s="15" t="s">
        <v>53</v>
      </c>
      <c r="B18" s="29">
        <f>SUM(B14:B17)</f>
        <v>8958413.2245529816</v>
      </c>
      <c r="C18" s="29">
        <f t="shared" ref="C18:H18" si="2">SUM(C14:C17)</f>
        <v>4899978.0446872478</v>
      </c>
      <c r="D18" s="29">
        <f t="shared" si="2"/>
        <v>134360.98231935999</v>
      </c>
      <c r="E18" s="29">
        <f t="shared" si="2"/>
        <v>0</v>
      </c>
      <c r="F18" s="29">
        <f t="shared" si="2"/>
        <v>0</v>
      </c>
      <c r="G18" s="29">
        <f t="shared" si="2"/>
        <v>0</v>
      </c>
      <c r="H18" s="29">
        <f t="shared" si="2"/>
        <v>0</v>
      </c>
    </row>
    <row r="20" spans="1:8" ht="14.4" thickBot="1" x14ac:dyDescent="0.3">
      <c r="A20" s="15" t="str">
        <f>+'IR-17 CT3'!A20</f>
        <v>Fixed Cost per MWh</v>
      </c>
      <c r="B20" s="27">
        <f ca="1">IF(B20,+B18/B4,"-")</f>
        <v>0</v>
      </c>
      <c r="C20" s="27">
        <f t="shared" ref="C20:H20" ca="1" si="3">IF(C20,+C18/C4,"-")</f>
        <v>0</v>
      </c>
      <c r="D20" s="27">
        <f t="shared" ca="1" si="3"/>
        <v>0</v>
      </c>
      <c r="E20" s="27">
        <f t="shared" ca="1" si="3"/>
        <v>0</v>
      </c>
      <c r="F20" s="27">
        <f t="shared" ca="1" si="3"/>
        <v>0</v>
      </c>
      <c r="G20" s="27">
        <f t="shared" ca="1" si="3"/>
        <v>0</v>
      </c>
      <c r="H20" s="27">
        <f t="shared" ca="1" si="3"/>
        <v>0</v>
      </c>
    </row>
    <row r="21" spans="1:8" ht="14.4" thickTop="1" x14ac:dyDescent="0.25"/>
    <row r="22" spans="1:8" ht="14.4" thickBot="1" x14ac:dyDescent="0.3">
      <c r="A22" s="15" t="s">
        <v>56</v>
      </c>
      <c r="B22" s="37">
        <f>B18/'IR-17 Inputs'!C9</f>
        <v>235.74771643560479</v>
      </c>
      <c r="C22" s="37">
        <f>C18/'IR-17 Inputs'!D9</f>
        <v>128.94679064966442</v>
      </c>
      <c r="D22" s="37">
        <f ca="1">IF(D22,D18/'IR-17 Inputs'!E9,"-")</f>
        <v>0</v>
      </c>
      <c r="E22" s="37">
        <f ca="1">IF(E22,E18/'IR-17 Inputs'!F9,"-")</f>
        <v>0</v>
      </c>
      <c r="F22" s="37">
        <f ca="1">IF(F22,F18/'IR-17 Inputs'!G9,"-")</f>
        <v>0</v>
      </c>
      <c r="G22" s="37">
        <f ca="1">IF(G22,G18/'IR-17 Inputs'!H9,"-")</f>
        <v>0</v>
      </c>
      <c r="H22" s="37">
        <f ca="1">IF(H22,H18/'IR-17 Inputs'!I9,"-")</f>
        <v>0</v>
      </c>
    </row>
    <row r="23" spans="1:8" ht="15" thickTop="1" thickBot="1" x14ac:dyDescent="0.3">
      <c r="A23" s="15" t="s">
        <v>57</v>
      </c>
      <c r="B23" s="37">
        <f>(SUM(B14,B16))/'IR-17 Inputs'!C9</f>
        <v>35.840984067571391</v>
      </c>
      <c r="C23" s="37">
        <f>(SUM(C14,C16))/'IR-17 Inputs'!D9</f>
        <v>33.061658695494025</v>
      </c>
      <c r="D23" s="37">
        <f ca="1">IF(D23,(SUM(D14,D16))/'IR-17 Inputs'!E9,"-")</f>
        <v>0</v>
      </c>
      <c r="E23" s="37">
        <f ca="1">IF(E23,(SUM(E14,E16))/'IR-17 Inputs'!F9,"-")</f>
        <v>0</v>
      </c>
      <c r="F23" s="37">
        <f ca="1">IF(F23,(SUM(F14,F16))/'IR-17 Inputs'!G9,"-")</f>
        <v>0</v>
      </c>
      <c r="G23" s="37">
        <f ca="1">IF(G23,(SUM(G14,G16))/'IR-17 Inputs'!H9,"-")</f>
        <v>0</v>
      </c>
      <c r="H23" s="37">
        <f ca="1">IF(H23,(SUM(H14,H16))/'IR-17 Inputs'!I9,"-")</f>
        <v>0</v>
      </c>
    </row>
    <row r="24" spans="1:8" ht="14.4" thickTop="1" x14ac:dyDescent="0.25"/>
    <row r="25" spans="1:8" ht="39.75" customHeight="1" x14ac:dyDescent="0.25">
      <c r="A25" s="42" t="s">
        <v>65</v>
      </c>
      <c r="B25" s="42"/>
      <c r="C25" s="42"/>
      <c r="D25" s="42"/>
      <c r="E25" s="42"/>
      <c r="F25" s="42"/>
      <c r="G25" s="42"/>
      <c r="H25" s="42"/>
    </row>
  </sheetData>
  <mergeCells count="1">
    <mergeCell ref="A25:H25"/>
  </mergeCells>
  <pageMargins left="0.7" right="0.7" top="0.75" bottom="0.75" header="0.3" footer="0.3"/>
  <pageSetup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5"/>
  <sheetViews>
    <sheetView workbookViewId="0">
      <selection activeCell="E30" sqref="E30"/>
    </sheetView>
  </sheetViews>
  <sheetFormatPr defaultColWidth="9.109375" defaultRowHeight="13.8" x14ac:dyDescent="0.25"/>
  <cols>
    <col min="1" max="1" width="36.44140625" style="3" customWidth="1"/>
    <col min="2" max="2" width="14.5546875" style="3" bestFit="1" customWidth="1"/>
    <col min="3" max="4" width="12.6640625" style="3" bestFit="1" customWidth="1"/>
    <col min="5" max="8" width="14.5546875" style="3" bestFit="1" customWidth="1"/>
    <col min="9" max="16384" width="9.109375" style="3"/>
  </cols>
  <sheetData>
    <row r="1" spans="1:16" x14ac:dyDescent="0.25">
      <c r="B1" s="12">
        <f>+'IR-17 Inputs'!C1</f>
        <v>2020</v>
      </c>
      <c r="C1" s="12">
        <f>+'IR-17 Inputs'!D1</f>
        <v>2021</v>
      </c>
      <c r="D1" s="12">
        <f>+'IR-17 Inputs'!E1</f>
        <v>2022</v>
      </c>
      <c r="E1" s="12">
        <f>+'IR-17 Inputs'!F1</f>
        <v>2023</v>
      </c>
      <c r="F1" s="12">
        <f>+'IR-17 Inputs'!G1</f>
        <v>2024</v>
      </c>
      <c r="G1" s="12">
        <f>+'IR-17 Inputs'!H1</f>
        <v>2025</v>
      </c>
      <c r="H1" s="12">
        <f>+'IR-17 Inputs'!I1</f>
        <v>2026</v>
      </c>
    </row>
    <row r="2" spans="1:16" x14ac:dyDescent="0.25">
      <c r="B2" s="12" t="str">
        <f>+'IR-17 Inputs'!C2</f>
        <v>Actual</v>
      </c>
      <c r="C2" s="12" t="str">
        <f>+'IR-17 Inputs'!D2</f>
        <v>Forecast</v>
      </c>
      <c r="D2" s="12" t="str">
        <f>+'IR-17 Inputs'!E2</f>
        <v>Budget</v>
      </c>
      <c r="E2" s="12" t="str">
        <f>+'IR-17 Inputs'!F2</f>
        <v>Budget</v>
      </c>
      <c r="F2" s="12" t="str">
        <f>+'IR-17 Inputs'!G2</f>
        <v>Budget</v>
      </c>
      <c r="G2" s="12" t="str">
        <f>+'IR-17 Inputs'!H2</f>
        <v>Budget</v>
      </c>
      <c r="H2" s="12" t="str">
        <f>+'IR-17 Inputs'!I2</f>
        <v>Budget</v>
      </c>
    </row>
    <row r="3" spans="1:16" x14ac:dyDescent="0.25">
      <c r="B3" s="12"/>
      <c r="C3" s="12"/>
      <c r="D3" s="12"/>
      <c r="E3" s="12"/>
      <c r="F3" s="12"/>
      <c r="G3" s="12"/>
      <c r="H3" s="12"/>
    </row>
    <row r="4" spans="1:16" x14ac:dyDescent="0.25">
      <c r="A4" s="15" t="str">
        <f>'IR-17 Inputs'!B3</f>
        <v>Gross Production in MWh 1</v>
      </c>
      <c r="B4" s="4">
        <f>+'IR-17 Inputs'!C6</f>
        <v>491.87299999999999</v>
      </c>
      <c r="C4" s="21">
        <f>+'IR-17 Inputs'!D6</f>
        <v>1200</v>
      </c>
      <c r="D4" s="21">
        <f>+'IR-17 Inputs'!E6</f>
        <v>1200</v>
      </c>
      <c r="E4" s="21">
        <f>+'IR-17 Inputs'!F6</f>
        <v>1200</v>
      </c>
      <c r="F4" s="21">
        <f>+'IR-17 Inputs'!G6</f>
        <v>1200</v>
      </c>
      <c r="G4" s="21">
        <f>+'IR-17 Inputs'!H6</f>
        <v>1950</v>
      </c>
      <c r="H4" s="21">
        <f>+'IR-17 Inputs'!I6</f>
        <v>1950</v>
      </c>
    </row>
    <row r="6" spans="1:16" x14ac:dyDescent="0.25">
      <c r="A6" s="15" t="s">
        <v>36</v>
      </c>
    </row>
    <row r="7" spans="1:16" x14ac:dyDescent="0.25">
      <c r="A7" s="3" t="s">
        <v>37</v>
      </c>
      <c r="B7" s="4">
        <f>+'IR-17 Inputs'!C15</f>
        <v>133944</v>
      </c>
      <c r="C7" s="4">
        <f>+'IR-17 Inputs'!D15</f>
        <v>400000</v>
      </c>
      <c r="D7" s="21">
        <f>+'IR-17 Inputs'!E15</f>
        <v>286462.80479502602</v>
      </c>
      <c r="E7" s="21">
        <f>+'IR-17 Inputs'!F15</f>
        <v>423577.84474952298</v>
      </c>
      <c r="F7" s="21">
        <f>+'IR-17 Inputs'!G15</f>
        <v>424696.50569238444</v>
      </c>
      <c r="G7" s="21">
        <f>+'IR-17 Inputs'!H15</f>
        <v>614941.96380115976</v>
      </c>
      <c r="H7" s="21">
        <f>+'IR-17 Inputs'!I15</f>
        <v>613761.5355052941</v>
      </c>
      <c r="I7" s="5"/>
      <c r="J7" s="5"/>
      <c r="K7" s="5"/>
      <c r="L7" s="5"/>
      <c r="M7" s="5"/>
      <c r="N7" s="5"/>
      <c r="O7" s="5"/>
      <c r="P7" s="5"/>
    </row>
    <row r="8" spans="1:16" x14ac:dyDescent="0.25">
      <c r="A8" s="3" t="s">
        <v>38</v>
      </c>
      <c r="B8" s="14">
        <v>5739</v>
      </c>
      <c r="C8" s="14">
        <v>5337</v>
      </c>
      <c r="D8" s="14">
        <v>14635.303589381869</v>
      </c>
      <c r="E8" s="14">
        <v>15015.025914534359</v>
      </c>
      <c r="F8" s="14">
        <v>15391.720303090988</v>
      </c>
      <c r="G8" s="14">
        <v>17897.420684512963</v>
      </c>
      <c r="H8" s="24">
        <v>11745.632526333968</v>
      </c>
      <c r="I8" s="5"/>
    </row>
    <row r="9" spans="1:16" x14ac:dyDescent="0.25">
      <c r="A9" s="15" t="s">
        <v>41</v>
      </c>
      <c r="B9" s="28">
        <f>SUM(B7:B8)</f>
        <v>139683</v>
      </c>
      <c r="C9" s="28">
        <f t="shared" ref="C9:H9" si="0">SUM(C7:C8)</f>
        <v>405337</v>
      </c>
      <c r="D9" s="28">
        <f t="shared" si="0"/>
        <v>301098.10838440788</v>
      </c>
      <c r="E9" s="28">
        <f t="shared" si="0"/>
        <v>438592.87066405732</v>
      </c>
      <c r="F9" s="28">
        <f t="shared" si="0"/>
        <v>440088.22599547543</v>
      </c>
      <c r="G9" s="28">
        <f t="shared" si="0"/>
        <v>632839.38448567269</v>
      </c>
      <c r="H9" s="28">
        <f t="shared" si="0"/>
        <v>625507.16803162801</v>
      </c>
    </row>
    <row r="10" spans="1:16" x14ac:dyDescent="0.25">
      <c r="B10" s="16"/>
      <c r="C10" s="16"/>
      <c r="D10" s="16"/>
      <c r="E10" s="16"/>
      <c r="F10" s="16"/>
      <c r="G10" s="16"/>
      <c r="H10" s="16"/>
    </row>
    <row r="11" spans="1:16" ht="14.4" thickBot="1" x14ac:dyDescent="0.3">
      <c r="A11" s="15" t="s">
        <v>42</v>
      </c>
      <c r="B11" s="25">
        <f>+B9/B4</f>
        <v>283.98184084103013</v>
      </c>
      <c r="C11" s="25">
        <f t="shared" ref="C11:H11" si="1">+C9/C4</f>
        <v>337.78083333333331</v>
      </c>
      <c r="D11" s="25">
        <f t="shared" si="1"/>
        <v>250.91509032033991</v>
      </c>
      <c r="E11" s="25">
        <f t="shared" si="1"/>
        <v>365.49405888671441</v>
      </c>
      <c r="F11" s="25">
        <f t="shared" si="1"/>
        <v>366.74018832956284</v>
      </c>
      <c r="G11" s="25">
        <f t="shared" si="1"/>
        <v>324.53301768496033</v>
      </c>
      <c r="H11" s="25">
        <f t="shared" si="1"/>
        <v>320.77290668288617</v>
      </c>
    </row>
    <row r="12" spans="1:16" ht="14.4" thickTop="1" x14ac:dyDescent="0.25"/>
    <row r="13" spans="1:16" x14ac:dyDescent="0.25">
      <c r="A13" s="15" t="s">
        <v>39</v>
      </c>
    </row>
    <row r="14" spans="1:16" x14ac:dyDescent="0.25">
      <c r="A14" s="3" t="s">
        <v>40</v>
      </c>
      <c r="B14" s="16">
        <f>+'IR-17 Inputs'!C35-'IR-17 CT3'!B8</f>
        <v>289801</v>
      </c>
      <c r="C14" s="16">
        <f>+'IR-17 Inputs'!D35-'IR-17 CT3'!C8</f>
        <v>196377</v>
      </c>
      <c r="D14" s="16">
        <f>+'IR-17 Inputs'!E35-'IR-17 CT3'!D8</f>
        <v>530873.110142163</v>
      </c>
      <c r="E14" s="16">
        <f>+'IR-17 Inputs'!F35-'IR-17 CT3'!E8</f>
        <v>416531.56818291824</v>
      </c>
      <c r="F14" s="16">
        <f>+'IR-17 Inputs'!G35-'IR-17 CT3'!F8</f>
        <v>497230.44863653637</v>
      </c>
      <c r="G14" s="16">
        <f>+'IR-17 Inputs'!H35-'IR-17 CT3'!G8</f>
        <v>573202.57221543253</v>
      </c>
      <c r="H14" s="16">
        <f>+'IR-17 Inputs'!I35-'IR-17 CT3'!H8</f>
        <v>522016.0453270303</v>
      </c>
    </row>
    <row r="15" spans="1:16" x14ac:dyDescent="0.25">
      <c r="A15" s="3" t="s">
        <v>43</v>
      </c>
      <c r="B15" s="4">
        <f>+'IR-17 Inputs'!C52</f>
        <v>890658</v>
      </c>
      <c r="C15" s="4">
        <f>+'IR-17 Inputs'!D52</f>
        <v>895717</v>
      </c>
      <c r="D15" s="4">
        <f>+'IR-17 Inputs'!E52</f>
        <v>956593</v>
      </c>
      <c r="E15" s="4">
        <f>+'IR-17 Inputs'!F52</f>
        <v>1068489.0524712957</v>
      </c>
      <c r="F15" s="4">
        <f>+'IR-17 Inputs'!G52</f>
        <v>1081282.3249222303</v>
      </c>
      <c r="G15" s="4">
        <f>+'IR-17 Inputs'!H52</f>
        <v>1116345.8267885668</v>
      </c>
      <c r="H15" s="4">
        <f>+'IR-17 Inputs'!I52</f>
        <v>1152194.7677842944</v>
      </c>
    </row>
    <row r="16" spans="1:16" x14ac:dyDescent="0.25">
      <c r="A16" s="3" t="s">
        <v>44</v>
      </c>
      <c r="B16" s="4">
        <f>+'IR-17 Inputs'!C48*'IR-17 Inputs'!K60</f>
        <v>300176.95980600145</v>
      </c>
      <c r="C16" s="4">
        <f>+'IR-17 Inputs'!D48*'IR-17 Inputs'!L60</f>
        <v>344857.66556909797</v>
      </c>
      <c r="D16" s="4">
        <f>+'IR-17 Inputs'!E48*'IR-17 Inputs'!M60</f>
        <v>901864.24870343402</v>
      </c>
      <c r="E16" s="4">
        <f>+'IR-17 Inputs'!F48*'IR-17 Inputs'!N60</f>
        <v>968160.74601308245</v>
      </c>
      <c r="F16" s="4">
        <f>+'IR-17 Inputs'!G48*'IR-17 Inputs'!O60</f>
        <v>996875.35475750337</v>
      </c>
      <c r="G16" s="4">
        <f>+'IR-17 Inputs'!H48*'IR-17 Inputs'!P60</f>
        <v>1045331.9071522674</v>
      </c>
      <c r="H16" s="4">
        <f>+'IR-17 Inputs'!I48*'IR-17 Inputs'!Q60</f>
        <v>1075711.4982225953</v>
      </c>
    </row>
    <row r="17" spans="1:8" x14ac:dyDescent="0.25">
      <c r="A17" s="3" t="str">
        <f>+'IR-17 CTGS'!A17</f>
        <v xml:space="preserve">  Financing</v>
      </c>
      <c r="B17" s="14">
        <f>+'IR-17 Inputs'!C75*'IR-17 Inputs'!C$78</f>
        <v>1652548.2831306492</v>
      </c>
      <c r="C17" s="14">
        <f>+'IR-17 Inputs'!D75*'IR-17 Inputs'!D$78</f>
        <v>1591022.9920379405</v>
      </c>
      <c r="D17" s="14">
        <f>+'IR-17 Inputs'!E75*'IR-17 Inputs'!E$78</f>
        <v>1539796.4635154062</v>
      </c>
      <c r="E17" s="14">
        <f>+'IR-17 Inputs'!F75*'IR-17 Inputs'!F$78</f>
        <v>1474452.5025777717</v>
      </c>
      <c r="F17" s="14">
        <f>+'IR-17 Inputs'!G75*'IR-17 Inputs'!G$78</f>
        <v>1415739.2095969392</v>
      </c>
      <c r="G17" s="14">
        <f>+'IR-17 Inputs'!H75*'IR-17 Inputs'!H$78</f>
        <v>1347949.6831074457</v>
      </c>
      <c r="H17" s="14">
        <f>+'IR-17 Inputs'!I75*'IR-17 Inputs'!I$78</f>
        <v>1284828.1185271097</v>
      </c>
    </row>
    <row r="18" spans="1:8" x14ac:dyDescent="0.25">
      <c r="A18" s="15" t="str">
        <f>+'IR-17 CTGS'!A18</f>
        <v xml:space="preserve">  Total Fixed Costs</v>
      </c>
      <c r="B18" s="28">
        <f>SUM(B14:B17)</f>
        <v>3133184.2429366508</v>
      </c>
      <c r="C18" s="28">
        <f t="shared" ref="C18:H18" si="2">SUM(C14:C17)</f>
        <v>3027974.6576070385</v>
      </c>
      <c r="D18" s="28">
        <f t="shared" si="2"/>
        <v>3929126.8223610036</v>
      </c>
      <c r="E18" s="28">
        <f t="shared" si="2"/>
        <v>3927633.8692450682</v>
      </c>
      <c r="F18" s="28">
        <f t="shared" si="2"/>
        <v>3991127.3379132096</v>
      </c>
      <c r="G18" s="28">
        <f t="shared" si="2"/>
        <v>4082829.9892637124</v>
      </c>
      <c r="H18" s="28">
        <f t="shared" si="2"/>
        <v>4034750.4298610296</v>
      </c>
    </row>
    <row r="20" spans="1:8" ht="14.4" thickBot="1" x14ac:dyDescent="0.3">
      <c r="A20" s="15" t="s">
        <v>54</v>
      </c>
      <c r="B20" s="25">
        <f>+B18/B4</f>
        <v>6369.9049204503008</v>
      </c>
      <c r="C20" s="25">
        <f t="shared" ref="C20:H20" si="3">+C18/C4</f>
        <v>2523.3122146725323</v>
      </c>
      <c r="D20" s="25">
        <f t="shared" si="3"/>
        <v>3274.2723519675028</v>
      </c>
      <c r="E20" s="25">
        <f t="shared" si="3"/>
        <v>3273.0282243708903</v>
      </c>
      <c r="F20" s="25">
        <f t="shared" si="3"/>
        <v>3325.9394482610078</v>
      </c>
      <c r="G20" s="25">
        <f t="shared" si="3"/>
        <v>2093.7589688531857</v>
      </c>
      <c r="H20" s="25">
        <f t="shared" si="3"/>
        <v>2069.1027845441176</v>
      </c>
    </row>
    <row r="21" spans="1:8" ht="14.4" thickTop="1" x14ac:dyDescent="0.25"/>
    <row r="22" spans="1:8" ht="14.4" thickBot="1" x14ac:dyDescent="0.3">
      <c r="A22" s="15" t="s">
        <v>56</v>
      </c>
      <c r="B22" s="37">
        <f>B18/'IR-17 Inputs'!C11</f>
        <v>63.942535570135732</v>
      </c>
      <c r="C22" s="37">
        <f>C18/'IR-17 Inputs'!D11</f>
        <v>61.795401175653851</v>
      </c>
      <c r="D22" s="37">
        <f>D18/'IR-17 Inputs'!E11</f>
        <v>80.186261680836807</v>
      </c>
      <c r="E22" s="37">
        <f>E18/'IR-17 Inputs'!F11</f>
        <v>80.155793249899347</v>
      </c>
      <c r="F22" s="37">
        <f>F18/'IR-17 Inputs'!G11</f>
        <v>81.451578324759382</v>
      </c>
      <c r="G22" s="37">
        <f>G18/'IR-17 Inputs'!H11</f>
        <v>83.323061005381888</v>
      </c>
      <c r="H22" s="37">
        <f>H18/'IR-17 Inputs'!I11</f>
        <v>82.34184550736795</v>
      </c>
    </row>
    <row r="23" spans="1:8" ht="15" thickTop="1" thickBot="1" x14ac:dyDescent="0.3">
      <c r="A23" s="15" t="s">
        <v>57</v>
      </c>
      <c r="B23" s="37">
        <f>(SUM(B14,B16))/'IR-17 Inputs'!C11</f>
        <v>12.040366526653091</v>
      </c>
      <c r="C23" s="37">
        <f>(SUM(C14,C16))/'IR-17 Inputs'!D11</f>
        <v>11.045605419777509</v>
      </c>
      <c r="D23" s="37">
        <f>(SUM(D14,D16))/'IR-17 Inputs'!E11</f>
        <v>29.23953793562443</v>
      </c>
      <c r="E23" s="37">
        <f>(SUM(E14,E16))/'IR-17 Inputs'!F11</f>
        <v>28.259026820326547</v>
      </c>
      <c r="F23" s="37">
        <f>(SUM(F14,F16))/'IR-17 Inputs'!G11</f>
        <v>30.49195517130693</v>
      </c>
      <c r="G23" s="37">
        <f>(SUM(G14,G16))/'IR-17 Inputs'!H11</f>
        <v>33.031315905463266</v>
      </c>
      <c r="H23" s="37">
        <f>(SUM(H14,H16))/'IR-17 Inputs'!I11</f>
        <v>32.606684562237255</v>
      </c>
    </row>
    <row r="24" spans="1:8" ht="14.4" thickTop="1" x14ac:dyDescent="0.25"/>
    <row r="25" spans="1:8" ht="33.75" customHeight="1" x14ac:dyDescent="0.25">
      <c r="A25" s="42" t="s">
        <v>65</v>
      </c>
      <c r="B25" s="42"/>
      <c r="C25" s="42"/>
      <c r="D25" s="42"/>
      <c r="E25" s="42"/>
      <c r="F25" s="42"/>
      <c r="G25" s="42"/>
      <c r="H25" s="42"/>
    </row>
  </sheetData>
  <mergeCells count="1">
    <mergeCell ref="A25:H25"/>
  </mergeCells>
  <pageMargins left="0.7" right="0.7" top="0.75" bottom="0.75" header="0.3" footer="0.3"/>
  <pageSetup scale="9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workbookViewId="0">
      <selection activeCell="L25" sqref="L25"/>
    </sheetView>
  </sheetViews>
  <sheetFormatPr defaultColWidth="9.109375" defaultRowHeight="13.8" x14ac:dyDescent="0.25"/>
  <cols>
    <col min="1" max="1" width="36.33203125" style="3" customWidth="1"/>
    <col min="2" max="8" width="12.6640625" style="3" bestFit="1" customWidth="1"/>
    <col min="9" max="16384" width="9.109375" style="3"/>
  </cols>
  <sheetData>
    <row r="1" spans="1:9" x14ac:dyDescent="0.25">
      <c r="B1" s="12">
        <f>+'IR-17 Inputs'!C1</f>
        <v>2020</v>
      </c>
      <c r="C1" s="12">
        <f>+'IR-17 Inputs'!D1</f>
        <v>2021</v>
      </c>
      <c r="D1" s="12">
        <f>+'IR-17 Inputs'!E1</f>
        <v>2022</v>
      </c>
      <c r="E1" s="12">
        <f>+'IR-17 Inputs'!F1</f>
        <v>2023</v>
      </c>
      <c r="F1" s="12">
        <f>+'IR-17 Inputs'!G1</f>
        <v>2024</v>
      </c>
      <c r="G1" s="12">
        <f>+'IR-17 Inputs'!H1</f>
        <v>2025</v>
      </c>
      <c r="H1" s="12">
        <f>+'IR-17 Inputs'!I1</f>
        <v>2026</v>
      </c>
    </row>
    <row r="2" spans="1:9" x14ac:dyDescent="0.25">
      <c r="B2" s="12" t="str">
        <f>+'IR-17 Inputs'!C2</f>
        <v>Actual</v>
      </c>
      <c r="C2" s="12" t="str">
        <f>+'IR-17 Inputs'!D2</f>
        <v>Forecast</v>
      </c>
      <c r="D2" s="12" t="str">
        <f>+'IR-17 Inputs'!E2</f>
        <v>Budget</v>
      </c>
      <c r="E2" s="12" t="str">
        <f>+'IR-17 Inputs'!F2</f>
        <v>Budget</v>
      </c>
      <c r="F2" s="12" t="str">
        <f>+'IR-17 Inputs'!G2</f>
        <v>Budget</v>
      </c>
      <c r="G2" s="12" t="str">
        <f>+'IR-17 Inputs'!H2</f>
        <v>Budget</v>
      </c>
      <c r="H2" s="12" t="str">
        <f>+'IR-17 Inputs'!I2</f>
        <v>Budget</v>
      </c>
    </row>
    <row r="3" spans="1:9" x14ac:dyDescent="0.25">
      <c r="B3" s="12"/>
      <c r="C3" s="12"/>
      <c r="D3" s="12"/>
      <c r="E3" s="12"/>
      <c r="F3" s="12"/>
      <c r="G3" s="12"/>
      <c r="H3" s="12"/>
    </row>
    <row r="4" spans="1:9" x14ac:dyDescent="0.25">
      <c r="A4" s="15" t="str">
        <f>'IR-17 Inputs'!B3</f>
        <v>Gross Production in MWh 1</v>
      </c>
      <c r="B4" s="3">
        <f>+'IR-17 Inputs'!C5</f>
        <v>93</v>
      </c>
      <c r="C4" s="5">
        <f>+'IR-17 Inputs'!D5</f>
        <v>550</v>
      </c>
      <c r="D4" s="3">
        <f>+'IR-17 Inputs'!E5</f>
        <v>550</v>
      </c>
      <c r="E4" s="3">
        <f>+'IR-17 Inputs'!F5</f>
        <v>550</v>
      </c>
      <c r="F4" s="3">
        <f>+'IR-17 Inputs'!G5</f>
        <v>550</v>
      </c>
      <c r="G4" s="3">
        <f>+'IR-17 Inputs'!H5</f>
        <v>550</v>
      </c>
      <c r="H4" s="3">
        <f>+'IR-17 Inputs'!I5</f>
        <v>550</v>
      </c>
    </row>
    <row r="6" spans="1:9" x14ac:dyDescent="0.25">
      <c r="A6" s="15" t="s">
        <v>36</v>
      </c>
    </row>
    <row r="7" spans="1:9" x14ac:dyDescent="0.25">
      <c r="A7" s="3" t="s">
        <v>37</v>
      </c>
      <c r="B7" s="4">
        <f>+'IR-17 Inputs'!C16</f>
        <v>66380</v>
      </c>
      <c r="C7" s="4">
        <f>+'IR-17 Inputs'!D16</f>
        <v>250000</v>
      </c>
      <c r="D7" s="4">
        <f>+'IR-17 Inputs'!E16</f>
        <v>215063.71654721946</v>
      </c>
      <c r="E7" s="4">
        <f>+'IR-17 Inputs'!F16</f>
        <v>313405.10391067452</v>
      </c>
      <c r="F7" s="4">
        <f>+'IR-17 Inputs'!G16</f>
        <v>314205.77469023323</v>
      </c>
      <c r="G7" s="4">
        <f>+'IR-17 Inputs'!H16</f>
        <v>290998.2315547496</v>
      </c>
      <c r="H7" s="4">
        <f>+'IR-17 Inputs'!I16</f>
        <v>290478.30529833073</v>
      </c>
    </row>
    <row r="8" spans="1:9" x14ac:dyDescent="0.25">
      <c r="A8" s="3" t="s">
        <v>38</v>
      </c>
      <c r="B8" s="14">
        <v>16572.560000000001</v>
      </c>
      <c r="C8" s="14">
        <v>22061</v>
      </c>
      <c r="D8" s="14">
        <v>19558.373957177166</v>
      </c>
      <c r="E8" s="14">
        <v>20089.734726570339</v>
      </c>
      <c r="F8" s="14">
        <v>20562.939259801067</v>
      </c>
      <c r="G8" s="14">
        <v>23928.620066393527</v>
      </c>
      <c r="H8" s="24">
        <v>15695.082203968781</v>
      </c>
      <c r="I8" s="5"/>
    </row>
    <row r="9" spans="1:9" x14ac:dyDescent="0.25">
      <c r="A9" s="15" t="s">
        <v>41</v>
      </c>
      <c r="B9" s="28">
        <f>SUM(B7:B8)</f>
        <v>82952.56</v>
      </c>
      <c r="C9" s="28">
        <f t="shared" ref="C9:H9" si="0">SUM(C7:C8)</f>
        <v>272061</v>
      </c>
      <c r="D9" s="28">
        <f t="shared" si="0"/>
        <v>234622.09050439662</v>
      </c>
      <c r="E9" s="28">
        <f t="shared" si="0"/>
        <v>333494.83863724483</v>
      </c>
      <c r="F9" s="28">
        <f t="shared" si="0"/>
        <v>334768.71395003429</v>
      </c>
      <c r="G9" s="28">
        <f t="shared" si="0"/>
        <v>314926.85162114311</v>
      </c>
      <c r="H9" s="28">
        <f t="shared" si="0"/>
        <v>306173.38750229951</v>
      </c>
    </row>
    <row r="10" spans="1:9" x14ac:dyDescent="0.25">
      <c r="B10" s="16"/>
      <c r="C10" s="16"/>
      <c r="D10" s="16"/>
      <c r="E10" s="16"/>
      <c r="F10" s="16"/>
      <c r="G10" s="16"/>
      <c r="H10" s="16"/>
    </row>
    <row r="11" spans="1:9" ht="14.4" thickBot="1" x14ac:dyDescent="0.3">
      <c r="A11" s="15" t="s">
        <v>42</v>
      </c>
      <c r="B11" s="25">
        <f>+B9/B4</f>
        <v>891.96301075268809</v>
      </c>
      <c r="C11" s="25">
        <f t="shared" ref="C11:H11" si="1">+C9/C4</f>
        <v>494.65636363636366</v>
      </c>
      <c r="D11" s="25">
        <f t="shared" si="1"/>
        <v>426.58561909890295</v>
      </c>
      <c r="E11" s="25">
        <f t="shared" si="1"/>
        <v>606.35425206771788</v>
      </c>
      <c r="F11" s="25">
        <f t="shared" si="1"/>
        <v>608.6703890000623</v>
      </c>
      <c r="G11" s="25">
        <f t="shared" si="1"/>
        <v>572.59427567480566</v>
      </c>
      <c r="H11" s="25">
        <f t="shared" si="1"/>
        <v>556.67888636781731</v>
      </c>
    </row>
    <row r="12" spans="1:9" ht="14.4" thickTop="1" x14ac:dyDescent="0.25"/>
    <row r="13" spans="1:9" x14ac:dyDescent="0.25">
      <c r="A13" s="15" t="s">
        <v>39</v>
      </c>
    </row>
    <row r="14" spans="1:9" x14ac:dyDescent="0.25">
      <c r="A14" s="3" t="s">
        <v>40</v>
      </c>
      <c r="B14" s="16">
        <f>+'IR-17 Inputs'!C42-'IR-17 BGS'!B8</f>
        <v>229795.44</v>
      </c>
      <c r="C14" s="16">
        <f>+'IR-17 Inputs'!D42-'IR-17 BGS'!C8</f>
        <v>273235</v>
      </c>
      <c r="D14" s="16">
        <f>+'IR-17 Inputs'!E42-'IR-17 BGS'!D8</f>
        <v>354627.67156993569</v>
      </c>
      <c r="E14" s="16">
        <f>+'IR-17 Inputs'!F42-'IR-17 BGS'!E8</f>
        <v>231512.24661886235</v>
      </c>
      <c r="F14" s="16">
        <f>+'IR-17 Inputs'!G42-'IR-17 BGS'!F8</f>
        <v>316885.04489372723</v>
      </c>
      <c r="G14" s="16">
        <f>+'IR-17 Inputs'!H42-'IR-17 BGS'!G8</f>
        <v>422967.92143799743</v>
      </c>
      <c r="H14" s="16">
        <f>+'IR-17 Inputs'!I42-'IR-17 BGS'!H8</f>
        <v>346349.10835221782</v>
      </c>
    </row>
    <row r="15" spans="1:9" x14ac:dyDescent="0.25">
      <c r="A15" s="3" t="s">
        <v>43</v>
      </c>
      <c r="B15" s="4">
        <f>+'IR-17 Inputs'!C53</f>
        <v>815662</v>
      </c>
      <c r="C15" s="4">
        <f>+'IR-17 Inputs'!D53</f>
        <v>824095</v>
      </c>
      <c r="D15" s="4">
        <f>+'IR-17 Inputs'!E53</f>
        <v>855177</v>
      </c>
      <c r="E15" s="4">
        <f>+'IR-17 Inputs'!F53</f>
        <v>941903.66138678708</v>
      </c>
      <c r="F15" s="4">
        <f>+'IR-17 Inputs'!G53</f>
        <v>974365.39759232686</v>
      </c>
      <c r="G15" s="4">
        <f>+'IR-17 Inputs'!H53</f>
        <v>993520.31644829852</v>
      </c>
      <c r="H15" s="4">
        <f>+'IR-17 Inputs'!I53</f>
        <v>1014851.0394847859</v>
      </c>
    </row>
    <row r="16" spans="1:9" x14ac:dyDescent="0.25">
      <c r="A16" s="3" t="s">
        <v>44</v>
      </c>
      <c r="B16" s="38">
        <f>+'IR-17 Inputs'!C48*'IR-17 Inputs'!K61</f>
        <v>117837.64562628567</v>
      </c>
      <c r="C16" s="38">
        <f>+'IR-17 Inputs'!D48*'IR-17 Inputs'!L61</f>
        <v>134750.30400212895</v>
      </c>
      <c r="D16" s="38">
        <f>+'IR-17 Inputs'!E48*'IR-17 Inputs'!M61</f>
        <v>332027.50258802634</v>
      </c>
      <c r="E16" s="38">
        <f>+'IR-17 Inputs'!F48*'IR-17 Inputs'!N61</f>
        <v>364408.11064630002</v>
      </c>
      <c r="F16" s="38">
        <f>+'IR-17 Inputs'!G48*'IR-17 Inputs'!O61</f>
        <v>383188.37479879591</v>
      </c>
      <c r="G16" s="38">
        <f>+'IR-17 Inputs'!H48*'IR-17 Inputs'!P61</f>
        <v>384006.18741647567</v>
      </c>
      <c r="H16" s="38">
        <f>+'IR-17 Inputs'!I48*'IR-17 Inputs'!Q61</f>
        <v>404749.0630796245</v>
      </c>
    </row>
    <row r="17" spans="1:8" x14ac:dyDescent="0.25">
      <c r="A17" s="3" t="str">
        <f>+'IR-17 CT3'!A17</f>
        <v xml:space="preserve">  Financing</v>
      </c>
      <c r="B17" s="14">
        <f>+'IR-17 Inputs'!C76*'IR-17 Inputs'!C$78</f>
        <v>485600.49924428505</v>
      </c>
      <c r="C17" s="14">
        <f>+'IR-17 Inputs'!D76*'IR-17 Inputs'!D$78</f>
        <v>435234.6777475967</v>
      </c>
      <c r="D17" s="14">
        <f>+'IR-17 Inputs'!E76*'IR-17 Inputs'!E$78</f>
        <v>386972.4157572969</v>
      </c>
      <c r="E17" s="14">
        <f>+'IR-17 Inputs'!F76*'IR-17 Inputs'!F$78</f>
        <v>331788.71019205189</v>
      </c>
      <c r="F17" s="14">
        <f>+'IR-17 Inputs'!G76*'IR-17 Inputs'!G$78</f>
        <v>276389.92325332435</v>
      </c>
      <c r="G17" s="14">
        <f>+'IR-17 Inputs'!H76*'IR-17 Inputs'!H$78</f>
        <v>218510.63308527693</v>
      </c>
      <c r="H17" s="14">
        <f>+'IR-17 Inputs'!I76*'IR-17 Inputs'!I$78</f>
        <v>160492.46648857245</v>
      </c>
    </row>
    <row r="18" spans="1:8" x14ac:dyDescent="0.25">
      <c r="A18" s="15" t="str">
        <f>+'IR-17 CTGS'!A18</f>
        <v xml:space="preserve">  Total Fixed Costs</v>
      </c>
      <c r="B18" s="28">
        <f>SUM(B14:B17)</f>
        <v>1648895.5848705706</v>
      </c>
      <c r="C18" s="28">
        <f t="shared" ref="C18:H18" si="2">SUM(C14:C17)</f>
        <v>1667314.9817497258</v>
      </c>
      <c r="D18" s="28">
        <f t="shared" si="2"/>
        <v>1928804.589915259</v>
      </c>
      <c r="E18" s="28">
        <f t="shared" si="2"/>
        <v>1869612.7288440014</v>
      </c>
      <c r="F18" s="28">
        <f t="shared" si="2"/>
        <v>1950828.7405381743</v>
      </c>
      <c r="G18" s="28">
        <f t="shared" si="2"/>
        <v>2019005.0583880486</v>
      </c>
      <c r="H18" s="28">
        <f t="shared" si="2"/>
        <v>1926441.6774052007</v>
      </c>
    </row>
    <row r="20" spans="1:8" ht="14.4" thickBot="1" x14ac:dyDescent="0.3">
      <c r="A20" s="15" t="s">
        <v>54</v>
      </c>
      <c r="B20" s="25">
        <f>+B18/B4</f>
        <v>17730.060052371726</v>
      </c>
      <c r="C20" s="25">
        <f t="shared" ref="C20:H20" si="3">+C18/C4</f>
        <v>3031.4817849995015</v>
      </c>
      <c r="D20" s="25">
        <f t="shared" si="3"/>
        <v>3506.9174362095619</v>
      </c>
      <c r="E20" s="25">
        <f t="shared" si="3"/>
        <v>3399.2958706254572</v>
      </c>
      <c r="F20" s="25">
        <f t="shared" si="3"/>
        <v>3546.9613464330441</v>
      </c>
      <c r="G20" s="25">
        <f t="shared" si="3"/>
        <v>3670.9182879782702</v>
      </c>
      <c r="H20" s="25">
        <f t="shared" si="3"/>
        <v>3502.6212316458195</v>
      </c>
    </row>
    <row r="21" spans="1:8" ht="14.4" thickTop="1" x14ac:dyDescent="0.25"/>
    <row r="22" spans="1:8" ht="14.4" thickBot="1" x14ac:dyDescent="0.3">
      <c r="A22" s="15" t="s">
        <v>56</v>
      </c>
      <c r="B22" s="37">
        <f>B18/'IR-17 Inputs'!C10</f>
        <v>41.222389621764265</v>
      </c>
      <c r="C22" s="37">
        <f>C18/'IR-17 Inputs'!D10</f>
        <v>41.682874543743146</v>
      </c>
      <c r="D22" s="37">
        <f>D18/'IR-17 Inputs'!E10</f>
        <v>48.220114747881475</v>
      </c>
      <c r="E22" s="37">
        <f>E18/'IR-17 Inputs'!F10</f>
        <v>46.740318221100033</v>
      </c>
      <c r="F22" s="37">
        <f>F18/'IR-17 Inputs'!G10</f>
        <v>48.770718513454355</v>
      </c>
      <c r="G22" s="37">
        <f>G18/'IR-17 Inputs'!H10</f>
        <v>50.475126459701215</v>
      </c>
      <c r="H22" s="37">
        <f>H18/'IR-17 Inputs'!I10</f>
        <v>48.161041935130015</v>
      </c>
    </row>
    <row r="23" spans="1:8" ht="15" thickTop="1" thickBot="1" x14ac:dyDescent="0.3">
      <c r="A23" s="15" t="s">
        <v>57</v>
      </c>
      <c r="B23" s="37">
        <f>(SUM(B14,B16))/'IR-17 Inputs'!C10</f>
        <v>8.6908271406571416</v>
      </c>
      <c r="C23" s="37">
        <f>(SUM(C14,C16))/'IR-17 Inputs'!D10</f>
        <v>10.199632600053224</v>
      </c>
      <c r="D23" s="37">
        <f>(SUM(D14,D16))/'IR-17 Inputs'!E10</f>
        <v>17.166379353949051</v>
      </c>
      <c r="E23" s="37">
        <f>(SUM(E14,E16))/'IR-17 Inputs'!F10</f>
        <v>14.898008931629059</v>
      </c>
      <c r="F23" s="37">
        <f>(SUM(F14,F16))/'IR-17 Inputs'!G10</f>
        <v>17.501835492313077</v>
      </c>
      <c r="G23" s="37">
        <f>(SUM(G14,G16))/'IR-17 Inputs'!H10</f>
        <v>20.174352721361828</v>
      </c>
      <c r="H23" s="37">
        <f>(SUM(H14,H16))/'IR-17 Inputs'!I10</f>
        <v>18.777454285796058</v>
      </c>
    </row>
    <row r="24" spans="1:8" ht="14.4" thickTop="1" x14ac:dyDescent="0.25"/>
    <row r="25" spans="1:8" ht="32.25" customHeight="1" x14ac:dyDescent="0.25">
      <c r="A25" s="42" t="s">
        <v>65</v>
      </c>
      <c r="B25" s="42"/>
      <c r="C25" s="42"/>
      <c r="D25" s="42"/>
      <c r="E25" s="42"/>
      <c r="F25" s="42"/>
      <c r="G25" s="42"/>
      <c r="H25" s="42"/>
    </row>
  </sheetData>
  <mergeCells count="1">
    <mergeCell ref="A25:H25"/>
  </mergeCells>
  <pageMargins left="0.7" right="0.7" top="0.75" bottom="0.75" header="0.3" footer="0.3"/>
  <pageSetup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IR-17 Inputs</vt:lpstr>
      <vt:lpstr>IR-17 CTGS</vt:lpstr>
      <vt:lpstr>IR-17 CT3</vt:lpstr>
      <vt:lpstr>IR-17 BGS</vt:lpstr>
      <vt:lpstr>'IR-17 BGS'!Print_Area</vt:lpstr>
    </vt:vector>
  </TitlesOfParts>
  <Company>Maritime Electric Company Ltd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Crockett, Gloria</dc:creator>
  <cp:lastModifiedBy>Victor, Mark</cp:lastModifiedBy>
  <cp:lastPrinted>2021-10-20T15:49:31Z</cp:lastPrinted>
  <dcterms:created xsi:type="dcterms:W3CDTF">2021-10-14T17:24:25Z</dcterms:created>
  <dcterms:modified xsi:type="dcterms:W3CDTF">2021-10-22T12:05:46Z</dcterms:modified>
</cp:coreProperties>
</file>