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0A64850A-589C-4BB9-9123-2A426693F8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9" l="1"/>
  <c r="L43" i="9"/>
  <c r="M43" i="9"/>
  <c r="N43" i="9"/>
  <c r="J43" i="9"/>
  <c r="F63" i="7"/>
  <c r="G63" i="7"/>
  <c r="H63" i="7"/>
  <c r="I63" i="7" s="1"/>
  <c r="J63" i="7" s="1"/>
  <c r="E63" i="7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F52" i="7" s="1"/>
  <c r="E28" i="3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K38" i="7" l="1"/>
  <c r="L38" i="7" s="1"/>
  <c r="M38" i="7" s="1"/>
  <c r="N38" i="7" s="1"/>
  <c r="I38" i="7"/>
  <c r="A24" i="9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M56" i="7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40" i="7" s="1"/>
  <c r="I45" i="7" s="1"/>
  <c r="K9" i="9" s="1"/>
  <c r="I59" i="7"/>
  <c r="F47" i="7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H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L40" i="7"/>
  <c r="L45" i="7" s="1"/>
  <c r="K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O42" i="7" l="1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W47" i="7" s="1"/>
  <c r="X47" i="7" s="1"/>
  <c r="Y47" i="7" s="1"/>
  <c r="Z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K29" i="9" s="1"/>
  <c r="AA42" i="7"/>
  <c r="AD42" i="7"/>
  <c r="L54" i="7"/>
  <c r="M52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AA49" i="7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F29" i="9"/>
  <c r="F30" i="9" s="1"/>
  <c r="F31" i="9" s="1"/>
  <c r="F32" i="9" s="1"/>
  <c r="F33" i="9" s="1"/>
  <c r="F34" i="9" s="1"/>
  <c r="F35" i="9" s="1"/>
  <c r="F36" i="9" s="1"/>
  <c r="F37" i="9" s="1"/>
  <c r="H9" i="9"/>
  <c r="H10" i="9"/>
  <c r="I7" i="9"/>
  <c r="I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M65" i="7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E8" i="2" s="1"/>
  <c r="I17" i="9"/>
  <c r="Z61" i="7"/>
  <c r="Z54" i="7"/>
  <c r="AA52" i="7" s="1"/>
  <c r="AA59" i="7" s="1"/>
  <c r="G22" i="9"/>
  <c r="H22" i="9" s="1"/>
  <c r="W65" i="7"/>
  <c r="I19" i="9" l="1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/>
  <c r="AU52" i="7" s="1"/>
  <c r="AU59" i="7" s="1"/>
  <c r="H38" i="9" l="1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I59" i="7"/>
  <c r="EH61" i="7"/>
  <c r="EG65" i="7"/>
  <c r="EJ52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L59" i="7"/>
  <c r="EK61" i="7"/>
  <c r="EJ65" i="7"/>
  <c r="EM52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C52" i="7" s="1"/>
  <c r="FB59" i="7"/>
  <c r="FA61" i="7"/>
  <c r="EZ65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Q59" i="7"/>
  <c r="FP61" i="7"/>
  <c r="FP65" i="7" s="1"/>
  <c r="FR52" i="7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/>
  <c r="J31" i="13" l="1"/>
  <c r="J30" i="13"/>
  <c r="J12" i="13" l="1"/>
  <c r="J32" i="13" l="1"/>
  <c r="J8" i="13" l="1"/>
  <c r="E9" i="6"/>
  <c r="E11" i="6" s="1"/>
  <c r="E4" i="6"/>
  <c r="J6" i="13"/>
  <c r="J9" i="13" l="1"/>
  <c r="J28" i="13"/>
  <c r="J7" i="13"/>
  <c r="J26" i="13"/>
  <c r="E7" i="6"/>
  <c r="E6" i="6"/>
  <c r="J29" i="13" l="1"/>
  <c r="J27" i="13"/>
  <c r="E24" i="2" l="1"/>
  <c r="E25" i="2"/>
  <c r="H47" i="9" l="1"/>
  <c r="H51" i="9"/>
  <c r="H59" i="9"/>
  <c r="H67" i="9"/>
  <c r="H75" i="9"/>
  <c r="H63" i="9"/>
  <c r="H49" i="9"/>
  <c r="H57" i="9"/>
  <c r="E11" i="2"/>
  <c r="H52" i="9"/>
  <c r="H60" i="9"/>
  <c r="H68" i="9"/>
  <c r="H76" i="9"/>
  <c r="H55" i="9"/>
  <c r="H72" i="9"/>
  <c r="H65" i="9"/>
  <c r="H58" i="9"/>
  <c r="H74" i="9"/>
  <c r="H82" i="9"/>
  <c r="H53" i="9"/>
  <c r="H61" i="9"/>
  <c r="H69" i="9"/>
  <c r="H77" i="9"/>
  <c r="H78" i="9"/>
  <c r="H79" i="9"/>
  <c r="H56" i="9"/>
  <c r="H80" i="9"/>
  <c r="H54" i="9"/>
  <c r="H62" i="9"/>
  <c r="H70" i="9"/>
  <c r="H71" i="9"/>
  <c r="H64" i="9"/>
  <c r="H48" i="9"/>
  <c r="H73" i="9"/>
  <c r="H66" i="9"/>
  <c r="H81" i="9"/>
  <c r="H50" i="9"/>
  <c r="E10" i="2"/>
  <c r="E26" i="2"/>
  <c r="J4" i="9" s="1"/>
  <c r="D48" i="9" l="1"/>
  <c r="I50" i="9"/>
  <c r="J50" i="9" s="1"/>
  <c r="L7" i="9" s="1"/>
  <c r="I81" i="9"/>
  <c r="J81" i="9" s="1"/>
  <c r="L38" i="9" s="1"/>
  <c r="I66" i="9"/>
  <c r="J66" i="9" s="1"/>
  <c r="L23" i="9" s="1"/>
  <c r="I73" i="9"/>
  <c r="J73" i="9" s="1"/>
  <c r="L30" i="9" s="1"/>
  <c r="I48" i="9"/>
  <c r="J48" i="9" s="1"/>
  <c r="L5" i="9" s="1"/>
  <c r="I64" i="9"/>
  <c r="J64" i="9" s="1"/>
  <c r="L21" i="9" s="1"/>
  <c r="I71" i="9"/>
  <c r="J71" i="9" s="1"/>
  <c r="L28" i="9" s="1"/>
  <c r="I70" i="9"/>
  <c r="J70" i="9" s="1"/>
  <c r="L27" i="9" s="1"/>
  <c r="I62" i="9"/>
  <c r="J62" i="9" s="1"/>
  <c r="L19" i="9" s="1"/>
  <c r="I54" i="9"/>
  <c r="J54" i="9" s="1"/>
  <c r="L11" i="9" s="1"/>
  <c r="I80" i="9"/>
  <c r="J80" i="9" s="1"/>
  <c r="L37" i="9" s="1"/>
  <c r="I56" i="9"/>
  <c r="J56" i="9" s="1"/>
  <c r="L13" i="9" s="1"/>
  <c r="I79" i="9"/>
  <c r="J79" i="9" s="1"/>
  <c r="L36" i="9" s="1"/>
  <c r="I78" i="9"/>
  <c r="J78" i="9" s="1"/>
  <c r="L35" i="9" s="1"/>
  <c r="I77" i="9"/>
  <c r="J77" i="9" s="1"/>
  <c r="L34" i="9" s="1"/>
  <c r="I69" i="9"/>
  <c r="J69" i="9" s="1"/>
  <c r="L26" i="9" s="1"/>
  <c r="I61" i="9"/>
  <c r="J61" i="9" s="1"/>
  <c r="L18" i="9" s="1"/>
  <c r="I53" i="9"/>
  <c r="J53" i="9" s="1"/>
  <c r="L10" i="9" s="1"/>
  <c r="I82" i="9"/>
  <c r="J82" i="9" s="1"/>
  <c r="L39" i="9" s="1"/>
  <c r="I74" i="9"/>
  <c r="J74" i="9" s="1"/>
  <c r="L31" i="9" s="1"/>
  <c r="I58" i="9"/>
  <c r="J58" i="9" s="1"/>
  <c r="L15" i="9" s="1"/>
  <c r="I65" i="9"/>
  <c r="J65" i="9" s="1"/>
  <c r="L22" i="9" s="1"/>
  <c r="I72" i="9"/>
  <c r="J72" i="9" s="1"/>
  <c r="L29" i="9" s="1"/>
  <c r="I55" i="9"/>
  <c r="J55" i="9" s="1"/>
  <c r="L12" i="9" s="1"/>
  <c r="I76" i="9"/>
  <c r="J76" i="9" s="1"/>
  <c r="L33" i="9" s="1"/>
  <c r="I68" i="9"/>
  <c r="J68" i="9" s="1"/>
  <c r="L25" i="9" s="1"/>
  <c r="I60" i="9"/>
  <c r="J60" i="9" s="1"/>
  <c r="L17" i="9" s="1"/>
  <c r="I52" i="9"/>
  <c r="J52" i="9" s="1"/>
  <c r="L9" i="9" s="1"/>
  <c r="I57" i="9"/>
  <c r="J57" i="9" s="1"/>
  <c r="L14" i="9" s="1"/>
  <c r="I49" i="9"/>
  <c r="J49" i="9" s="1"/>
  <c r="L6" i="9" s="1"/>
  <c r="I63" i="9"/>
  <c r="J63" i="9" s="1"/>
  <c r="L20" i="9" s="1"/>
  <c r="I75" i="9"/>
  <c r="J75" i="9" s="1"/>
  <c r="L32" i="9" s="1"/>
  <c r="I67" i="9"/>
  <c r="J67" i="9" s="1"/>
  <c r="L24" i="9" s="1"/>
  <c r="I59" i="9"/>
  <c r="J59" i="9" s="1"/>
  <c r="L16" i="9" s="1"/>
  <c r="I51" i="9"/>
  <c r="J51" i="9" s="1"/>
  <c r="L8" i="9" s="1"/>
  <c r="I47" i="9"/>
  <c r="J47" i="9" s="1"/>
  <c r="L4" i="9" s="1"/>
  <c r="E5" i="5"/>
  <c r="E22" i="3"/>
  <c r="E12" i="2"/>
  <c r="E19" i="3" s="1"/>
  <c r="E21" i="3"/>
  <c r="E6" i="5"/>
  <c r="J6" i="9"/>
  <c r="J13" i="9"/>
  <c r="J21" i="9"/>
  <c r="J29" i="9"/>
  <c r="J30" i="9"/>
  <c r="J16" i="9"/>
  <c r="M16" i="9" s="1"/>
  <c r="J32" i="9"/>
  <c r="M32" i="9" s="1"/>
  <c r="J17" i="9"/>
  <c r="J33" i="9"/>
  <c r="J10" i="9"/>
  <c r="M10" i="9" s="1"/>
  <c r="J34" i="9"/>
  <c r="J19" i="9"/>
  <c r="J5" i="9"/>
  <c r="M5" i="9" s="1"/>
  <c r="J14" i="9"/>
  <c r="J22" i="9"/>
  <c r="J36" i="9"/>
  <c r="J18" i="9"/>
  <c r="J38" i="9"/>
  <c r="M38" i="9" s="1"/>
  <c r="J35" i="9"/>
  <c r="J7" i="9"/>
  <c r="J15" i="9"/>
  <c r="M15" i="9" s="1"/>
  <c r="J23" i="9"/>
  <c r="M23" i="9" s="1"/>
  <c r="J31" i="9"/>
  <c r="J8" i="9"/>
  <c r="J24" i="9"/>
  <c r="J9" i="9"/>
  <c r="J25" i="9"/>
  <c r="M25" i="9" s="1"/>
  <c r="J37" i="9"/>
  <c r="J26" i="9"/>
  <c r="M26" i="9" s="1"/>
  <c r="J11" i="9"/>
  <c r="M11" i="9" s="1"/>
  <c r="J27" i="9"/>
  <c r="M27" i="9" s="1"/>
  <c r="J39" i="9"/>
  <c r="M39" i="9" s="1"/>
  <c r="J12" i="9"/>
  <c r="M12" i="9" s="1"/>
  <c r="J20" i="9"/>
  <c r="J28" i="9"/>
  <c r="M14" i="9" l="1"/>
  <c r="M36" i="9"/>
  <c r="M28" i="9"/>
  <c r="N28" i="9" s="1"/>
  <c r="M30" i="9"/>
  <c r="M37" i="9"/>
  <c r="M7" i="9"/>
  <c r="N7" i="9" s="1"/>
  <c r="M19" i="9"/>
  <c r="N19" i="9" s="1"/>
  <c r="M24" i="9"/>
  <c r="N24" i="9" s="1"/>
  <c r="M18" i="9"/>
  <c r="N18" i="9" s="1"/>
  <c r="M33" i="9"/>
  <c r="N33" i="9" s="1"/>
  <c r="M9" i="9"/>
  <c r="N9" i="9" s="1"/>
  <c r="M17" i="9"/>
  <c r="N17" i="9" s="1"/>
  <c r="M8" i="9"/>
  <c r="N8" i="9" s="1"/>
  <c r="M34" i="9"/>
  <c r="N34" i="9" s="1"/>
  <c r="M13" i="9"/>
  <c r="N13" i="9" s="1"/>
  <c r="M20" i="9"/>
  <c r="N20" i="9" s="1"/>
  <c r="M31" i="9"/>
  <c r="N31" i="9" s="1"/>
  <c r="M21" i="9"/>
  <c r="N21" i="9" s="1"/>
  <c r="M6" i="9"/>
  <c r="N6" i="9" s="1"/>
  <c r="M35" i="9"/>
  <c r="N35" i="9" s="1"/>
  <c r="M22" i="9"/>
  <c r="N22" i="9" s="1"/>
  <c r="M29" i="9"/>
  <c r="N29" i="9" s="1"/>
  <c r="N12" i="9"/>
  <c r="N39" i="9"/>
  <c r="N36" i="9"/>
  <c r="M4" i="9"/>
  <c r="D47" i="9"/>
  <c r="N27" i="9"/>
  <c r="N32" i="9"/>
  <c r="N11" i="9"/>
  <c r="N23" i="9"/>
  <c r="N14" i="9"/>
  <c r="N16" i="9"/>
  <c r="N26" i="9"/>
  <c r="N15" i="9"/>
  <c r="N5" i="9"/>
  <c r="N30" i="9"/>
  <c r="N37" i="9"/>
  <c r="E23" i="3"/>
  <c r="E26" i="3" s="1"/>
  <c r="E29" i="3" s="1"/>
  <c r="E31" i="3" s="1"/>
  <c r="E33" i="3" s="1"/>
  <c r="E7" i="5" s="1"/>
  <c r="E8" i="5" s="1"/>
  <c r="N25" i="9"/>
  <c r="N38" i="9"/>
  <c r="N10" i="9"/>
  <c r="D49" i="9" l="1"/>
  <c r="E15" i="5"/>
  <c r="E10" i="5"/>
  <c r="N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<sst xmlns="http://schemas.openxmlformats.org/spreadsheetml/2006/main" count="468" uniqueCount="297">
  <si>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</si>
  <si>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</si>
  <si>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</si>
  <si>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</si>
  <si>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</si>
  <si>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</si>
  <si>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</si>
  <si>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</si>
  <si>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</si>
  <si>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</si>
  <si>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</si>
  <si>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</si>
  <si>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</si>
  <si>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</si>
  <si>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</si>
  <si>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</si>
  <si>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</si>
  <si>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</si>
  <si>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</si>
  <si>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</si>
  <si>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</si>
  <si>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</si>
  <si>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</si>
  <si>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</si>
  <si>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</si>
  <si>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</si>
  <si>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</si>
  <si>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</si>
  <si>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</si>
  <si>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</si>
  <si>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</si>
  <si>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</si>
  <si>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</si>
  <si>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</si>
  <si>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</si>
  <si>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</si>
  <si>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</si>
  <si>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</si>
  <si>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</si>
  <si>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</si>
  <si>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</si>
  <si>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</si>
  <si>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</si>
  <si>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</si>
  <si>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</si>
  <si>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</si>
  <si>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</si>
  <si>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</si>
  <si>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</si>
  <si>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</si>
  <si>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</si>
  <si>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</si>
  <si>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</si>
  <si>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</si>
  <si>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</si>
  <si>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</si>
  <si>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</si>
  <si>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</si>
  <si>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</si>
  <si>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</si>
  <si>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</si>
  <si>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</si>
  <si>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</si>
  <si>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</si>
  <si>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</si>
  <si>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</si>
  <si>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</si>
  <si>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</si>
  <si>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</si>
  <si>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</si>
  <si>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</si>
  <si>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</si>
  <si>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</si>
  <si>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</si>
  <si>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</si>
  <si>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</si>
  <si>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</si>
  <si>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</si>
  <si>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</si>
  <si>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</si>
  <si>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</si>
  <si>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</si>
  <si>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</si>
  <si>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</si>
  <si>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</si>
  <si>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</si>
  <si>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</si>
  <si>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</si>
  <si>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</si>
  <si>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</si>
  <si>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</si>
  <si>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</si>
  <si>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</si>
  <si>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</si>
  <si>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</si>
  <si>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</si>
  <si>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</si>
  <si>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</si>
  <si>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</si>
  <si>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</si>
  <si>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</si>
  <si>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</si>
  <si>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</si>
  <si>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</si>
  <si>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</si>
  <si>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</si>
  <si>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</si>
  <si>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</si>
  <si>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</si>
  <si>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</si>
  <si>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</si>
  <si>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</si>
  <si>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</si>
  <si>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</si>
  <si>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</si>
  <si>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</si>
  <si>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</si>
  <si>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</si>
  <si>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</si>
  <si>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</si>
  <si>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</si>
  <si>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</si>
  <si>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</si>
  <si>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</si>
  <si>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</si>
  <si>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</si>
  <si>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</si>
  <si>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</si>
  <si>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</si>
  <si>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</si>
  <si>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</si>
  <si>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</si>
  <si>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</si>
  <si>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</si>
  <si>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</si>
  <si>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</si>
  <si>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</si>
  <si>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</si>
  <si>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</si>
  <si>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</si>
  <si>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</si>
  <si>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</si>
  <si>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</si>
  <si>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</si>
  <si>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</si>
  <si>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</si>
  <si>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</si>
  <si>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</si>
  <si>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</si>
  <si>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</si>
  <si>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</si>
  <si>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</si>
  <si>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</si>
  <si>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</si>
  <si>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</si>
  <si>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</si>
  <si>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</si>
  <si>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</si>
  <si>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</si>
  <si>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</si>
  <si>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</si>
  <si>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</si>
  <si>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</si>
  <si>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</si>
  <si>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</si>
  <si>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</si>
  <si>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</si>
  <si>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</si>
  <si>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</si>
  <si>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</si>
  <si>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</si>
  <si>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</si>
  <si>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</si>
  <si>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</si>
  <si>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</si>
  <si>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</si>
  <si>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</si>
  <si>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</si>
  <si>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</si>
  <si>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</si>
  <si>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</si>
  <si>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</si>
  <si>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</si>
  <si>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</si>
  <si>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</si>
  <si>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</si>
  <si>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</si>
  <si>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</si>
  <si>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</si>
  <si>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</si>
  <si>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</si>
  <si>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</si>
  <si>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</si>
  <si>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</si>
  <si>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</si>
  <si>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</si>
  <si>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</si>
  <si>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</si>
  <si>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</si>
  <si>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</si>
  <si>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</si>
  <si>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</si>
  <si>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</si>
  <si>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</si>
  <si>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</si>
  <si>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</si>
  <si>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</si>
  <si>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</si>
  <si>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</si>
  <si>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</si>
  <si>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</si>
  <si>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</si>
  <si>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</si>
  <si>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</si>
  <si>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</si>
  <si>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</si>
  <si>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</si>
  <si>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</si>
  <si>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</si>
  <si>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</si>
  <si>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</si>
  <si>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</si>
  <si>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</si>
  <si>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</si>
  <si>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</si>
  <si>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</si>
  <si>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</si>
  <si>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</si>
  <si>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</si>
  <si>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</si>
  <si>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</si>
  <si>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</si>
  <si>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</si>
  <si>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</si>
  <si>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</si>
  <si>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</si>
  <si>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</si>
  <si>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</si>
  <si>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</si>
  <si>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</si>
  <si>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</si>
  <si>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</si>
  <si>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</si>
  <si>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</si>
  <si>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</si>
  <si>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</si>
  <si>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</si>
  <si>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</si>
  <si>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</si>
  <si>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</si>
  <si>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</si>
  <si>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</si>
  <si>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</si>
  <si>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</si>
  <si>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</si>
  <si>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</si>
  <si>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</si>
  <si>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</si>
  <si>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</si>
  <si>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</si>
  <si>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</si>
  <si>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</si>
  <si>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</si>
  <si>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</si>
  <si>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</si>
  <si>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</si>
  <si>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</si>
  <si>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</si>
  <si>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</si>
  <si>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</si>
  <si>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</si>
  <si>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</si>
  <si>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</si>
  <si>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</si>
  <si>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</si>
  <si>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</si>
  <si>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</si>
  <si>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</si>
  <si>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</si>
  <si>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</si>
  <si>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</si>
  <si>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</si>
  <si>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</si>
  <si>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</si>
  <si>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</si>
  <si>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</si>
  <si>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</si>
  <si>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</si>
  <si>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</si>
  <si>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</si>
  <si>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</si>
  <si>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</si>
  <si>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Approved and Proposed Rates</t>
  </si>
  <si>
    <t>Composition of Total Energy Charge per kWh by Rate Class</t>
  </si>
  <si>
    <t>March 1, 2025</t>
  </si>
  <si>
    <t>May 1, 2026F</t>
  </si>
  <si>
    <t>Total Energy Charge per kWh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</si>
</sst>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2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6" fillId="0" borderId="6" xfId="0" applyFont="1" applyBorder="1"/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43" fontId="37" fillId="4" borderId="7" xfId="0" applyNumberFormat="1" applyFont="1" applyFill="1" applyBorder="1" applyAlignment="1">
      <alignment horizontal="center" wrapText="1"/>
    </xf>
    <xf numFmtId="6" fontId="39" fillId="0" borderId="15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abSelected="1" topLeftCell="A26" workbookViewId="0">
      <selection activeCell="K44" sqref="K44"/>
    </sheetView>
  </sheetViews>
  <sheetFormatPr defaultColWidth="9.109375" defaultRowHeight="13.8" x14ac:dyDescent="0.3"/>
  <cols>
    <col min="1" max="1" width="8.109375" style="1" customWidth="1"/>
    <col min="2" max="2" width="13" style="1" customWidth="1"/>
    <col min="3" max="3" width="13.33203125" style="1" customWidth="1"/>
    <col min="4" max="4" width="12.77734375" style="1" customWidth="1"/>
    <col min="5" max="5" width="12" style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2.886718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2" t="s">
        <v>164</v>
      </c>
      <c r="B2" s="242" t="s">
        <v>66</v>
      </c>
      <c r="C2" s="250" t="s">
        <v>135</v>
      </c>
      <c r="D2" s="242" t="s">
        <v>155</v>
      </c>
      <c r="E2" s="242" t="s">
        <v>195</v>
      </c>
      <c r="F2" s="183" t="s">
        <v>154</v>
      </c>
      <c r="G2" s="187" t="s">
        <v>168</v>
      </c>
      <c r="H2" s="184" t="s">
        <v>156</v>
      </c>
      <c r="I2" s="184" t="s">
        <v>284</v>
      </c>
      <c r="J2" s="185" t="s">
        <v>162</v>
      </c>
      <c r="K2" s="185" t="s">
        <v>198</v>
      </c>
      <c r="L2" s="185" t="s">
        <v>161</v>
      </c>
      <c r="M2" s="186" t="s">
        <v>157</v>
      </c>
      <c r="N2" s="185" t="s">
        <v>199</v>
      </c>
    </row>
    <row r="3" spans="1:14" hidden="1" x14ac:dyDescent="0.3">
      <c r="A3" s="188"/>
      <c r="B3" s="189"/>
      <c r="C3" s="189"/>
      <c r="D3" s="189"/>
      <c r="E3" s="189"/>
      <c r="F3" s="189"/>
      <c r="G3" s="212"/>
      <c r="H3" s="212"/>
      <c r="I3" s="193"/>
      <c r="J3" s="191"/>
      <c r="K3" s="191"/>
      <c r="L3" s="191"/>
      <c r="M3" s="192"/>
      <c r="N3" s="189"/>
    </row>
    <row r="4" spans="1:14" x14ac:dyDescent="0.3">
      <c r="A4" s="188">
        <v>1</v>
      </c>
      <c r="B4" s="290">
        <v>14755819.359999999</v>
      </c>
      <c r="C4" s="290">
        <f>-Retirements!D7</f>
        <v>-1281135.8560244311</v>
      </c>
      <c r="D4" s="290">
        <v>4522970.7300000004</v>
      </c>
      <c r="E4" s="290">
        <v>21947472</v>
      </c>
      <c r="F4" s="290">
        <f>+F3+B4+C4+D4+E4-'Annual Depreciation and CCA'!D45</f>
        <v>36511592.83872772</v>
      </c>
      <c r="G4" s="190">
        <f>(+'Annual Depreciation and CCA'!D65)*-1</f>
        <v>-1689818.6865687673</v>
      </c>
      <c r="H4" s="212">
        <f>ROUND(+F4+G4,-3)</f>
        <v>34822000</v>
      </c>
      <c r="I4" s="193">
        <f>+H4/('Rate Base &amp; Cost Capital'!E$28)</f>
        <v>5.8337841216813645E-2</v>
      </c>
      <c r="J4" s="291">
        <f>ROUND((+H4+H3)*'Rate Base &amp; Cost Capital'!E$26,0)</f>
        <v>2430528</v>
      </c>
      <c r="K4" s="291">
        <f>ROUND('Annual Depreciation and CCA'!D45,0)</f>
        <v>3433533</v>
      </c>
      <c r="L4" s="291">
        <f t="shared" ref="L4:L39" si="0">ROUND(+J47*0.3,0)</f>
        <v>620546</v>
      </c>
      <c r="M4" s="192">
        <f>ROUND(+J4+K4+L4,-3)</f>
        <v>6485000</v>
      </c>
      <c r="N4" s="290">
        <f t="shared" ref="N4:N35" si="1">ROUND(+M4*1,-3)</f>
        <v>6485000</v>
      </c>
    </row>
    <row r="5" spans="1:14" x14ac:dyDescent="0.3">
      <c r="A5" s="188">
        <f t="shared" ref="A5:A39" si="2">+A4+1</f>
        <v>2</v>
      </c>
      <c r="B5" s="189">
        <v>0</v>
      </c>
      <c r="C5" s="189"/>
      <c r="D5" s="189">
        <f>ROUND(B5/(1-17%)*17%,-3)</f>
        <v>0</v>
      </c>
      <c r="E5" s="189"/>
      <c r="F5" s="189">
        <f>+F4-'Annual Depreciation and CCA'!E45</f>
        <v>31614894.643479876</v>
      </c>
      <c r="G5" s="190">
        <f>(+'Annual Depreciation and CCA'!E65)*-1</f>
        <v>-1852990.1241429646</v>
      </c>
      <c r="H5" s="212">
        <f>ROUND(+F5+G5,-3)</f>
        <v>29762000</v>
      </c>
      <c r="I5" s="193">
        <f>+H5/('Rate Base &amp; Cost Capital'!E$28)</f>
        <v>4.986074407830704E-2</v>
      </c>
      <c r="J5" s="191">
        <f>ROUND((+H5+H4)/2*'Rate Base &amp; Cost Capital'!E$26,0)</f>
        <v>2253938</v>
      </c>
      <c r="K5" s="191">
        <f>ROUND('Annual Depreciation and CCA'!E45,0)</f>
        <v>4896698</v>
      </c>
      <c r="L5" s="191">
        <f t="shared" si="0"/>
        <v>575460</v>
      </c>
      <c r="M5" s="192">
        <f t="shared" ref="M5:M35" si="3">ROUND(+J5+K5+L5,-3)</f>
        <v>7726000</v>
      </c>
      <c r="N5" s="189">
        <f t="shared" si="1"/>
        <v>7726000</v>
      </c>
    </row>
    <row r="6" spans="1:14" x14ac:dyDescent="0.3">
      <c r="A6" s="188">
        <f t="shared" si="2"/>
        <v>3</v>
      </c>
      <c r="B6" s="189">
        <v>0</v>
      </c>
      <c r="C6" s="189"/>
      <c r="D6" s="189">
        <f>ROUND(B6/(1-17%)*17%,-3)</f>
        <v>0</v>
      </c>
      <c r="E6" s="189"/>
      <c r="F6" s="189">
        <f>+F5-'Annual Depreciation and CCA'!F45</f>
        <v>26718196.448232032</v>
      </c>
      <c r="G6" s="190">
        <f>(+'Annual Depreciation and CCA'!F65)*-1</f>
        <v>-1990934.9556252777</v>
      </c>
      <c r="H6" s="212">
        <f t="shared" ref="H6:H39" si="4">ROUND(+F6+G6,-3)</f>
        <v>24727000</v>
      </c>
      <c r="I6" s="193">
        <f>+H6/('Rate Base &amp; Cost Capital'!E$28)</f>
        <v>4.1425529830800958E-2</v>
      </c>
      <c r="J6" s="191">
        <f>ROUND((+H6+H5)/2*'Rate Base &amp; Cost Capital'!E$26,0)</f>
        <v>1901629</v>
      </c>
      <c r="K6" s="191">
        <f>ROUND('Annual Depreciation and CCA'!F45,0)</f>
        <v>4896698</v>
      </c>
      <c r="L6" s="191">
        <f t="shared" si="0"/>
        <v>485511</v>
      </c>
      <c r="M6" s="192">
        <f t="shared" si="3"/>
        <v>7284000</v>
      </c>
      <c r="N6" s="189">
        <f t="shared" si="1"/>
        <v>7284000</v>
      </c>
    </row>
    <row r="7" spans="1:14" x14ac:dyDescent="0.3">
      <c r="A7" s="188">
        <f t="shared" si="2"/>
        <v>4</v>
      </c>
      <c r="B7" s="189">
        <v>0</v>
      </c>
      <c r="C7" s="189"/>
      <c r="D7" s="189">
        <f>ROUND(B7/(1-17%)*17%,-3)</f>
        <v>0</v>
      </c>
      <c r="E7" s="189"/>
      <c r="F7" s="189">
        <f>+F6-'Annual Depreciation and CCA'!G45</f>
        <v>21821498.252984188</v>
      </c>
      <c r="G7" s="190">
        <f>(+'Annual Depreciation and CCA'!G65)*-1</f>
        <v>-2074924.0489584713</v>
      </c>
      <c r="H7" s="212">
        <f t="shared" si="4"/>
        <v>19747000</v>
      </c>
      <c r="I7" s="193">
        <f>+H7/('Rate Base &amp; Cost Capital'!E$28)</f>
        <v>3.3082457943496041E-2</v>
      </c>
      <c r="J7" s="191">
        <f>ROUND((+H7+H6)/2*'Rate Base &amp; Cost Capital'!E$26,0)</f>
        <v>1552113</v>
      </c>
      <c r="K7" s="191">
        <f>ROUND('Annual Depreciation and CCA'!G45,0)</f>
        <v>4896698</v>
      </c>
      <c r="L7" s="191">
        <f t="shared" si="0"/>
        <v>396275</v>
      </c>
      <c r="M7" s="192">
        <f t="shared" si="3"/>
        <v>6845000</v>
      </c>
      <c r="N7" s="189">
        <f t="shared" si="1"/>
        <v>6845000</v>
      </c>
    </row>
    <row r="8" spans="1:14" x14ac:dyDescent="0.3">
      <c r="A8" s="188">
        <f t="shared" si="2"/>
        <v>5</v>
      </c>
      <c r="B8" s="189">
        <v>0</v>
      </c>
      <c r="C8" s="189"/>
      <c r="D8" s="189">
        <f>ROUND(B8/(1-17%)*17%,-3)</f>
        <v>0</v>
      </c>
      <c r="E8" s="189"/>
      <c r="F8" s="189">
        <f>+F7-'Annual Depreciation and CCA'!H45</f>
        <v>16924800.057736345</v>
      </c>
      <c r="G8" s="190">
        <f>(+'Annual Depreciation and CCA'!H65)*-1</f>
        <v>-2140021.1237390609</v>
      </c>
      <c r="H8" s="212">
        <f t="shared" si="4"/>
        <v>14785000</v>
      </c>
      <c r="I8" s="193">
        <f>+H8/('Rate Base &amp; Cost Capital'!E$28)</f>
        <v>2.4769541737711499E-2</v>
      </c>
      <c r="J8" s="191">
        <f>ROUND((+H8+H7)/2*'Rate Base &amp; Cost Capital'!E$26,0)</f>
        <v>1205143</v>
      </c>
      <c r="K8" s="191">
        <f>ROUND('Annual Depreciation and CCA'!H45,0)</f>
        <v>4896698</v>
      </c>
      <c r="L8" s="191">
        <f t="shared" si="0"/>
        <v>307689</v>
      </c>
      <c r="M8" s="192">
        <f t="shared" si="3"/>
        <v>6410000</v>
      </c>
      <c r="N8" s="189">
        <f t="shared" si="1"/>
        <v>6410000</v>
      </c>
    </row>
    <row r="9" spans="1:14" x14ac:dyDescent="0.3">
      <c r="A9" s="188">
        <f t="shared" si="2"/>
        <v>6</v>
      </c>
      <c r="B9" s="189">
        <v>0</v>
      </c>
      <c r="C9" s="189"/>
      <c r="D9" s="189">
        <f t="shared" ref="D9:D35" si="5">ROUND(B9/(1-17%)*17%,-3)</f>
        <v>0</v>
      </c>
      <c r="E9" s="189"/>
      <c r="F9" s="189">
        <f>+F8-'Annual Depreciation and CCA'!I45</f>
        <v>14954431.4624885</v>
      </c>
      <c r="G9" s="190">
        <f>(+'Annual Depreciation and CCA'!I65)*-1</f>
        <v>-2187737.5414512553</v>
      </c>
      <c r="H9" s="212">
        <f t="shared" si="4"/>
        <v>12767000</v>
      </c>
      <c r="I9" s="193">
        <f>+H9/('Rate Base &amp; Cost Capital'!E$28)</f>
        <v>2.1388754776148981E-2</v>
      </c>
      <c r="J9" s="191">
        <f>ROUND((+H9+H8)/2*'Rate Base &amp; Cost Capital'!E$26,0)</f>
        <v>961546</v>
      </c>
      <c r="K9" s="191">
        <f>ROUND('Annual Depreciation and CCA'!I45,0)</f>
        <v>1970369</v>
      </c>
      <c r="L9" s="191">
        <f t="shared" si="0"/>
        <v>245496</v>
      </c>
      <c r="M9" s="192">
        <f t="shared" si="3"/>
        <v>3177000</v>
      </c>
      <c r="N9" s="189">
        <f t="shared" si="1"/>
        <v>3177000</v>
      </c>
    </row>
    <row r="10" spans="1:14" x14ac:dyDescent="0.3">
      <c r="A10" s="188">
        <f t="shared" si="2"/>
        <v>7</v>
      </c>
      <c r="B10" s="189">
        <v>0</v>
      </c>
      <c r="C10" s="189"/>
      <c r="D10" s="189">
        <f t="shared" si="5"/>
        <v>0</v>
      </c>
      <c r="E10" s="189"/>
      <c r="F10" s="189">
        <f>+F9-'Annual Depreciation and CCA'!J45</f>
        <v>14447227.667240657</v>
      </c>
      <c r="G10" s="190">
        <f>(+'Annual Depreciation and CCA'!J65)*-1</f>
        <v>-2219463.7546605263</v>
      </c>
      <c r="H10" s="212">
        <f t="shared" si="4"/>
        <v>12228000</v>
      </c>
      <c r="I10" s="193">
        <f>+H10/('Rate Base &amp; Cost Capital'!E$28)</f>
        <v>2.0485759646177625E-2</v>
      </c>
      <c r="J10" s="191">
        <f>ROUND((+H10+H9)/2*'Rate Base &amp; Cost Capital'!E$26,0)</f>
        <v>872309</v>
      </c>
      <c r="K10" s="191">
        <f>ROUND('Annual Depreciation and CCA'!J45,0)</f>
        <v>507204</v>
      </c>
      <c r="L10" s="191">
        <f t="shared" si="0"/>
        <v>222712</v>
      </c>
      <c r="M10" s="192">
        <f t="shared" si="3"/>
        <v>1602000</v>
      </c>
      <c r="N10" s="189">
        <f t="shared" si="1"/>
        <v>1602000</v>
      </c>
    </row>
    <row r="11" spans="1:14" x14ac:dyDescent="0.3">
      <c r="A11" s="188">
        <f t="shared" si="2"/>
        <v>8</v>
      </c>
      <c r="B11" s="189">
        <v>0</v>
      </c>
      <c r="C11" s="189"/>
      <c r="D11" s="189">
        <f t="shared" si="5"/>
        <v>0</v>
      </c>
      <c r="E11" s="189"/>
      <c r="F11" s="189">
        <f>+F10-'Annual Depreciation and CCA'!K45</f>
        <v>13940023.871992813</v>
      </c>
      <c r="G11" s="194">
        <f>-'Annual Depreciation and CCA'!K65</f>
        <v>-2236478.9797271066</v>
      </c>
      <c r="H11" s="212">
        <f t="shared" si="4"/>
        <v>11704000</v>
      </c>
      <c r="I11" s="193">
        <f>+H11/('Rate Base &amp; Cost Capital'!E$28)</f>
        <v>1.9607894250806585E-2</v>
      </c>
      <c r="J11" s="191">
        <f>ROUND((+H11+H10)/2*'Rate Base &amp; Cost Capital'!E$26,0)</f>
        <v>835211</v>
      </c>
      <c r="K11" s="191">
        <f>ROUND('Annual Depreciation and CCA'!K45,0)</f>
        <v>507204</v>
      </c>
      <c r="L11" s="191">
        <f t="shared" si="0"/>
        <v>213240</v>
      </c>
      <c r="M11" s="192">
        <f t="shared" si="3"/>
        <v>1556000</v>
      </c>
      <c r="N11" s="189">
        <f t="shared" si="1"/>
        <v>1556000</v>
      </c>
    </row>
    <row r="12" spans="1:14" x14ac:dyDescent="0.3">
      <c r="A12" s="188">
        <f t="shared" si="2"/>
        <v>9</v>
      </c>
      <c r="B12" s="189">
        <v>0</v>
      </c>
      <c r="C12" s="189"/>
      <c r="D12" s="189">
        <f t="shared" si="5"/>
        <v>0</v>
      </c>
      <c r="E12" s="189"/>
      <c r="F12" s="189">
        <f>+F11-'Annual Depreciation and CCA'!L45</f>
        <v>13432820.07674497</v>
      </c>
      <c r="G12" s="194">
        <f>-'Annual Depreciation and CCA'!L65</f>
        <v>-2239960.0957024125</v>
      </c>
      <c r="H12" s="212">
        <f t="shared" si="4"/>
        <v>11193000</v>
      </c>
      <c r="I12" s="193">
        <f>+H12/('Rate Base &amp; Cost Capital'!E$28)</f>
        <v>1.875180795875582E-2</v>
      </c>
      <c r="J12" s="191">
        <f>ROUND((+H12+H11)/2*'Rate Base &amp; Cost Capital'!E$26,0)</f>
        <v>799090</v>
      </c>
      <c r="K12" s="191">
        <f>ROUND('Annual Depreciation and CCA'!L45,0)</f>
        <v>507204</v>
      </c>
      <c r="L12" s="191">
        <f t="shared" si="0"/>
        <v>204018</v>
      </c>
      <c r="M12" s="192">
        <f t="shared" si="3"/>
        <v>1510000</v>
      </c>
      <c r="N12" s="189">
        <f t="shared" si="1"/>
        <v>1510000</v>
      </c>
    </row>
    <row r="13" spans="1:14" x14ac:dyDescent="0.3">
      <c r="A13" s="188">
        <f t="shared" si="2"/>
        <v>10</v>
      </c>
      <c r="B13" s="189">
        <v>0</v>
      </c>
      <c r="C13" s="189"/>
      <c r="D13" s="189">
        <f t="shared" si="5"/>
        <v>0</v>
      </c>
      <c r="E13" s="189"/>
      <c r="F13" s="189">
        <f>+F12-'Annual Depreciation and CCA'!M45</f>
        <v>12925616.281497126</v>
      </c>
      <c r="G13" s="194">
        <f>-'Annual Depreciation and CCA'!M65</f>
        <v>-2230989.8313137461</v>
      </c>
      <c r="H13" s="212">
        <f t="shared" si="4"/>
        <v>10695000</v>
      </c>
      <c r="I13" s="193">
        <f>+H13/('Rate Base &amp; Cost Capital'!E$28)</f>
        <v>1.7917500770025328E-2</v>
      </c>
      <c r="J13" s="191">
        <f>ROUND((+H13+H12)/2*'Rate Base &amp; Cost Capital'!E$26,0)</f>
        <v>763876</v>
      </c>
      <c r="K13" s="191">
        <f>ROUND('Annual Depreciation and CCA'!M45,0)</f>
        <v>507204</v>
      </c>
      <c r="L13" s="191">
        <f t="shared" si="0"/>
        <v>195028</v>
      </c>
      <c r="M13" s="192">
        <f t="shared" si="3"/>
        <v>1466000</v>
      </c>
      <c r="N13" s="189">
        <f t="shared" si="1"/>
        <v>1466000</v>
      </c>
    </row>
    <row r="14" spans="1:14" x14ac:dyDescent="0.3">
      <c r="A14" s="188">
        <f t="shared" si="2"/>
        <v>11</v>
      </c>
      <c r="B14" s="189">
        <v>0</v>
      </c>
      <c r="C14" s="189"/>
      <c r="D14" s="189">
        <f t="shared" si="5"/>
        <v>0</v>
      </c>
      <c r="E14" s="189"/>
      <c r="F14" s="189">
        <f>+F13-'Annual Depreciation and CCA'!N$45</f>
        <v>12418412.486249283</v>
      </c>
      <c r="G14" s="194">
        <f>-'Annual Depreciation and CCA'!N65</f>
        <v>-2210564.2969902242</v>
      </c>
      <c r="H14" s="212">
        <f t="shared" si="4"/>
        <v>10208000</v>
      </c>
      <c r="I14" s="193">
        <f>+H14/('Rate Base &amp; Cost Capital'!E$28)</f>
        <v>1.7101622053335066E-2</v>
      </c>
      <c r="J14" s="191">
        <f>ROUND((+H14+H13)/2*'Rate Base &amp; Cost Capital'!E$26,0)</f>
        <v>729501</v>
      </c>
      <c r="K14" s="191">
        <f>ROUND('Annual Depreciation and CCA'!N45,0)</f>
        <v>507204</v>
      </c>
      <c r="L14" s="191">
        <f t="shared" si="0"/>
        <v>186251</v>
      </c>
      <c r="M14" s="192">
        <f t="shared" si="3"/>
        <v>1423000</v>
      </c>
      <c r="N14" s="189">
        <f t="shared" si="1"/>
        <v>1423000</v>
      </c>
    </row>
    <row r="15" spans="1:14" x14ac:dyDescent="0.3">
      <c r="A15" s="188">
        <f t="shared" si="2"/>
        <v>12</v>
      </c>
      <c r="B15" s="189">
        <v>0</v>
      </c>
      <c r="C15" s="189"/>
      <c r="D15" s="189">
        <f t="shared" si="5"/>
        <v>0</v>
      </c>
      <c r="E15" s="189"/>
      <c r="F15" s="189">
        <f>+F14-'Annual Depreciation and CCA'!O$45</f>
        <v>11911208.691001439</v>
      </c>
      <c r="G15" s="194">
        <f>-'Annual Depreciation and CCA'!O65</f>
        <v>-2179599.9143266361</v>
      </c>
      <c r="H15" s="212">
        <f t="shared" si="4"/>
        <v>9732000</v>
      </c>
      <c r="I15" s="193">
        <f>+H15/('Rate Base &amp; Cost Capital'!E$28)</f>
        <v>1.6304171808685038E-2</v>
      </c>
      <c r="J15" s="191">
        <f>ROUND((+H15+H14)/2*'Rate Base &amp; Cost Capital'!E$26,0)</f>
        <v>695893</v>
      </c>
      <c r="K15" s="191">
        <f>ROUND('Annual Depreciation and CCA'!O45,0)</f>
        <v>507204</v>
      </c>
      <c r="L15" s="191">
        <f t="shared" si="0"/>
        <v>177671</v>
      </c>
      <c r="M15" s="192">
        <f t="shared" si="3"/>
        <v>1381000</v>
      </c>
      <c r="N15" s="189">
        <f t="shared" si="1"/>
        <v>1381000</v>
      </c>
    </row>
    <row r="16" spans="1:14" x14ac:dyDescent="0.3">
      <c r="A16" s="188">
        <f t="shared" si="2"/>
        <v>13</v>
      </c>
      <c r="B16" s="189">
        <v>0</v>
      </c>
      <c r="C16" s="189"/>
      <c r="D16" s="189">
        <f t="shared" si="5"/>
        <v>0</v>
      </c>
      <c r="E16" s="189"/>
      <c r="F16" s="189">
        <f>+F15-'Annual Depreciation and CCA'!P$45</f>
        <v>11404004.895753596</v>
      </c>
      <c r="G16" s="194">
        <f>-'Annual Depreciation and CCA'!P65</f>
        <v>-2138939.7911901865</v>
      </c>
      <c r="H16" s="212">
        <f t="shared" si="4"/>
        <v>9265000</v>
      </c>
      <c r="I16" s="193">
        <f>+H16/('Rate Base &amp; Cost Capital'!E$28)</f>
        <v>1.55217994047952E-2</v>
      </c>
      <c r="J16" s="191">
        <f>ROUND((+H16+H15)/2*'Rate Base &amp; Cost Capital'!E$26,0)</f>
        <v>662982</v>
      </c>
      <c r="K16" s="191">
        <f>ROUND('Annual Depreciation and CCA'!P45,0)</f>
        <v>507204</v>
      </c>
      <c r="L16" s="191">
        <f t="shared" si="0"/>
        <v>169268</v>
      </c>
      <c r="M16" s="192">
        <f t="shared" si="3"/>
        <v>1339000</v>
      </c>
      <c r="N16" s="189">
        <f t="shared" si="1"/>
        <v>1339000</v>
      </c>
    </row>
    <row r="17" spans="1:14" x14ac:dyDescent="0.3">
      <c r="A17" s="188">
        <f t="shared" si="2"/>
        <v>14</v>
      </c>
      <c r="B17" s="189">
        <v>0</v>
      </c>
      <c r="C17" s="189"/>
      <c r="D17" s="189">
        <f t="shared" si="5"/>
        <v>0</v>
      </c>
      <c r="E17" s="189"/>
      <c r="F17" s="189">
        <f>+F16-'Annual Depreciation and CCA'!Q$45</f>
        <v>10896801.100505752</v>
      </c>
      <c r="G17" s="194">
        <f>-'Annual Depreciation and CCA'!Q65</f>
        <v>-2089359.5868187048</v>
      </c>
      <c r="H17" s="212">
        <f t="shared" si="4"/>
        <v>8807000</v>
      </c>
      <c r="I17" s="193">
        <f>+H17/('Rate Base &amp; Cost Capital'!E$28)</f>
        <v>1.475450484166555E-2</v>
      </c>
      <c r="J17" s="191">
        <f>ROUND((+H17+H16)/2*'Rate Base &amp; Cost Capital'!E$26,0)</f>
        <v>630701</v>
      </c>
      <c r="K17" s="191">
        <f>ROUND('Annual Depreciation and CCA'!Q45,0)</f>
        <v>507204</v>
      </c>
      <c r="L17" s="191">
        <f t="shared" si="0"/>
        <v>161026</v>
      </c>
      <c r="M17" s="192">
        <f t="shared" si="3"/>
        <v>1299000</v>
      </c>
      <c r="N17" s="189">
        <f t="shared" si="1"/>
        <v>1299000</v>
      </c>
    </row>
    <row r="18" spans="1:14" x14ac:dyDescent="0.3">
      <c r="A18" s="188">
        <f t="shared" si="2"/>
        <v>15</v>
      </c>
      <c r="B18" s="189">
        <v>0</v>
      </c>
      <c r="C18" s="189"/>
      <c r="D18" s="189">
        <f t="shared" si="5"/>
        <v>0</v>
      </c>
      <c r="E18" s="189"/>
      <c r="F18" s="189">
        <f>+F17-'Annual Depreciation and CCA'!R$45</f>
        <v>10389597.305257909</v>
      </c>
      <c r="G18" s="194">
        <f>-'Annual Depreciation and CCA'!R65</f>
        <v>-2031572.9077109932</v>
      </c>
      <c r="H18" s="212">
        <f t="shared" si="4"/>
        <v>8358000</v>
      </c>
      <c r="I18" s="193">
        <f>+H18/('Rate Base &amp; Cost Capital'!E$28)</f>
        <v>1.400228811929609E-2</v>
      </c>
      <c r="J18" s="191">
        <f>ROUND((+H18+H17)/2*'Rate Base &amp; Cost Capital'!E$26,0)</f>
        <v>599047</v>
      </c>
      <c r="K18" s="191">
        <f>ROUND('Annual Depreciation and CCA'!R45,0)</f>
        <v>507204</v>
      </c>
      <c r="L18" s="191">
        <f t="shared" si="0"/>
        <v>152945</v>
      </c>
      <c r="M18" s="192">
        <f t="shared" si="3"/>
        <v>1259000</v>
      </c>
      <c r="N18" s="189">
        <f t="shared" si="1"/>
        <v>1259000</v>
      </c>
    </row>
    <row r="19" spans="1:14" x14ac:dyDescent="0.3">
      <c r="A19" s="188">
        <f t="shared" si="2"/>
        <v>16</v>
      </c>
      <c r="B19" s="189">
        <v>0</v>
      </c>
      <c r="C19" s="189"/>
      <c r="D19" s="189">
        <f t="shared" si="5"/>
        <v>0</v>
      </c>
      <c r="E19" s="189"/>
      <c r="F19" s="189">
        <f>+F18-'Annual Depreciation and CCA'!S$45</f>
        <v>9882393.5100100655</v>
      </c>
      <c r="G19" s="194">
        <f>-'Annual Depreciation and CCA'!S65</f>
        <v>-1966236.2718459505</v>
      </c>
      <c r="H19" s="212">
        <f t="shared" si="4"/>
        <v>7916000</v>
      </c>
      <c r="I19" s="193">
        <f>+H19/('Rate Base &amp; Cost Capital'!E$28)</f>
        <v>1.3261798606406779E-2</v>
      </c>
      <c r="J19" s="191">
        <f>ROUND((+H19+H18)/2*'Rate Base &amp; Cost Capital'!E$26,0)</f>
        <v>567952</v>
      </c>
      <c r="K19" s="191">
        <f>ROUND('Annual Depreciation and CCA'!S45,0)</f>
        <v>507204</v>
      </c>
      <c r="L19" s="191">
        <f t="shared" si="0"/>
        <v>145006</v>
      </c>
      <c r="M19" s="192">
        <f t="shared" si="3"/>
        <v>1220000</v>
      </c>
      <c r="N19" s="189">
        <f t="shared" si="1"/>
        <v>1220000</v>
      </c>
    </row>
    <row r="20" spans="1:14" x14ac:dyDescent="0.3">
      <c r="A20" s="188">
        <f t="shared" si="2"/>
        <v>17</v>
      </c>
      <c r="B20" s="189">
        <v>0</v>
      </c>
      <c r="C20" s="189"/>
      <c r="D20" s="189">
        <f t="shared" si="5"/>
        <v>0</v>
      </c>
      <c r="E20" s="189"/>
      <c r="F20" s="189">
        <f>+F19-'Annual Depreciation and CCA'!T$45</f>
        <v>9375189.714762222</v>
      </c>
      <c r="G20" s="194">
        <f>-'Annual Depreciation and CCA'!T65</f>
        <v>-1893953.6757641628</v>
      </c>
      <c r="H20" s="212">
        <f t="shared" si="4"/>
        <v>7481000</v>
      </c>
      <c r="I20" s="193">
        <f>+H20/('Rate Base &amp; Cost Capital'!E$28)</f>
        <v>1.2533036302997614E-2</v>
      </c>
      <c r="J20" s="191">
        <f>ROUND((+H20+H19)/2*'Rate Base &amp; Cost Capital'!E$26,0)</f>
        <v>537345</v>
      </c>
      <c r="K20" s="191">
        <f>ROUND('Annual Depreciation and CCA'!T45,0)</f>
        <v>507204</v>
      </c>
      <c r="L20" s="191">
        <f t="shared" si="0"/>
        <v>137191</v>
      </c>
      <c r="M20" s="192">
        <f t="shared" si="3"/>
        <v>1182000</v>
      </c>
      <c r="N20" s="189">
        <f t="shared" si="1"/>
        <v>1182000</v>
      </c>
    </row>
    <row r="21" spans="1:14" x14ac:dyDescent="0.3">
      <c r="A21" s="188">
        <f t="shared" si="2"/>
        <v>18</v>
      </c>
      <c r="B21" s="189">
        <v>0</v>
      </c>
      <c r="C21" s="189"/>
      <c r="D21" s="189">
        <f t="shared" si="5"/>
        <v>0</v>
      </c>
      <c r="E21" s="189"/>
      <c r="F21" s="189">
        <f>+F20-'Annual Depreciation and CCA'!U$45</f>
        <v>8867985.9195143785</v>
      </c>
      <c r="G21" s="194">
        <f>-'Annual Depreciation and CCA'!U65</f>
        <v>-1815280.7962829701</v>
      </c>
      <c r="H21" s="212">
        <f t="shared" si="4"/>
        <v>7053000</v>
      </c>
      <c r="I21" s="193">
        <f>+H21/('Rate Base &amp; Cost Capital'!E$28)</f>
        <v>1.1816001209068595E-2</v>
      </c>
      <c r="J21" s="191">
        <f>ROUND((+H21+H20)/2*'Rate Base &amp; Cost Capital'!E$26,0)</f>
        <v>507227</v>
      </c>
      <c r="K21" s="191">
        <f>ROUND('Annual Depreciation and CCA'!U45,0)</f>
        <v>507204</v>
      </c>
      <c r="L21" s="191">
        <f t="shared" si="0"/>
        <v>129502</v>
      </c>
      <c r="M21" s="192">
        <f t="shared" si="3"/>
        <v>1144000</v>
      </c>
      <c r="N21" s="189">
        <f t="shared" si="1"/>
        <v>1144000</v>
      </c>
    </row>
    <row r="22" spans="1:14" x14ac:dyDescent="0.3">
      <c r="A22" s="188">
        <f t="shared" si="2"/>
        <v>19</v>
      </c>
      <c r="B22" s="189">
        <v>0</v>
      </c>
      <c r="C22" s="189"/>
      <c r="D22" s="189">
        <f t="shared" si="5"/>
        <v>0</v>
      </c>
      <c r="E22" s="189"/>
      <c r="F22" s="189">
        <f>+F21-'Annual Depreciation and CCA'!V$45</f>
        <v>8360782.124266535</v>
      </c>
      <c r="G22" s="194">
        <f>-'Annual Depreciation and CCA'!V65</f>
        <v>-1730728.8560743246</v>
      </c>
      <c r="H22" s="212">
        <f t="shared" si="4"/>
        <v>6630000</v>
      </c>
      <c r="I22" s="193">
        <f>+H22/('Rate Base &amp; Cost Capital'!E$28)</f>
        <v>1.1107342693339683E-2</v>
      </c>
      <c r="J22" s="191">
        <f>ROUND((+H22+H21)/2*'Rate Base &amp; Cost Capital'!E$26,0)</f>
        <v>477527</v>
      </c>
      <c r="K22" s="191">
        <f>ROUND('Annual Depreciation and CCA'!V45,0)</f>
        <v>507204</v>
      </c>
      <c r="L22" s="191">
        <f t="shared" si="0"/>
        <v>121919</v>
      </c>
      <c r="M22" s="192">
        <f t="shared" si="3"/>
        <v>1107000</v>
      </c>
      <c r="N22" s="189">
        <f t="shared" si="1"/>
        <v>1107000</v>
      </c>
    </row>
    <row r="23" spans="1:14" x14ac:dyDescent="0.3">
      <c r="A23" s="188">
        <f t="shared" si="2"/>
        <v>20</v>
      </c>
      <c r="B23" s="189">
        <v>0</v>
      </c>
      <c r="C23" s="189"/>
      <c r="D23" s="189">
        <f t="shared" si="5"/>
        <v>0</v>
      </c>
      <c r="E23" s="189"/>
      <c r="F23" s="189">
        <f>+F22-'Annual Depreciation and CCA'!W$45</f>
        <v>7853578.3290186916</v>
      </c>
      <c r="G23" s="194">
        <f>-'Annual Depreciation and CCA'!W65</f>
        <v>-1640768.1799964223</v>
      </c>
      <c r="H23" s="212">
        <f t="shared" si="4"/>
        <v>6213000</v>
      </c>
      <c r="I23" s="193">
        <f>+H23/('Rate Base &amp; Cost Capital'!E$28)</f>
        <v>1.0408736071450899E-2</v>
      </c>
      <c r="J23" s="191">
        <f>ROUND((+H23+H22)/2*'Rate Base &amp; Cost Capital'!E$26,0)</f>
        <v>448212</v>
      </c>
      <c r="K23" s="191">
        <f>ROUND('Annual Depreciation and CCA'!W45,0)</f>
        <v>507204</v>
      </c>
      <c r="L23" s="191">
        <f t="shared" si="0"/>
        <v>114435</v>
      </c>
      <c r="M23" s="192">
        <f t="shared" si="3"/>
        <v>1070000</v>
      </c>
      <c r="N23" s="189">
        <f t="shared" si="1"/>
        <v>1070000</v>
      </c>
    </row>
    <row r="24" spans="1:14" x14ac:dyDescent="0.3">
      <c r="A24" s="188">
        <f t="shared" si="2"/>
        <v>21</v>
      </c>
      <c r="B24" s="189">
        <v>0</v>
      </c>
      <c r="C24" s="189"/>
      <c r="D24" s="189">
        <f t="shared" si="5"/>
        <v>0</v>
      </c>
      <c r="E24" s="189"/>
      <c r="F24" s="189">
        <f>+F23-'Annual Depreciation and CCA'!X$45</f>
        <v>7346374.5337708481</v>
      </c>
      <c r="G24" s="194">
        <f>-'Annual Depreciation and CCA'!X65</f>
        <v>-1545831.466918804</v>
      </c>
      <c r="H24" s="212">
        <f t="shared" si="4"/>
        <v>5801000</v>
      </c>
      <c r="I24" s="193">
        <f>+H24/('Rate Base &amp; Cost Capital'!E$28)</f>
        <v>9.7185060277622179E-3</v>
      </c>
      <c r="J24" s="191">
        <f>ROUND((+H24+H23)/2*'Rate Base &amp; Cost Capital'!E$26,0)</f>
        <v>419280</v>
      </c>
      <c r="K24" s="191">
        <f>ROUND('Annual Depreciation and CCA'!X45,0)</f>
        <v>507204</v>
      </c>
      <c r="L24" s="191">
        <f t="shared" si="0"/>
        <v>107048</v>
      </c>
      <c r="M24" s="192">
        <f t="shared" si="3"/>
        <v>1034000</v>
      </c>
      <c r="N24" s="189">
        <f t="shared" si="1"/>
        <v>1034000</v>
      </c>
    </row>
    <row r="25" spans="1:14" x14ac:dyDescent="0.3">
      <c r="A25" s="188">
        <f t="shared" si="2"/>
        <v>22</v>
      </c>
      <c r="B25" s="189">
        <v>0</v>
      </c>
      <c r="C25" s="189"/>
      <c r="D25" s="189">
        <f t="shared" si="5"/>
        <v>0</v>
      </c>
      <c r="E25" s="189"/>
      <c r="F25" s="189">
        <f>+F24-'Annual Depreciation and CCA'!Y$45</f>
        <v>6839170.7385230046</v>
      </c>
      <c r="G25" s="194">
        <f>-'Annual Depreciation and CCA'!Y65</f>
        <v>-1446316.7998014467</v>
      </c>
      <c r="H25" s="212">
        <f t="shared" si="4"/>
        <v>5393000</v>
      </c>
      <c r="I25" s="193">
        <f>+H25/('Rate Base &amp; Cost Capital'!E$28)</f>
        <v>9.0349772466336228E-3</v>
      </c>
      <c r="J25" s="191">
        <f>ROUND((+H25+H24)/2*'Rate Base &amp; Cost Capital'!E$26,0)</f>
        <v>390663</v>
      </c>
      <c r="K25" s="191">
        <f>ROUND('Annual Depreciation and CCA'!Y45,0)</f>
        <v>507204</v>
      </c>
      <c r="L25" s="191">
        <f t="shared" si="0"/>
        <v>99741</v>
      </c>
      <c r="M25" s="192">
        <f t="shared" si="3"/>
        <v>998000</v>
      </c>
      <c r="N25" s="189">
        <f t="shared" si="1"/>
        <v>998000</v>
      </c>
    </row>
    <row r="26" spans="1:14" x14ac:dyDescent="0.3">
      <c r="A26" s="188">
        <f t="shared" si="2"/>
        <v>23</v>
      </c>
      <c r="B26" s="189">
        <v>0</v>
      </c>
      <c r="C26" s="189"/>
      <c r="D26" s="189">
        <f t="shared" si="5"/>
        <v>0</v>
      </c>
      <c r="E26" s="189"/>
      <c r="F26" s="189">
        <f>+F25-'Annual Depreciation and CCA'!Z$45</f>
        <v>6331966.9432751611</v>
      </c>
      <c r="G26" s="194">
        <f>-'Annual Depreciation and CCA'!Z65</f>
        <v>-1342590.4149675299</v>
      </c>
      <c r="H26" s="212">
        <f t="shared" si="4"/>
        <v>4989000</v>
      </c>
      <c r="I26" s="193">
        <f>+H26/('Rate Base &amp; Cost Capital'!E$28)</f>
        <v>8.3581497280651104E-3</v>
      </c>
      <c r="J26" s="191">
        <f>ROUND((+H26+H25)/2*'Rate Base &amp; Cost Capital'!E$26,0)</f>
        <v>362325</v>
      </c>
      <c r="K26" s="191">
        <f>ROUND('Annual Depreciation and CCA'!Z45,0)</f>
        <v>507204</v>
      </c>
      <c r="L26" s="191">
        <f t="shared" si="0"/>
        <v>92506</v>
      </c>
      <c r="M26" s="192">
        <f t="shared" si="3"/>
        <v>962000</v>
      </c>
      <c r="N26" s="189">
        <f t="shared" si="1"/>
        <v>962000</v>
      </c>
    </row>
    <row r="27" spans="1:14" x14ac:dyDescent="0.3">
      <c r="A27" s="188">
        <f t="shared" si="2"/>
        <v>24</v>
      </c>
      <c r="B27" s="189">
        <v>0</v>
      </c>
      <c r="C27" s="189"/>
      <c r="D27" s="189">
        <f t="shared" si="5"/>
        <v>0</v>
      </c>
      <c r="E27" s="189"/>
      <c r="F27" s="189">
        <f>+F26-'Annual Depreciation and CCA'!AA$45</f>
        <v>5824763.1480273176</v>
      </c>
      <c r="G27" s="194">
        <f>-'Annual Depreciation and CCA'!AA65</f>
        <v>-1234989.2498343782</v>
      </c>
      <c r="H27" s="212">
        <f t="shared" si="4"/>
        <v>4590000</v>
      </c>
      <c r="I27" s="193">
        <f>+H27/('Rate Base &amp; Cost Capital'!E$28)</f>
        <v>7.6896987876967048E-3</v>
      </c>
      <c r="J27" s="191">
        <f>ROUND((+H27+H26)/2*'Rate Base &amp; Cost Capital'!E$26,0)</f>
        <v>334301</v>
      </c>
      <c r="K27" s="191">
        <f>ROUND('Annual Depreciation and CCA'!AA45,0)</f>
        <v>507204</v>
      </c>
      <c r="L27" s="191">
        <f t="shared" si="0"/>
        <v>85351</v>
      </c>
      <c r="M27" s="192">
        <f t="shared" si="3"/>
        <v>927000</v>
      </c>
      <c r="N27" s="189">
        <f t="shared" si="1"/>
        <v>927000</v>
      </c>
    </row>
    <row r="28" spans="1:14" x14ac:dyDescent="0.3">
      <c r="A28" s="188">
        <f t="shared" si="2"/>
        <v>25</v>
      </c>
      <c r="B28" s="189">
        <v>0</v>
      </c>
      <c r="C28" s="189"/>
      <c r="D28" s="189">
        <f t="shared" si="5"/>
        <v>0</v>
      </c>
      <c r="E28" s="189"/>
      <c r="F28" s="189">
        <f>+F27-'Annual Depreciation and CCA'!AB$45</f>
        <v>5317559.3527794741</v>
      </c>
      <c r="G28" s="194">
        <f>-'Annual Depreciation and CCA'!AB65</f>
        <v>-1123823.2868259305</v>
      </c>
      <c r="H28" s="212">
        <f t="shared" si="4"/>
        <v>4194000</v>
      </c>
      <c r="I28" s="193">
        <f>+H28/('Rate Base &amp; Cost Capital'!E$28)</f>
        <v>7.0262737942483611E-3</v>
      </c>
      <c r="J28" s="191">
        <f>ROUND((+H28+H27)/2*'Rate Base &amp; Cost Capital'!E$26,0)</f>
        <v>306556</v>
      </c>
      <c r="K28" s="191">
        <f>ROUND('Annual Depreciation and CCA'!AB45,0)-1</f>
        <v>507203</v>
      </c>
      <c r="L28" s="191">
        <f t="shared" si="0"/>
        <v>78268</v>
      </c>
      <c r="M28" s="192">
        <f t="shared" si="3"/>
        <v>892000</v>
      </c>
      <c r="N28" s="189">
        <f t="shared" si="1"/>
        <v>892000</v>
      </c>
    </row>
    <row r="29" spans="1:14" x14ac:dyDescent="0.3">
      <c r="A29" s="188">
        <f t="shared" si="2"/>
        <v>26</v>
      </c>
      <c r="B29" s="189">
        <v>0</v>
      </c>
      <c r="C29" s="189"/>
      <c r="D29" s="189">
        <f t="shared" si="5"/>
        <v>0</v>
      </c>
      <c r="E29" s="189"/>
      <c r="F29" s="189">
        <f>+F28-'Annual Depreciation and CCA'!AC$45</f>
        <v>4810355.5575316306</v>
      </c>
      <c r="G29" s="194">
        <f>-'Annual Depreciation and CCA'!AC65</f>
        <v>-1009377.7097722103</v>
      </c>
      <c r="H29" s="212">
        <f t="shared" si="4"/>
        <v>3801000</v>
      </c>
      <c r="I29" s="193">
        <f>+H29/('Rate Base &amp; Cost Capital'!E$28)</f>
        <v>6.3678747477200811E-3</v>
      </c>
      <c r="J29" s="191">
        <f>ROUND((+H29+H28)/2*'Rate Base &amp; Cost Capital'!E$26,0)</f>
        <v>279020</v>
      </c>
      <c r="K29" s="191">
        <f>ROUND('Annual Depreciation and CCA'!AC45,0)-1</f>
        <v>507203</v>
      </c>
      <c r="L29" s="191">
        <f t="shared" si="0"/>
        <v>71238</v>
      </c>
      <c r="M29" s="192">
        <f t="shared" si="3"/>
        <v>857000</v>
      </c>
      <c r="N29" s="189">
        <f t="shared" si="1"/>
        <v>857000</v>
      </c>
    </row>
    <row r="30" spans="1:14" x14ac:dyDescent="0.3">
      <c r="A30" s="188">
        <f t="shared" si="2"/>
        <v>27</v>
      </c>
      <c r="B30" s="189">
        <v>0</v>
      </c>
      <c r="C30" s="189"/>
      <c r="D30" s="189">
        <f t="shared" si="5"/>
        <v>0</v>
      </c>
      <c r="E30" s="189"/>
      <c r="F30" s="189">
        <f>+F29-'Annual Depreciation and CCA'!AD$45</f>
        <v>4303151.7622837871</v>
      </c>
      <c r="G30" s="194">
        <f>-'Annual Depreciation and CCA'!AD65</f>
        <v>-891914.88779683947</v>
      </c>
      <c r="H30" s="212">
        <f t="shared" si="4"/>
        <v>3411000</v>
      </c>
      <c r="I30" s="193">
        <f>+H30/('Rate Base &amp; Cost Capital'!E$28)</f>
        <v>5.7145016481118648E-3</v>
      </c>
      <c r="J30" s="191">
        <f>ROUND((+H30+H29)/2*'Rate Base &amp; Cost Capital'!E$26,0)</f>
        <v>251694</v>
      </c>
      <c r="K30" s="191">
        <f>ROUND('Annual Depreciation and CCA'!AD45,0)-1</f>
        <v>507203</v>
      </c>
      <c r="L30" s="191">
        <f t="shared" si="0"/>
        <v>64261</v>
      </c>
      <c r="M30" s="192">
        <f t="shared" si="3"/>
        <v>823000</v>
      </c>
      <c r="N30" s="189">
        <f t="shared" si="1"/>
        <v>823000</v>
      </c>
    </row>
    <row r="31" spans="1:14" x14ac:dyDescent="0.3">
      <c r="A31" s="188">
        <f t="shared" si="2"/>
        <v>28</v>
      </c>
      <c r="B31" s="189">
        <v>0</v>
      </c>
      <c r="C31" s="189"/>
      <c r="D31" s="189">
        <f t="shared" si="5"/>
        <v>0</v>
      </c>
      <c r="E31" s="189"/>
      <c r="F31" s="189">
        <f>+F30-'Annual Depreciation and CCA'!AE$45</f>
        <v>3795947.9670359432</v>
      </c>
      <c r="G31" s="194">
        <f>-'Annual Depreciation and CCA'!AE65</f>
        <v>-771676.20049355004</v>
      </c>
      <c r="H31" s="212">
        <f t="shared" si="4"/>
        <v>3024000</v>
      </c>
      <c r="I31" s="193">
        <f>+H31/('Rate Base &amp; Cost Capital'!E$28)</f>
        <v>5.0661544954237114E-3</v>
      </c>
      <c r="J31" s="191">
        <f>ROUND((+H31+H30)/2*'Rate Base &amp; Cost Capital'!E$26,0)</f>
        <v>224577</v>
      </c>
      <c r="K31" s="191">
        <f>ROUND('Annual Depreciation and CCA'!AE45,0)-1</f>
        <v>507203</v>
      </c>
      <c r="L31" s="191">
        <f t="shared" si="0"/>
        <v>57338</v>
      </c>
      <c r="M31" s="192">
        <f t="shared" si="3"/>
        <v>789000</v>
      </c>
      <c r="N31" s="189">
        <f t="shared" si="1"/>
        <v>789000</v>
      </c>
    </row>
    <row r="32" spans="1:14" x14ac:dyDescent="0.3">
      <c r="A32" s="188">
        <f t="shared" si="2"/>
        <v>29</v>
      </c>
      <c r="B32" s="189">
        <v>0</v>
      </c>
      <c r="C32" s="189"/>
      <c r="D32" s="189">
        <f t="shared" si="5"/>
        <v>0</v>
      </c>
      <c r="E32" s="189"/>
      <c r="F32" s="189">
        <f>+F31-'Annual Depreciation and CCA'!AF$45</f>
        <v>3288744.1717880992</v>
      </c>
      <c r="G32" s="194">
        <f>-'Annual Depreciation and CCA'!AF65</f>
        <v>-648883.71708857559</v>
      </c>
      <c r="H32" s="212">
        <f t="shared" si="4"/>
        <v>2640000</v>
      </c>
      <c r="I32" s="193">
        <f>+H32/('Rate Base &amp; Cost Capital'!E$28)</f>
        <v>4.4228332896556208E-3</v>
      </c>
      <c r="J32" s="191">
        <f>ROUND((+H32+H31)/2*'Rate Base &amp; Cost Capital'!E$26,0)</f>
        <v>197670</v>
      </c>
      <c r="K32" s="191">
        <f>ROUND('Annual Depreciation and CCA'!AF45,0)-1</f>
        <v>507203</v>
      </c>
      <c r="L32" s="191">
        <f t="shared" si="0"/>
        <v>50468</v>
      </c>
      <c r="M32" s="192">
        <f t="shared" si="3"/>
        <v>755000</v>
      </c>
      <c r="N32" s="189">
        <f t="shared" si="1"/>
        <v>755000</v>
      </c>
    </row>
    <row r="33" spans="1:14" x14ac:dyDescent="0.3">
      <c r="A33" s="188">
        <f t="shared" si="2"/>
        <v>30</v>
      </c>
      <c r="B33" s="189">
        <v>0</v>
      </c>
      <c r="C33" s="189"/>
      <c r="D33" s="189">
        <f t="shared" si="5"/>
        <v>0</v>
      </c>
      <c r="E33" s="189"/>
      <c r="F33" s="189">
        <f>+F32-'Annual Depreciation and CCA'!AG$45</f>
        <v>2781540.3765402553</v>
      </c>
      <c r="G33" s="194">
        <f>-'Annual Depreciation and CCA'!AG65</f>
        <v>-523741.74127005076</v>
      </c>
      <c r="H33" s="212">
        <f t="shared" si="4"/>
        <v>2258000</v>
      </c>
      <c r="I33" s="193">
        <f>+H33/('Rate Base &amp; Cost Capital'!E$28)</f>
        <v>3.7828627151675728E-3</v>
      </c>
      <c r="J33" s="191">
        <f>ROUND((+H33+H32)/2*'Rate Base &amp; Cost Capital'!E$26,0)</f>
        <v>170937</v>
      </c>
      <c r="K33" s="191">
        <f>ROUND('Annual Depreciation and CCA'!AG45,0)-1</f>
        <v>507203</v>
      </c>
      <c r="L33" s="191">
        <f t="shared" si="0"/>
        <v>43642</v>
      </c>
      <c r="M33" s="192">
        <f t="shared" si="3"/>
        <v>722000</v>
      </c>
      <c r="N33" s="189">
        <f t="shared" si="1"/>
        <v>722000</v>
      </c>
    </row>
    <row r="34" spans="1:14" x14ac:dyDescent="0.3">
      <c r="A34" s="188">
        <f t="shared" si="2"/>
        <v>31</v>
      </c>
      <c r="B34" s="189">
        <v>0</v>
      </c>
      <c r="C34" s="189"/>
      <c r="D34" s="189">
        <f t="shared" si="5"/>
        <v>0</v>
      </c>
      <c r="E34" s="189"/>
      <c r="F34" s="189">
        <f>+F33-'Annual Depreciation and CCA'!AH$45</f>
        <v>2274336.5812924113</v>
      </c>
      <c r="G34" s="194">
        <f>-'Annual Depreciation and CCA'!AH65</f>
        <v>-396438.23243105965</v>
      </c>
      <c r="H34" s="212">
        <f t="shared" si="4"/>
        <v>1878000</v>
      </c>
      <c r="I34" s="193">
        <f>+H34/('Rate Base &amp; Cost Capital'!E$28)</f>
        <v>3.1462427719595666E-3</v>
      </c>
      <c r="J34" s="191">
        <f>ROUND((+H34+H33)/2*'Rate Base &amp; Cost Capital'!E$26,0)</f>
        <v>144344</v>
      </c>
      <c r="K34" s="191">
        <f>ROUND('Annual Depreciation and CCA'!AH45,0)</f>
        <v>507204</v>
      </c>
      <c r="L34" s="191">
        <f t="shared" si="0"/>
        <v>36853</v>
      </c>
      <c r="M34" s="192">
        <f t="shared" si="3"/>
        <v>688000</v>
      </c>
      <c r="N34" s="189">
        <f t="shared" si="1"/>
        <v>688000</v>
      </c>
    </row>
    <row r="35" spans="1:14" x14ac:dyDescent="0.3">
      <c r="A35" s="188">
        <f t="shared" si="2"/>
        <v>32</v>
      </c>
      <c r="B35" s="189">
        <v>0</v>
      </c>
      <c r="C35" s="189"/>
      <c r="D35" s="189">
        <f t="shared" si="5"/>
        <v>0</v>
      </c>
      <c r="E35" s="189"/>
      <c r="F35" s="189">
        <f>+F34-'Annual Depreciation and CCA'!AI$45</f>
        <v>1767132.7860445674</v>
      </c>
      <c r="G35" s="194">
        <f>-'Annual Depreciation and CCA'!AI65</f>
        <v>-267146.11321323965</v>
      </c>
      <c r="H35" s="212">
        <f t="shared" si="4"/>
        <v>1500000</v>
      </c>
      <c r="I35" s="193">
        <f>+H35/('Rate Base &amp; Cost Capital'!E$28)</f>
        <v>2.5129734600316026E-3</v>
      </c>
      <c r="J35" s="191">
        <f>ROUND((+H35+H34)/2*'Rate Base &amp; Cost Capital'!E$26,0)</f>
        <v>117890</v>
      </c>
      <c r="K35" s="191">
        <f>ROUND('Annual Depreciation and CCA'!AI45,0)</f>
        <v>507204</v>
      </c>
      <c r="L35" s="191">
        <f t="shared" si="0"/>
        <v>30099</v>
      </c>
      <c r="M35" s="192">
        <f t="shared" si="3"/>
        <v>655000</v>
      </c>
      <c r="N35" s="189">
        <f t="shared" si="1"/>
        <v>655000</v>
      </c>
    </row>
    <row r="36" spans="1:14" x14ac:dyDescent="0.3">
      <c r="A36" s="188">
        <f t="shared" si="2"/>
        <v>33</v>
      </c>
      <c r="B36" s="189">
        <v>0</v>
      </c>
      <c r="C36" s="189"/>
      <c r="D36" s="189">
        <f t="shared" ref="D36:D39" si="6">ROUND(B36/(1-17%)*17%,-3)</f>
        <v>0</v>
      </c>
      <c r="E36" s="189"/>
      <c r="F36" s="189">
        <f>+F35-'Annual Depreciation and CCA'!AJ$45</f>
        <v>1259928.9907967234</v>
      </c>
      <c r="G36" s="194">
        <f>-'Annual Depreciation and CCA'!AJ65</f>
        <v>-136024.47244689695</v>
      </c>
      <c r="H36" s="212">
        <f t="shared" si="4"/>
        <v>1124000</v>
      </c>
      <c r="I36" s="193">
        <f>+H36/('Rate Base &amp; Cost Capital'!E$28)</f>
        <v>1.883054779383681E-3</v>
      </c>
      <c r="J36" s="191">
        <f>ROUND((+H36+H35)/2*'Rate Base &amp; Cost Capital'!E$26,0)</f>
        <v>91576</v>
      </c>
      <c r="K36" s="191">
        <f>ROUND('Annual Depreciation and CCA'!AJ45,0)</f>
        <v>507204</v>
      </c>
      <c r="L36" s="191">
        <f t="shared" si="0"/>
        <v>23381</v>
      </c>
      <c r="M36" s="192">
        <f t="shared" ref="M36:M39" si="7">ROUND(+J36+K36+L36,-3)</f>
        <v>622000</v>
      </c>
      <c r="N36" s="189">
        <f t="shared" ref="N36:N39" si="8">ROUND(+M36*1,-3)</f>
        <v>622000</v>
      </c>
    </row>
    <row r="37" spans="1:14" x14ac:dyDescent="0.3">
      <c r="A37" s="188">
        <f t="shared" si="2"/>
        <v>34</v>
      </c>
      <c r="B37" s="189">
        <v>0</v>
      </c>
      <c r="C37" s="189"/>
      <c r="D37" s="189">
        <f t="shared" si="6"/>
        <v>0</v>
      </c>
      <c r="E37" s="189"/>
      <c r="F37" s="189">
        <f>+F36-'Annual Depreciation and CCA'!AK$45</f>
        <v>752725.19554887956</v>
      </c>
      <c r="G37" s="194">
        <f>-'Annual Depreciation and CCA'!AK65</f>
        <v>-3219.6718559134574</v>
      </c>
      <c r="H37" s="212">
        <f t="shared" si="4"/>
        <v>750000</v>
      </c>
      <c r="I37" s="193">
        <f>+H37/('Rate Base &amp; Cost Capital'!E$28)</f>
        <v>1.2564867300158013E-3</v>
      </c>
      <c r="J37" s="191">
        <f>ROUND((+H37+H36)/2*'Rate Base &amp; Cost Capital'!E$26,0)</f>
        <v>65401</v>
      </c>
      <c r="K37" s="191">
        <f>ROUND('Annual Depreciation and CCA'!AK45,0)</f>
        <v>507204</v>
      </c>
      <c r="L37" s="191">
        <f t="shared" si="0"/>
        <v>16698</v>
      </c>
      <c r="M37" s="192">
        <f t="shared" si="7"/>
        <v>589000</v>
      </c>
      <c r="N37" s="189">
        <f t="shared" si="8"/>
        <v>589000</v>
      </c>
    </row>
    <row r="38" spans="1:14" x14ac:dyDescent="0.3">
      <c r="A38" s="188">
        <f t="shared" si="2"/>
        <v>35</v>
      </c>
      <c r="B38" s="189">
        <v>0</v>
      </c>
      <c r="C38" s="189"/>
      <c r="D38" s="189">
        <f t="shared" si="6"/>
        <v>0</v>
      </c>
      <c r="E38" s="189"/>
      <c r="F38" s="189">
        <f>+F37-'Annual Depreciation and CCA'!AL$45</f>
        <v>245521.40030103573</v>
      </c>
      <c r="G38" s="194">
        <f>-'Annual Depreciation and CCA'!AL65</f>
        <v>131133.63577373963</v>
      </c>
      <c r="H38" s="212">
        <f t="shared" si="4"/>
        <v>377000</v>
      </c>
      <c r="I38" s="193">
        <f>+H38/('Rate Base &amp; Cost Capital'!E$28)</f>
        <v>6.3159399628794283E-4</v>
      </c>
      <c r="J38" s="191">
        <f>ROUND((+H38+H37)/2*'Rate Base &amp; Cost Capital'!E$26,0)</f>
        <v>39332</v>
      </c>
      <c r="K38" s="191">
        <f>ROUND('Annual Depreciation and CCA'!AL45,0)</f>
        <v>507204</v>
      </c>
      <c r="L38" s="191">
        <f t="shared" si="0"/>
        <v>10042</v>
      </c>
      <c r="M38" s="192">
        <f t="shared" si="7"/>
        <v>557000</v>
      </c>
      <c r="N38" s="189">
        <f t="shared" si="8"/>
        <v>557000</v>
      </c>
    </row>
    <row r="39" spans="1:14" x14ac:dyDescent="0.3">
      <c r="A39" s="188">
        <f t="shared" si="2"/>
        <v>36</v>
      </c>
      <c r="B39" s="189">
        <v>0</v>
      </c>
      <c r="C39" s="189"/>
      <c r="D39" s="189">
        <f t="shared" si="6"/>
        <v>0</v>
      </c>
      <c r="E39" s="189"/>
      <c r="F39" s="189">
        <f>+F38-'Annual Depreciation and CCA'!AM$45</f>
        <v>0.40030103572644293</v>
      </c>
      <c r="G39" s="194">
        <f>-'Annual Depreciation and CCA'!AM65</f>
        <v>188406.73130461556</v>
      </c>
      <c r="H39" s="212">
        <f t="shared" si="4"/>
        <v>188000</v>
      </c>
      <c r="I39" s="193">
        <f>+H39/('Rate Base &amp; Cost Capital'!E$28)</f>
        <v>3.1495934032396087E-4</v>
      </c>
      <c r="J39" s="191">
        <f>ROUND((+H39+H38)/2*'Rate Base &amp; Cost Capital'!E$26,0)</f>
        <v>19718</v>
      </c>
      <c r="K39" s="191">
        <f>ROUND('Annual Depreciation and CCA'!AM45,0)</f>
        <v>245521</v>
      </c>
      <c r="L39" s="191">
        <f t="shared" si="0"/>
        <v>5034</v>
      </c>
      <c r="M39" s="192">
        <f t="shared" si="7"/>
        <v>270000</v>
      </c>
      <c r="N39" s="189">
        <f t="shared" si="8"/>
        <v>270000</v>
      </c>
    </row>
    <row r="40" spans="1:14" hidden="1" x14ac:dyDescent="0.3">
      <c r="A40" s="188"/>
      <c r="B40" s="189"/>
      <c r="C40" s="189"/>
      <c r="D40" s="189"/>
      <c r="E40" s="284"/>
      <c r="F40" s="189"/>
      <c r="G40" s="194"/>
      <c r="H40" s="212"/>
      <c r="I40" s="193"/>
      <c r="J40" s="191"/>
      <c r="K40" s="191"/>
      <c r="L40" s="191"/>
      <c r="M40" s="192"/>
      <c r="N40" s="189"/>
    </row>
    <row r="41" spans="1:14" hidden="1" x14ac:dyDescent="0.3">
      <c r="A41" s="188"/>
      <c r="B41" s="189"/>
      <c r="C41" s="189"/>
      <c r="D41" s="189"/>
      <c r="E41" s="284"/>
      <c r="F41" s="189"/>
      <c r="G41" s="194"/>
      <c r="H41" s="212"/>
      <c r="I41" s="193"/>
      <c r="J41" s="191"/>
      <c r="K41" s="191"/>
      <c r="L41" s="191"/>
      <c r="M41" s="192"/>
      <c r="N41" s="189"/>
    </row>
    <row r="42" spans="1:14" hidden="1" x14ac:dyDescent="0.3">
      <c r="A42" s="188"/>
      <c r="B42" s="189"/>
      <c r="C42" s="189"/>
      <c r="D42" s="284"/>
      <c r="E42" s="284"/>
      <c r="F42" s="189"/>
      <c r="G42" s="189"/>
      <c r="H42" s="212"/>
      <c r="I42" s="285"/>
      <c r="J42" s="286"/>
      <c r="K42" s="191"/>
      <c r="L42" s="286"/>
      <c r="M42" s="287"/>
      <c r="N42" s="284"/>
    </row>
    <row r="43" spans="1:14" x14ac:dyDescent="0.3">
      <c r="A43" s="213" t="s">
        <v>167</v>
      </c>
      <c r="B43" s="217">
        <f>SUM(B3:B35)</f>
        <v>14755819.359999999</v>
      </c>
      <c r="C43" s="301">
        <f>SUM(C3:C35)</f>
        <v>-1281135.8560244311</v>
      </c>
      <c r="D43" s="283">
        <f>SUM(D3:D36)</f>
        <v>4522970.7300000004</v>
      </c>
      <c r="E43" s="217">
        <f>SUM(E3:E35)</f>
        <v>21947472</v>
      </c>
      <c r="F43" s="217"/>
      <c r="G43" s="214"/>
      <c r="H43" s="215"/>
      <c r="I43" s="216"/>
      <c r="J43" s="246">
        <f>SUM(J3:J39)</f>
        <v>22847054</v>
      </c>
      <c r="K43" s="246">
        <f>SUM(K3:K39)</f>
        <v>39945125</v>
      </c>
      <c r="L43" s="246">
        <f t="shared" ref="L43:N43" si="9">SUM(L3:L39)</f>
        <v>5833157</v>
      </c>
      <c r="M43" s="246">
        <f t="shared" si="9"/>
        <v>68625000</v>
      </c>
      <c r="N43" s="246">
        <f t="shared" si="9"/>
        <v>68625000</v>
      </c>
    </row>
    <row r="44" spans="1:14" x14ac:dyDescent="0.3">
      <c r="A44" s="195"/>
      <c r="B44" s="196"/>
      <c r="C44" s="196"/>
      <c r="D44" s="196"/>
      <c r="E44" s="196"/>
      <c r="F44" s="196"/>
      <c r="G44" s="197"/>
      <c r="H44" s="198"/>
      <c r="I44" s="199"/>
      <c r="J44" s="200"/>
      <c r="K44" s="200"/>
      <c r="L44" s="200"/>
      <c r="M44" s="201"/>
      <c r="N44" s="196"/>
    </row>
    <row r="45" spans="1:14" x14ac:dyDescent="0.3">
      <c r="A45" s="195"/>
      <c r="B45" s="196"/>
      <c r="C45" s="196"/>
      <c r="D45" s="196"/>
      <c r="E45" s="196"/>
      <c r="F45" s="196"/>
      <c r="G45" s="302" t="s">
        <v>163</v>
      </c>
      <c r="H45" s="303"/>
      <c r="I45" s="303"/>
      <c r="J45" s="304"/>
      <c r="K45" s="200"/>
      <c r="L45" s="201"/>
      <c r="M45" s="196"/>
      <c r="N45" s="196"/>
    </row>
    <row r="46" spans="1:14" ht="53.4" x14ac:dyDescent="0.3">
      <c r="A46" s="202"/>
      <c r="B46" s="196"/>
      <c r="C46" s="196"/>
      <c r="D46" s="196"/>
      <c r="E46" s="196"/>
      <c r="F46" s="196"/>
      <c r="G46" s="203" t="s">
        <v>164</v>
      </c>
      <c r="H46" s="204" t="s">
        <v>158</v>
      </c>
      <c r="I46" s="204" t="s">
        <v>160</v>
      </c>
      <c r="J46" s="205" t="s">
        <v>159</v>
      </c>
      <c r="K46" s="202"/>
      <c r="L46" s="202"/>
      <c r="M46" s="202"/>
      <c r="N46" s="202"/>
    </row>
    <row r="47" spans="1:14" x14ac:dyDescent="0.3">
      <c r="A47" s="257" t="s">
        <v>240</v>
      </c>
      <c r="B47" s="196"/>
      <c r="D47" s="258">
        <f>+J43-D48</f>
        <v>9236354.3302043434</v>
      </c>
      <c r="E47" s="202"/>
      <c r="F47" s="202"/>
      <c r="G47" s="206">
        <f t="shared" ref="G47:G82" si="10">A4</f>
        <v>1</v>
      </c>
      <c r="H47" s="207">
        <f>(H4)*'Rate Base &amp; Cost Capital'!E$25</f>
        <v>1447941.4651408503</v>
      </c>
      <c r="I47" s="207">
        <f>H47/(1-30%)</f>
        <v>2068487.807344072</v>
      </c>
      <c r="J47" s="208">
        <f t="shared" ref="J47:J79" si="11">SUM(I47:I47)</f>
        <v>2068487.807344072</v>
      </c>
      <c r="K47" s="202"/>
      <c r="L47" s="202"/>
      <c r="M47" s="202"/>
      <c r="N47" s="202"/>
    </row>
    <row r="48" spans="1:14" ht="15" x14ac:dyDescent="0.4">
      <c r="A48" s="257" t="s">
        <v>241</v>
      </c>
      <c r="B48" s="196"/>
      <c r="D48" s="259">
        <f>SUM(H47:H82)</f>
        <v>13610699.669795657</v>
      </c>
      <c r="E48" s="202"/>
      <c r="F48" s="202"/>
      <c r="G48" s="206">
        <f t="shared" si="10"/>
        <v>2</v>
      </c>
      <c r="H48" s="207">
        <f>(H4+H5)/2*'Rate Base &amp; Cost Capital'!E$25</f>
        <v>1342740.9623895336</v>
      </c>
      <c r="I48" s="207">
        <f t="shared" ref="I48:I82" si="12">H48/(1-30%)</f>
        <v>1918201.3748421911</v>
      </c>
      <c r="J48" s="208">
        <f t="shared" si="11"/>
        <v>1918201.3748421911</v>
      </c>
      <c r="K48" s="202"/>
      <c r="L48" s="202"/>
      <c r="M48" s="202"/>
      <c r="N48" s="202"/>
    </row>
    <row r="49" spans="1:14" ht="15" x14ac:dyDescent="0.4">
      <c r="A49" s="257" t="s">
        <v>242</v>
      </c>
      <c r="B49" s="196"/>
      <c r="D49" s="260">
        <f>SUM(D47:D48)</f>
        <v>22847054</v>
      </c>
      <c r="E49" s="202"/>
      <c r="F49" s="202"/>
      <c r="G49" s="206">
        <f t="shared" si="10"/>
        <v>3</v>
      </c>
      <c r="H49" s="207">
        <f>(H5+H6)/2*'Rate Base &amp; Cost Capital'!E$25</f>
        <v>1132859.722216699</v>
      </c>
      <c r="I49" s="207">
        <f t="shared" si="12"/>
        <v>1618371.0317381416</v>
      </c>
      <c r="J49" s="208">
        <f t="shared" si="11"/>
        <v>1618371.0317381416</v>
      </c>
      <c r="K49" s="202"/>
      <c r="L49" s="202"/>
      <c r="M49" s="202"/>
      <c r="N49" s="202"/>
    </row>
    <row r="50" spans="1:14" x14ac:dyDescent="0.3">
      <c r="A50" s="202"/>
      <c r="B50" s="202"/>
      <c r="C50" s="202"/>
      <c r="D50" s="202"/>
      <c r="E50" s="202"/>
      <c r="F50" s="202"/>
      <c r="G50" s="206">
        <f t="shared" si="10"/>
        <v>4</v>
      </c>
      <c r="H50" s="207">
        <f>(H6+H7)/2*'Rate Base &amp; Cost Capital'!E$25</f>
        <v>924641.73109922151</v>
      </c>
      <c r="I50" s="207">
        <f t="shared" si="12"/>
        <v>1320916.7587131737</v>
      </c>
      <c r="J50" s="208">
        <f t="shared" si="11"/>
        <v>1320916.7587131737</v>
      </c>
      <c r="K50" s="202"/>
      <c r="L50" s="202"/>
      <c r="M50" s="202"/>
      <c r="N50" s="202"/>
    </row>
    <row r="51" spans="1:14" x14ac:dyDescent="0.3">
      <c r="A51" s="202"/>
      <c r="B51" s="202"/>
      <c r="C51" s="202"/>
      <c r="D51" s="202"/>
      <c r="E51" s="202"/>
      <c r="F51" s="202"/>
      <c r="G51" s="206">
        <f t="shared" si="10"/>
        <v>5</v>
      </c>
      <c r="H51" s="207">
        <f>(H7+H8)/2*'Rate Base &amp; Cost Capital'!E$25</f>
        <v>717941.4547447568</v>
      </c>
      <c r="I51" s="207">
        <f t="shared" si="12"/>
        <v>1025630.649635367</v>
      </c>
      <c r="J51" s="208">
        <f t="shared" si="11"/>
        <v>1025630.649635367</v>
      </c>
      <c r="K51" s="202"/>
      <c r="L51" s="202"/>
      <c r="M51" s="202"/>
      <c r="N51" s="202"/>
    </row>
    <row r="52" spans="1:14" x14ac:dyDescent="0.3">
      <c r="A52" s="202"/>
      <c r="B52" s="202"/>
      <c r="C52" s="202"/>
      <c r="D52" s="202"/>
      <c r="E52" s="202"/>
      <c r="F52" s="202"/>
      <c r="G52" s="206">
        <f t="shared" si="10"/>
        <v>6</v>
      </c>
      <c r="H52" s="207">
        <f>(H8+H9)/2*'Rate Base &amp; Cost Capital'!E$25</f>
        <v>572822.97466487717</v>
      </c>
      <c r="I52" s="207">
        <f t="shared" si="12"/>
        <v>818318.53523553885</v>
      </c>
      <c r="J52" s="208">
        <f t="shared" si="11"/>
        <v>818318.53523553885</v>
      </c>
      <c r="K52" s="202"/>
      <c r="L52" s="202"/>
      <c r="M52" s="202"/>
      <c r="N52" s="202"/>
    </row>
    <row r="53" spans="1:14" x14ac:dyDescent="0.3">
      <c r="A53" s="202"/>
      <c r="B53" s="202"/>
      <c r="C53" s="202"/>
      <c r="D53" s="202"/>
      <c r="E53" s="202"/>
      <c r="F53" s="202"/>
      <c r="G53" s="206">
        <f t="shared" si="10"/>
        <v>7</v>
      </c>
      <c r="H53" s="207">
        <f>(H9+H10)/2*'Rate Base &amp; Cost Capital'!E$25</f>
        <v>519661.37673303596</v>
      </c>
      <c r="I53" s="207">
        <f t="shared" si="12"/>
        <v>742373.39533290861</v>
      </c>
      <c r="J53" s="208">
        <f t="shared" si="11"/>
        <v>742373.39533290861</v>
      </c>
      <c r="K53" s="202"/>
      <c r="L53" s="202"/>
      <c r="M53" s="202"/>
      <c r="N53" s="202"/>
    </row>
    <row r="54" spans="1:14" x14ac:dyDescent="0.3">
      <c r="A54" s="202"/>
      <c r="B54" s="202"/>
      <c r="C54" s="202"/>
      <c r="D54" s="202"/>
      <c r="E54" s="202"/>
      <c r="F54" s="202"/>
      <c r="G54" s="206">
        <f t="shared" si="10"/>
        <v>8</v>
      </c>
      <c r="H54" s="207">
        <f>(H10+H11)/2*'Rate Base &amp; Cost Capital'!E$25</f>
        <v>497560.95490998263</v>
      </c>
      <c r="I54" s="207">
        <f t="shared" si="12"/>
        <v>710801.36415711814</v>
      </c>
      <c r="J54" s="208">
        <f t="shared" si="11"/>
        <v>710801.36415711814</v>
      </c>
      <c r="K54" s="202"/>
      <c r="L54" s="202"/>
      <c r="M54" s="202"/>
      <c r="N54" s="202"/>
    </row>
    <row r="55" spans="1:14" x14ac:dyDescent="0.3">
      <c r="A55" s="202"/>
      <c r="B55" s="202"/>
      <c r="C55" s="202"/>
      <c r="D55" s="202"/>
      <c r="E55" s="202"/>
      <c r="F55" s="202"/>
      <c r="G55" s="206">
        <f t="shared" si="10"/>
        <v>9</v>
      </c>
      <c r="H55" s="207">
        <f>(H11+H12)/2*'Rate Base &amp; Cost Capital'!E$25</f>
        <v>476042.67025630421</v>
      </c>
      <c r="I55" s="207">
        <f t="shared" si="12"/>
        <v>680060.95750900602</v>
      </c>
      <c r="J55" s="208">
        <f t="shared" si="11"/>
        <v>680060.95750900602</v>
      </c>
      <c r="K55" s="202"/>
      <c r="L55" s="202"/>
      <c r="M55" s="202"/>
      <c r="N55" s="202"/>
    </row>
    <row r="56" spans="1:14" x14ac:dyDescent="0.3">
      <c r="A56" s="202"/>
      <c r="B56" s="202"/>
      <c r="C56" s="202"/>
      <c r="D56" s="202"/>
      <c r="E56" s="202"/>
      <c r="F56" s="202"/>
      <c r="G56" s="206">
        <f t="shared" si="10"/>
        <v>10</v>
      </c>
      <c r="H56" s="207">
        <f>(H12+H13)/2*'Rate Base &amp; Cost Capital'!E$25</f>
        <v>455064.94154561672</v>
      </c>
      <c r="I56" s="207">
        <f t="shared" si="12"/>
        <v>650092.77363659535</v>
      </c>
      <c r="J56" s="208">
        <f t="shared" si="11"/>
        <v>650092.77363659535</v>
      </c>
      <c r="K56" s="202"/>
      <c r="L56" s="202"/>
      <c r="M56" s="202"/>
      <c r="N56" s="202"/>
    </row>
    <row r="57" spans="1:14" x14ac:dyDescent="0.3">
      <c r="A57" s="202"/>
      <c r="B57" s="202"/>
      <c r="C57" s="202"/>
      <c r="D57" s="202"/>
      <c r="E57" s="202"/>
      <c r="F57" s="202"/>
      <c r="G57" s="206">
        <f t="shared" si="10"/>
        <v>11</v>
      </c>
      <c r="H57" s="207">
        <f>(H13+H14)/2*'Rate Base &amp; Cost Capital'!E$25</f>
        <v>434586.18755153631</v>
      </c>
      <c r="I57" s="207">
        <f t="shared" si="12"/>
        <v>620837.41078790906</v>
      </c>
      <c r="J57" s="208">
        <f t="shared" si="11"/>
        <v>620837.41078790906</v>
      </c>
      <c r="K57" s="202"/>
      <c r="L57" s="202"/>
      <c r="M57" s="202"/>
      <c r="N57" s="202"/>
    </row>
    <row r="58" spans="1:14" x14ac:dyDescent="0.3">
      <c r="A58" s="202"/>
      <c r="B58" s="202"/>
      <c r="C58" s="202"/>
      <c r="D58" s="202"/>
      <c r="E58" s="202"/>
      <c r="F58" s="202"/>
      <c r="G58" s="206">
        <f t="shared" si="10"/>
        <v>12</v>
      </c>
      <c r="H58" s="207">
        <f>(H14+H15)/2*'Rate Base &amp; Cost Capital'!E$25</f>
        <v>414564.82704767899</v>
      </c>
      <c r="I58" s="207">
        <f t="shared" si="12"/>
        <v>592235.46721097</v>
      </c>
      <c r="J58" s="208">
        <f t="shared" si="11"/>
        <v>592235.46721097</v>
      </c>
      <c r="K58" s="202"/>
      <c r="L58" s="202"/>
      <c r="M58" s="202"/>
      <c r="N58" s="202"/>
    </row>
    <row r="59" spans="1:14" x14ac:dyDescent="0.3">
      <c r="A59" s="202"/>
      <c r="B59" s="202"/>
      <c r="C59" s="202"/>
      <c r="D59" s="202"/>
      <c r="E59" s="202"/>
      <c r="F59" s="202"/>
      <c r="G59" s="206">
        <f t="shared" si="10"/>
        <v>13</v>
      </c>
      <c r="H59" s="207">
        <f>(H15+H16)/2*'Rate Base &amp; Cost Capital'!E$25</f>
        <v>394959.27880766086</v>
      </c>
      <c r="I59" s="207">
        <f t="shared" si="12"/>
        <v>564227.54115380126</v>
      </c>
      <c r="J59" s="208">
        <f t="shared" si="11"/>
        <v>564227.54115380126</v>
      </c>
      <c r="K59" s="202"/>
      <c r="L59" s="202"/>
      <c r="M59" s="202"/>
      <c r="N59" s="202"/>
    </row>
    <row r="60" spans="1:14" x14ac:dyDescent="0.3">
      <c r="A60" s="202"/>
      <c r="B60" s="202"/>
      <c r="C60" s="202"/>
      <c r="D60" s="202"/>
      <c r="E60" s="202"/>
      <c r="F60" s="202"/>
      <c r="G60" s="206">
        <f t="shared" si="10"/>
        <v>14</v>
      </c>
      <c r="H60" s="207">
        <f>(H16+H17)/2*'Rate Base &amp; Cost Capital'!E$25</f>
        <v>375727.96160509804</v>
      </c>
      <c r="I60" s="207">
        <f t="shared" si="12"/>
        <v>536754.23086442577</v>
      </c>
      <c r="J60" s="208">
        <f t="shared" si="11"/>
        <v>536754.23086442577</v>
      </c>
      <c r="K60" s="202"/>
      <c r="L60" s="202"/>
      <c r="M60" s="202"/>
      <c r="N60" s="202"/>
    </row>
    <row r="61" spans="1:14" x14ac:dyDescent="0.3">
      <c r="A61" s="202"/>
      <c r="B61" s="202"/>
      <c r="C61" s="202"/>
      <c r="D61" s="202"/>
      <c r="E61" s="202"/>
      <c r="F61" s="202"/>
      <c r="G61" s="206">
        <f t="shared" si="10"/>
        <v>15</v>
      </c>
      <c r="H61" s="207">
        <f>(H17+H18)/2*'Rate Base &amp; Cost Capital'!E$25</f>
        <v>356870.87543999049</v>
      </c>
      <c r="I61" s="207">
        <f t="shared" si="12"/>
        <v>509815.53634284361</v>
      </c>
      <c r="J61" s="208">
        <f t="shared" si="11"/>
        <v>509815.53634284361</v>
      </c>
      <c r="K61" s="202"/>
      <c r="L61" s="202"/>
      <c r="M61" s="202"/>
      <c r="N61" s="202"/>
    </row>
    <row r="62" spans="1:14" x14ac:dyDescent="0.3">
      <c r="A62" s="202"/>
      <c r="B62" s="202"/>
      <c r="C62" s="202"/>
      <c r="D62" s="202"/>
      <c r="E62" s="202"/>
      <c r="F62" s="202"/>
      <c r="G62" s="206">
        <f t="shared" si="10"/>
        <v>16</v>
      </c>
      <c r="H62" s="207">
        <f>(H18+H19)/2*'Rate Base &amp; Cost Capital'!E$25</f>
        <v>338346.43908595428</v>
      </c>
      <c r="I62" s="207">
        <f t="shared" si="12"/>
        <v>483352.05583707755</v>
      </c>
      <c r="J62" s="208">
        <f t="shared" si="11"/>
        <v>483352.05583707755</v>
      </c>
      <c r="K62" s="202"/>
      <c r="L62" s="202"/>
      <c r="M62" s="202"/>
      <c r="N62" s="202"/>
    </row>
    <row r="63" spans="1:14" x14ac:dyDescent="0.3">
      <c r="A63" s="202"/>
      <c r="B63" s="202"/>
      <c r="C63" s="202"/>
      <c r="D63" s="202"/>
      <c r="E63" s="202"/>
      <c r="F63" s="202"/>
      <c r="G63" s="206">
        <f t="shared" si="10"/>
        <v>17</v>
      </c>
      <c r="H63" s="207">
        <f>(H19+H20)/2*'Rate Base &amp; Cost Capital'!E$25</f>
        <v>320113.07131660549</v>
      </c>
      <c r="I63" s="207">
        <f t="shared" si="12"/>
        <v>457304.38759515074</v>
      </c>
      <c r="J63" s="208">
        <f t="shared" si="11"/>
        <v>457304.38759515074</v>
      </c>
      <c r="K63" s="202"/>
      <c r="L63" s="202"/>
      <c r="M63" s="202"/>
      <c r="N63" s="202"/>
    </row>
    <row r="64" spans="1:14" x14ac:dyDescent="0.3">
      <c r="A64" s="202"/>
      <c r="B64" s="202"/>
      <c r="C64" s="202"/>
      <c r="D64" s="202"/>
      <c r="E64" s="202"/>
      <c r="F64" s="202"/>
      <c r="G64" s="206">
        <f t="shared" si="10"/>
        <v>18</v>
      </c>
      <c r="H64" s="207">
        <f>(H20+H21)/2*'Rate Base &amp; Cost Capital'!E$25</f>
        <v>302170.77213194413</v>
      </c>
      <c r="I64" s="207">
        <f t="shared" si="12"/>
        <v>431672.5316170631</v>
      </c>
      <c r="J64" s="208">
        <f t="shared" si="11"/>
        <v>431672.5316170631</v>
      </c>
      <c r="K64" s="202"/>
      <c r="L64" s="202"/>
      <c r="M64" s="202"/>
      <c r="N64" s="202"/>
    </row>
    <row r="65" spans="1:14" x14ac:dyDescent="0.3">
      <c r="A65" s="202"/>
      <c r="B65" s="202"/>
      <c r="C65" s="202"/>
      <c r="D65" s="202"/>
      <c r="E65" s="202"/>
      <c r="F65" s="202"/>
      <c r="G65" s="206">
        <f t="shared" si="10"/>
        <v>19</v>
      </c>
      <c r="H65" s="207">
        <f>(H21+H22)/2*'Rate Base &amp; Cost Capital'!E$25</f>
        <v>284477.96030558634</v>
      </c>
      <c r="I65" s="207">
        <f t="shared" si="12"/>
        <v>406397.08615083765</v>
      </c>
      <c r="J65" s="208">
        <f t="shared" si="11"/>
        <v>406397.08615083765</v>
      </c>
      <c r="K65" s="202"/>
      <c r="L65" s="202"/>
      <c r="M65" s="202"/>
      <c r="N65" s="202"/>
    </row>
    <row r="66" spans="1:14" x14ac:dyDescent="0.3">
      <c r="A66" s="202"/>
      <c r="B66" s="202"/>
      <c r="C66" s="202"/>
      <c r="D66" s="202"/>
      <c r="E66" s="202"/>
      <c r="F66" s="202"/>
      <c r="G66" s="206">
        <f t="shared" si="10"/>
        <v>20</v>
      </c>
      <c r="H66" s="207">
        <f>(H22+H23)/2*'Rate Base &amp; Cost Capital'!E$25</f>
        <v>267013.8452243401</v>
      </c>
      <c r="I66" s="207">
        <f t="shared" si="12"/>
        <v>381448.35032048589</v>
      </c>
      <c r="J66" s="208">
        <f t="shared" si="11"/>
        <v>381448.35032048589</v>
      </c>
      <c r="K66" s="202"/>
      <c r="L66" s="202"/>
      <c r="M66" s="202"/>
      <c r="N66" s="202"/>
    </row>
    <row r="67" spans="1:14" x14ac:dyDescent="0.3">
      <c r="A67" s="202"/>
      <c r="B67" s="202"/>
      <c r="C67" s="202"/>
      <c r="D67" s="202"/>
      <c r="E67" s="202"/>
      <c r="F67" s="202"/>
      <c r="G67" s="206">
        <f t="shared" si="10"/>
        <v>21</v>
      </c>
      <c r="H67" s="207">
        <f>(H23+H24)/2*'Rate Base &amp; Cost Capital'!E$25</f>
        <v>249778.4268882054</v>
      </c>
      <c r="I67" s="207">
        <f t="shared" si="12"/>
        <v>356826.32412600773</v>
      </c>
      <c r="J67" s="208">
        <f t="shared" si="11"/>
        <v>356826.32412600773</v>
      </c>
      <c r="K67" s="202"/>
      <c r="L67" s="202"/>
      <c r="M67" s="202"/>
      <c r="N67" s="202"/>
    </row>
    <row r="68" spans="1:14" x14ac:dyDescent="0.3">
      <c r="A68" s="202"/>
      <c r="B68" s="202"/>
      <c r="C68" s="202"/>
      <c r="D68" s="202"/>
      <c r="E68" s="202"/>
      <c r="F68" s="202"/>
      <c r="G68" s="206">
        <f t="shared" si="10"/>
        <v>22</v>
      </c>
      <c r="H68" s="207">
        <f>(H24+H25)/2*'Rate Base &amp; Cost Capital'!E$25</f>
        <v>232730.12407079834</v>
      </c>
      <c r="I68" s="207">
        <f t="shared" si="12"/>
        <v>332471.60581542621</v>
      </c>
      <c r="J68" s="208">
        <f t="shared" si="11"/>
        <v>332471.60581542621</v>
      </c>
      <c r="K68" s="202"/>
      <c r="L68" s="202"/>
      <c r="M68" s="202"/>
      <c r="N68" s="202"/>
    </row>
    <row r="69" spans="1:14" x14ac:dyDescent="0.3">
      <c r="A69" s="202"/>
      <c r="B69" s="202"/>
      <c r="C69" s="202"/>
      <c r="D69" s="202"/>
      <c r="E69" s="202"/>
      <c r="F69" s="202"/>
      <c r="G69" s="206">
        <f t="shared" si="10"/>
        <v>23</v>
      </c>
      <c r="H69" s="207">
        <f>(H25+H26)/2*'Rate Base &amp; Cost Capital'!E$25</f>
        <v>215848.14615892695</v>
      </c>
      <c r="I69" s="207">
        <f t="shared" si="12"/>
        <v>308354.4945127528</v>
      </c>
      <c r="J69" s="208">
        <f t="shared" si="11"/>
        <v>308354.4945127528</v>
      </c>
      <c r="K69" s="202"/>
      <c r="L69" s="202"/>
      <c r="M69" s="202"/>
      <c r="N69" s="202"/>
    </row>
    <row r="70" spans="1:14" x14ac:dyDescent="0.3">
      <c r="A70" s="202"/>
      <c r="B70" s="202"/>
      <c r="C70" s="202"/>
      <c r="D70" s="202"/>
      <c r="E70" s="202"/>
      <c r="F70" s="202"/>
      <c r="G70" s="206">
        <f t="shared" si="10"/>
        <v>24</v>
      </c>
      <c r="H70" s="207">
        <f>(H26+H27)/2*'Rate Base &amp; Cost Capital'!E$25</f>
        <v>199153.28376578321</v>
      </c>
      <c r="I70" s="207">
        <f t="shared" si="12"/>
        <v>284504.69109397603</v>
      </c>
      <c r="J70" s="208">
        <f t="shared" si="11"/>
        <v>284504.69109397603</v>
      </c>
      <c r="K70" s="202"/>
      <c r="L70" s="202"/>
      <c r="M70" s="202"/>
      <c r="N70" s="202"/>
    </row>
    <row r="71" spans="1:14" x14ac:dyDescent="0.3">
      <c r="A71" s="202"/>
      <c r="B71" s="202"/>
      <c r="C71" s="202"/>
      <c r="D71" s="202"/>
      <c r="E71" s="202"/>
      <c r="F71" s="202"/>
      <c r="G71" s="206">
        <f t="shared" si="10"/>
        <v>25</v>
      </c>
      <c r="H71" s="207">
        <f>(H27+H28)/2*'Rate Base &amp; Cost Capital'!E$25</f>
        <v>182624.74627817515</v>
      </c>
      <c r="I71" s="207">
        <f t="shared" si="12"/>
        <v>260892.49468310739</v>
      </c>
      <c r="J71" s="208">
        <f t="shared" si="11"/>
        <v>260892.49468310739</v>
      </c>
      <c r="K71" s="202"/>
      <c r="L71" s="202"/>
      <c r="M71" s="202"/>
      <c r="N71" s="202"/>
    </row>
    <row r="72" spans="1:14" x14ac:dyDescent="0.3">
      <c r="A72" s="202"/>
      <c r="B72" s="202"/>
      <c r="C72" s="202"/>
      <c r="D72" s="202"/>
      <c r="E72" s="202"/>
      <c r="F72" s="202"/>
      <c r="G72" s="206">
        <f t="shared" si="10"/>
        <v>26</v>
      </c>
      <c r="H72" s="207">
        <f>(H28+H29)/2*'Rate Base &amp; Cost Capital'!E$25</f>
        <v>166220.95246971885</v>
      </c>
      <c r="I72" s="207">
        <f t="shared" si="12"/>
        <v>237458.50352816979</v>
      </c>
      <c r="J72" s="208">
        <f t="shared" si="11"/>
        <v>237458.50352816979</v>
      </c>
      <c r="K72" s="202"/>
      <c r="L72" s="202"/>
      <c r="M72" s="202"/>
      <c r="N72" s="202"/>
    </row>
    <row r="73" spans="1:14" x14ac:dyDescent="0.3">
      <c r="A73" s="202"/>
      <c r="B73" s="202"/>
      <c r="C73" s="202"/>
      <c r="D73" s="202"/>
      <c r="E73" s="202"/>
      <c r="F73" s="202"/>
      <c r="G73" s="206">
        <f t="shared" si="10"/>
        <v>27</v>
      </c>
      <c r="H73" s="207">
        <f>(H29+H30)/2*'Rate Base &amp; Cost Capital'!E$25</f>
        <v>149941.90234041429</v>
      </c>
      <c r="I73" s="207">
        <f t="shared" si="12"/>
        <v>214202.71762916329</v>
      </c>
      <c r="J73" s="208">
        <f t="shared" si="11"/>
        <v>214202.71762916329</v>
      </c>
      <c r="K73" s="202"/>
      <c r="L73" s="202"/>
      <c r="M73" s="202"/>
      <c r="N73" s="202"/>
    </row>
    <row r="74" spans="1:14" x14ac:dyDescent="0.3">
      <c r="A74" s="202"/>
      <c r="B74" s="202"/>
      <c r="C74" s="202"/>
      <c r="D74" s="202"/>
      <c r="E74" s="202"/>
      <c r="F74" s="202"/>
      <c r="G74" s="206">
        <f t="shared" si="10"/>
        <v>28</v>
      </c>
      <c r="H74" s="207">
        <f>(H30+H31)/2*'Rate Base &amp; Cost Capital'!E$25</f>
        <v>133787.59589026149</v>
      </c>
      <c r="I74" s="207">
        <f t="shared" si="12"/>
        <v>191125.13698608786</v>
      </c>
      <c r="J74" s="208">
        <f t="shared" si="11"/>
        <v>191125.13698608786</v>
      </c>
      <c r="K74" s="202"/>
      <c r="L74" s="202"/>
      <c r="M74" s="202"/>
      <c r="N74" s="202"/>
    </row>
    <row r="75" spans="1:14" x14ac:dyDescent="0.3">
      <c r="A75" s="202"/>
      <c r="B75" s="202"/>
      <c r="C75" s="202"/>
      <c r="D75" s="202"/>
      <c r="E75" s="202"/>
      <c r="F75" s="202"/>
      <c r="G75" s="206">
        <f t="shared" si="10"/>
        <v>29</v>
      </c>
      <c r="H75" s="207">
        <f>(H31+H32)/2*'Rate Base &amp; Cost Capital'!E$25</f>
        <v>117758.03311926048</v>
      </c>
      <c r="I75" s="207">
        <f t="shared" si="12"/>
        <v>168225.76159894356</v>
      </c>
      <c r="J75" s="208">
        <f t="shared" si="11"/>
        <v>168225.76159894356</v>
      </c>
      <c r="K75" s="202"/>
      <c r="L75" s="202"/>
      <c r="M75" s="202"/>
      <c r="N75" s="202"/>
    </row>
    <row r="76" spans="1:14" x14ac:dyDescent="0.3">
      <c r="A76" s="202"/>
      <c r="B76" s="202"/>
      <c r="C76" s="202"/>
      <c r="D76" s="202"/>
      <c r="E76" s="202"/>
      <c r="F76" s="202"/>
      <c r="G76" s="206">
        <f t="shared" si="10"/>
        <v>30</v>
      </c>
      <c r="H76" s="207">
        <f>(H32+H33)/2*'Rate Base &amp; Cost Capital'!E$25</f>
        <v>101832.42341421924</v>
      </c>
      <c r="I76" s="207">
        <f t="shared" si="12"/>
        <v>145474.89059174177</v>
      </c>
      <c r="J76" s="208">
        <f t="shared" si="11"/>
        <v>145474.89059174177</v>
      </c>
      <c r="K76" s="202"/>
      <c r="L76" s="202"/>
      <c r="M76" s="202"/>
      <c r="N76" s="202"/>
    </row>
    <row r="77" spans="1:14" x14ac:dyDescent="0.3">
      <c r="A77" s="202"/>
      <c r="B77" s="202"/>
      <c r="C77" s="202"/>
      <c r="D77" s="202"/>
      <c r="E77" s="202"/>
      <c r="F77" s="202"/>
      <c r="G77" s="206">
        <f t="shared" si="10"/>
        <v>31</v>
      </c>
      <c r="H77" s="207">
        <f>(H33+H34)/2*'Rate Base &amp; Cost Capital'!E$25</f>
        <v>85989.976161945859</v>
      </c>
      <c r="I77" s="207">
        <f t="shared" si="12"/>
        <v>122842.82308849409</v>
      </c>
      <c r="J77" s="208">
        <f t="shared" si="11"/>
        <v>122842.82308849409</v>
      </c>
      <c r="K77" s="202"/>
      <c r="L77" s="202"/>
      <c r="M77" s="202"/>
      <c r="N77" s="202"/>
    </row>
    <row r="78" spans="1:14" x14ac:dyDescent="0.3">
      <c r="A78" s="202"/>
      <c r="B78" s="202"/>
      <c r="C78" s="202"/>
      <c r="D78" s="202"/>
      <c r="E78" s="202"/>
      <c r="F78" s="202"/>
      <c r="G78" s="206">
        <f t="shared" si="10"/>
        <v>32</v>
      </c>
      <c r="H78" s="207">
        <f>(H34+H35)/2*'Rate Base &amp; Cost Capital'!E$25</f>
        <v>70230.69136244031</v>
      </c>
      <c r="I78" s="207">
        <f t="shared" si="12"/>
        <v>100329.55908920045</v>
      </c>
      <c r="J78" s="208">
        <f t="shared" si="11"/>
        <v>100329.55908920045</v>
      </c>
      <c r="K78" s="202"/>
      <c r="L78" s="202"/>
      <c r="M78" s="202"/>
      <c r="N78" s="202"/>
    </row>
    <row r="79" spans="1:14" x14ac:dyDescent="0.3">
      <c r="A79" s="202"/>
      <c r="B79" s="202"/>
      <c r="C79" s="202"/>
      <c r="D79" s="202"/>
      <c r="E79" s="202"/>
      <c r="F79" s="202"/>
      <c r="G79" s="206">
        <f t="shared" si="10"/>
        <v>33</v>
      </c>
      <c r="H79" s="207">
        <f>(H35+H36)/2*'Rate Base &amp; Cost Capital'!E$25</f>
        <v>54554.569015702589</v>
      </c>
      <c r="I79" s="207">
        <f t="shared" si="12"/>
        <v>77935.09859386085</v>
      </c>
      <c r="J79" s="208">
        <f t="shared" si="11"/>
        <v>77935.09859386085</v>
      </c>
      <c r="K79" s="202"/>
      <c r="L79" s="202"/>
      <c r="M79" s="202"/>
      <c r="N79" s="202"/>
    </row>
    <row r="80" spans="1:14" x14ac:dyDescent="0.3">
      <c r="A80" s="202"/>
      <c r="B80" s="202"/>
      <c r="C80" s="202"/>
      <c r="D80" s="202"/>
      <c r="E80" s="202"/>
      <c r="F80" s="202"/>
      <c r="G80" s="206">
        <f t="shared" si="10"/>
        <v>34</v>
      </c>
      <c r="H80" s="207">
        <f>(H36+H37)/2*'Rate Base &amp; Cost Capital'!E$25</f>
        <v>38961.609121732719</v>
      </c>
      <c r="I80" s="207">
        <f t="shared" si="12"/>
        <v>55659.441602475315</v>
      </c>
      <c r="J80" s="208">
        <f t="shared" ref="J80:J81" si="13">SUM(I80:I80)</f>
        <v>55659.441602475315</v>
      </c>
      <c r="K80" s="202"/>
      <c r="L80" s="202"/>
      <c r="M80" s="202"/>
      <c r="N80" s="202"/>
    </row>
    <row r="81" spans="1:14" x14ac:dyDescent="0.3">
      <c r="A81" s="202"/>
      <c r="B81" s="202"/>
      <c r="C81" s="202"/>
      <c r="D81" s="202"/>
      <c r="E81" s="202"/>
      <c r="F81" s="202"/>
      <c r="G81" s="206">
        <f t="shared" si="10"/>
        <v>35</v>
      </c>
      <c r="H81" s="207">
        <f>(H37+H38)/2*'Rate Base &amp; Cost Capital'!E$25</f>
        <v>23431.021067338726</v>
      </c>
      <c r="I81" s="207">
        <f t="shared" si="12"/>
        <v>33472.887239055322</v>
      </c>
      <c r="J81" s="208">
        <f t="shared" si="13"/>
        <v>33472.887239055322</v>
      </c>
      <c r="K81" s="202"/>
      <c r="L81" s="202"/>
      <c r="M81" s="202"/>
      <c r="N81" s="202"/>
    </row>
    <row r="82" spans="1:14" x14ac:dyDescent="0.3">
      <c r="A82" s="202"/>
      <c r="B82" s="202"/>
      <c r="C82" s="202"/>
      <c r="D82" s="202"/>
      <c r="E82" s="202"/>
      <c r="F82" s="202"/>
      <c r="G82" s="206">
        <f t="shared" si="10"/>
        <v>36</v>
      </c>
      <c r="H82" s="207">
        <f>(H38+H39)/2*'Rate Base &amp; Cost Capital'!E$25</f>
        <v>11746.696453457304</v>
      </c>
      <c r="I82" s="207">
        <f t="shared" si="12"/>
        <v>16780.994933510436</v>
      </c>
      <c r="J82" s="208">
        <f t="shared" ref="J82" si="14">SUM(I82:I82)</f>
        <v>16780.994933510436</v>
      </c>
      <c r="K82" s="202"/>
      <c r="L82" s="202"/>
      <c r="M82" s="202"/>
      <c r="N82" s="202"/>
    </row>
    <row r="83" spans="1:14" x14ac:dyDescent="0.3">
      <c r="A83" s="202"/>
      <c r="B83" s="202"/>
      <c r="C83" s="202"/>
      <c r="D83" s="202"/>
      <c r="E83" s="202"/>
      <c r="F83" s="202"/>
      <c r="G83" s="206"/>
      <c r="H83" s="207"/>
      <c r="I83" s="207"/>
      <c r="J83" s="208"/>
      <c r="K83" s="202"/>
      <c r="L83" s="202"/>
      <c r="M83" s="202"/>
      <c r="N83" s="202"/>
    </row>
    <row r="84" spans="1:14" x14ac:dyDescent="0.3">
      <c r="A84" s="202"/>
      <c r="B84" s="202"/>
      <c r="C84" s="202"/>
      <c r="D84" s="202"/>
      <c r="E84" s="202"/>
      <c r="F84" s="202"/>
      <c r="G84" s="209"/>
      <c r="H84" s="210"/>
      <c r="I84" s="210"/>
      <c r="J84" s="211"/>
      <c r="K84" s="202"/>
      <c r="L84" s="202"/>
      <c r="M84" s="202"/>
      <c r="N84" s="202"/>
    </row>
    <row r="85" spans="1:14" x14ac:dyDescent="0.3">
      <c r="A85" s="202"/>
      <c r="B85" s="202"/>
      <c r="C85" s="202"/>
      <c r="D85" s="202"/>
      <c r="E85" s="202"/>
      <c r="F85" s="202"/>
      <c r="G85" s="195"/>
      <c r="H85" s="207"/>
      <c r="I85" s="207"/>
      <c r="J85" s="207"/>
      <c r="K85" s="202"/>
      <c r="L85" s="202"/>
      <c r="M85" s="202"/>
      <c r="N85" s="202"/>
    </row>
    <row r="86" spans="1:14" x14ac:dyDescent="0.3">
      <c r="A86" s="202"/>
      <c r="B86" s="202"/>
      <c r="C86" s="202"/>
      <c r="D86" s="202"/>
      <c r="E86" s="202"/>
      <c r="F86" s="202"/>
      <c r="K86" s="202"/>
      <c r="L86" s="202"/>
      <c r="M86" s="202"/>
      <c r="N86" s="202"/>
    </row>
    <row r="87" spans="1:14" x14ac:dyDescent="0.3">
      <c r="A87" s="202"/>
      <c r="B87" s="202"/>
      <c r="C87" s="202"/>
      <c r="D87" s="202"/>
      <c r="E87" s="202"/>
      <c r="F87" s="202"/>
      <c r="K87" s="202"/>
      <c r="L87" s="202"/>
      <c r="M87" s="202"/>
      <c r="N87" s="202"/>
    </row>
    <row r="88" spans="1:14" x14ac:dyDescent="0.3">
      <c r="A88" s="202"/>
      <c r="B88" s="202"/>
      <c r="C88" s="202"/>
      <c r="D88" s="202"/>
      <c r="E88" s="202"/>
      <c r="F88" s="202"/>
      <c r="K88" s="197"/>
      <c r="L88" s="202"/>
      <c r="M88" s="202"/>
      <c r="N88" s="202"/>
    </row>
    <row r="89" spans="1:14" x14ac:dyDescent="0.3">
      <c r="A89" s="202"/>
    </row>
    <row r="90" spans="1:14" x14ac:dyDescent="0.3">
      <c r="A90" s="202"/>
    </row>
    <row r="91" spans="1:14" x14ac:dyDescent="0.3">
      <c r="A91" s="202"/>
    </row>
    <row r="92" spans="1:14" x14ac:dyDescent="0.3">
      <c r="A92" s="202"/>
    </row>
  </sheetData>
  <mergeCells count="1">
    <mergeCell ref="G45:J45"/>
  </mergeCells>
  <pageMargins left="0.7" right="0.7" top="0.75" bottom="0.75" header="0.3" footer="0.3"/>
  <pageSetup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216</v>
      </c>
      <c r="B2" t="s">
        <v>217</v>
      </c>
      <c r="C2" t="s">
        <v>218</v>
      </c>
      <c r="D2" t="s">
        <v>219</v>
      </c>
    </row>
    <row r="3" spans="1:4" x14ac:dyDescent="0.3">
      <c r="A3" t="s">
        <v>220</v>
      </c>
      <c r="B3" s="248">
        <v>1275</v>
      </c>
      <c r="C3" s="171">
        <v>662.19</v>
      </c>
      <c r="D3" s="249">
        <f>+B3*C3</f>
        <v>844292.25000000012</v>
      </c>
    </row>
    <row r="4" spans="1:4" x14ac:dyDescent="0.3">
      <c r="A4" t="s">
        <v>221</v>
      </c>
      <c r="B4" s="248">
        <v>140</v>
      </c>
      <c r="C4" s="247">
        <f>30.68*0.5</f>
        <v>15.34</v>
      </c>
      <c r="D4" s="248">
        <f>+B4*C4</f>
        <v>2147.6</v>
      </c>
    </row>
    <row r="5" spans="1:4" x14ac:dyDescent="0.3">
      <c r="A5" t="s">
        <v>222</v>
      </c>
      <c r="B5" s="248"/>
      <c r="C5" s="247"/>
      <c r="D5" s="248">
        <v>72319.156024430864</v>
      </c>
    </row>
    <row r="6" spans="1:4" x14ac:dyDescent="0.3">
      <c r="A6" t="s">
        <v>223</v>
      </c>
      <c r="B6" s="248">
        <v>445</v>
      </c>
      <c r="C6" s="247">
        <v>814.33</v>
      </c>
      <c r="D6" s="251">
        <f>+B6*C6</f>
        <v>362376.85000000003</v>
      </c>
    </row>
    <row r="7" spans="1:4" ht="15" thickBot="1" x14ac:dyDescent="0.35">
      <c r="A7" t="s">
        <v>225</v>
      </c>
      <c r="B7" s="248"/>
      <c r="D7" s="252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57" workbookViewId="0">
      <selection activeCell="D38" sqref="D38:I38"/>
    </sheetView>
  </sheetViews>
  <sheetFormatPr defaultColWidth="7.88671875" defaultRowHeight="10.199999999999999" x14ac:dyDescent="0.2"/>
  <cols>
    <col min="1" max="1" width="5.5546875" style="106" customWidth="1"/>
    <col min="2" max="2" width="25.88671875" style="105" customWidth="1"/>
    <col min="3" max="3" width="11.5546875" style="106" customWidth="1"/>
    <col min="4" max="4" width="12.109375" style="106" customWidth="1"/>
    <col min="5" max="5" width="12.44140625" style="106" customWidth="1"/>
    <col min="6" max="6" width="11.88671875" style="106" customWidth="1"/>
    <col min="7" max="7" width="13.44140625" style="106" bestFit="1" customWidth="1"/>
    <col min="8" max="8" width="12" style="106" bestFit="1" customWidth="1"/>
    <col min="9" max="9" width="10.88671875" style="106" customWidth="1"/>
    <col min="10" max="10" width="12" style="106" bestFit="1" customWidth="1"/>
    <col min="11" max="11" width="12.88671875" style="106" customWidth="1"/>
    <col min="12" max="12" width="16.44140625" style="106" customWidth="1"/>
    <col min="13" max="13" width="15.44140625" style="106" bestFit="1" customWidth="1"/>
    <col min="14" max="14" width="11.5546875" style="106" customWidth="1"/>
    <col min="15" max="15" width="14.5546875" style="106" bestFit="1" customWidth="1"/>
    <col min="16" max="16" width="12.6640625" style="106" bestFit="1" customWidth="1"/>
    <col min="17" max="17" width="15.33203125" style="106" bestFit="1" customWidth="1"/>
    <col min="18" max="18" width="18.109375" style="106" bestFit="1" customWidth="1"/>
    <col min="19" max="19" width="14.88671875" style="106" customWidth="1"/>
    <col min="20" max="20" width="16.44140625" style="106" customWidth="1"/>
    <col min="21" max="22" width="11.5546875" style="106" customWidth="1"/>
    <col min="23" max="23" width="11.44140625" style="106" customWidth="1"/>
    <col min="24" max="25" width="12" style="106" bestFit="1" customWidth="1"/>
    <col min="26" max="26" width="11.33203125" style="106" bestFit="1" customWidth="1"/>
    <col min="27" max="27" width="12.88671875" style="106" customWidth="1"/>
    <col min="28" max="28" width="11.33203125" style="106" bestFit="1" customWidth="1"/>
    <col min="29" max="30" width="11.5546875" style="106" customWidth="1"/>
    <col min="31" max="31" width="11.44140625" style="106" customWidth="1"/>
    <col min="32" max="32" width="13.5546875" style="106" bestFit="1" customWidth="1"/>
    <col min="33" max="34" width="11.5546875" style="106" customWidth="1"/>
    <col min="35" max="35" width="11.44140625" style="106" customWidth="1"/>
    <col min="36" max="43" width="13.5546875" style="106" bestFit="1" customWidth="1"/>
    <col min="44" max="47" width="10.44140625" style="106" bestFit="1" customWidth="1"/>
    <col min="48" max="209" width="10.6640625" style="106" bestFit="1" customWidth="1"/>
    <col min="210" max="16384" width="7.88671875" style="106"/>
  </cols>
  <sheetData>
    <row r="1" spans="1:35" s="95" customFormat="1" ht="13.2" x14ac:dyDescent="0.25">
      <c r="A1" s="94" t="s">
        <v>130</v>
      </c>
      <c r="B1" s="94"/>
      <c r="G1" s="96"/>
      <c r="H1" s="97"/>
      <c r="P1" s="97"/>
      <c r="X1" s="97"/>
    </row>
    <row r="2" spans="1:35" s="95" customFormat="1" ht="12" x14ac:dyDescent="0.25">
      <c r="A2" s="94" t="s">
        <v>131</v>
      </c>
      <c r="B2" s="94"/>
    </row>
    <row r="3" spans="1:35" s="103" customFormat="1" ht="12" x14ac:dyDescent="0.25">
      <c r="A3" s="98"/>
      <c r="B3" s="98"/>
      <c r="C3" s="99"/>
      <c r="D3" s="99"/>
      <c r="E3" s="99"/>
      <c r="F3" s="99"/>
      <c r="G3" s="99"/>
      <c r="H3" s="99"/>
      <c r="I3" s="100"/>
      <c r="J3" s="99"/>
      <c r="K3" s="101"/>
      <c r="L3" s="102"/>
      <c r="M3" s="102"/>
      <c r="N3" s="102"/>
      <c r="O3" s="102"/>
      <c r="P3" s="99"/>
      <c r="Q3" s="100"/>
      <c r="R3" s="99"/>
      <c r="S3" s="101"/>
      <c r="T3" s="102"/>
      <c r="U3" s="102"/>
      <c r="V3" s="102"/>
      <c r="W3" s="102"/>
      <c r="X3" s="99"/>
      <c r="Y3" s="100"/>
      <c r="Z3" s="99"/>
      <c r="AA3" s="101"/>
      <c r="AB3" s="102"/>
      <c r="AC3" s="102"/>
      <c r="AD3" s="102"/>
      <c r="AE3" s="102"/>
      <c r="AF3" s="102"/>
      <c r="AG3" s="102"/>
      <c r="AH3" s="102"/>
      <c r="AI3" s="102"/>
    </row>
    <row r="4" spans="1:35" ht="11.4" x14ac:dyDescent="0.2">
      <c r="A4" s="104"/>
      <c r="D4" s="107"/>
    </row>
    <row r="5" spans="1:35" ht="11.4" x14ac:dyDescent="0.2">
      <c r="A5" s="103"/>
      <c r="C5" s="108" t="s">
        <v>132</v>
      </c>
      <c r="D5" s="109">
        <v>1</v>
      </c>
      <c r="E5" s="110">
        <f>D5</f>
        <v>1</v>
      </c>
      <c r="F5" s="110">
        <f>E5</f>
        <v>1</v>
      </c>
      <c r="G5" s="108" t="s">
        <v>132</v>
      </c>
      <c r="H5" s="109">
        <f>G6+1</f>
        <v>2</v>
      </c>
      <c r="I5" s="111">
        <f>H5</f>
        <v>2</v>
      </c>
      <c r="J5" s="111">
        <f>I5</f>
        <v>2</v>
      </c>
      <c r="K5" s="108" t="s">
        <v>132</v>
      </c>
      <c r="L5" s="109">
        <f>+K6+1</f>
        <v>3</v>
      </c>
      <c r="M5" s="111">
        <f>+L5</f>
        <v>3</v>
      </c>
      <c r="N5" s="111">
        <f>+M5</f>
        <v>3</v>
      </c>
      <c r="O5" s="108" t="s">
        <v>132</v>
      </c>
      <c r="P5" s="109">
        <f>O6+1</f>
        <v>4</v>
      </c>
      <c r="Q5" s="111">
        <f>P5</f>
        <v>4</v>
      </c>
      <c r="R5" s="111">
        <f>Q5</f>
        <v>4</v>
      </c>
      <c r="S5" s="108" t="s">
        <v>132</v>
      </c>
      <c r="T5" s="109">
        <f>+S6+1</f>
        <v>5</v>
      </c>
      <c r="U5" s="111">
        <f>+T5</f>
        <v>5</v>
      </c>
      <c r="V5" s="111">
        <f>+U5</f>
        <v>5</v>
      </c>
      <c r="W5" s="108" t="s">
        <v>132</v>
      </c>
      <c r="X5" s="109">
        <f>W6+1</f>
        <v>6</v>
      </c>
      <c r="Y5" s="111">
        <f>X5</f>
        <v>6</v>
      </c>
      <c r="Z5" s="111">
        <f>Y5</f>
        <v>6</v>
      </c>
      <c r="AA5" s="108" t="s">
        <v>132</v>
      </c>
      <c r="AB5" s="109">
        <f>+AA6+1</f>
        <v>7</v>
      </c>
      <c r="AC5" s="111">
        <f>+AB5</f>
        <v>7</v>
      </c>
      <c r="AD5" s="111">
        <f>+AC5</f>
        <v>7</v>
      </c>
      <c r="AE5" s="108" t="s">
        <v>132</v>
      </c>
      <c r="AF5" s="109">
        <f>+AE6+1</f>
        <v>8</v>
      </c>
      <c r="AG5" s="111">
        <f>+AF5</f>
        <v>8</v>
      </c>
      <c r="AH5" s="111">
        <f>+AG5</f>
        <v>8</v>
      </c>
      <c r="AI5" s="108" t="s">
        <v>132</v>
      </c>
    </row>
    <row r="6" spans="1:35" ht="12" x14ac:dyDescent="0.25">
      <c r="A6" s="112" t="s">
        <v>133</v>
      </c>
      <c r="C6" s="113">
        <v>2022</v>
      </c>
      <c r="D6" s="114" t="s">
        <v>134</v>
      </c>
      <c r="E6" s="115" t="s">
        <v>135</v>
      </c>
      <c r="F6" s="115" t="s">
        <v>136</v>
      </c>
      <c r="G6" s="113">
        <f>+F5</f>
        <v>1</v>
      </c>
      <c r="H6" s="114" t="s">
        <v>134</v>
      </c>
      <c r="I6" s="116" t="s">
        <v>135</v>
      </c>
      <c r="J6" s="116" t="str">
        <f>+F6</f>
        <v>WIP</v>
      </c>
      <c r="K6" s="113">
        <f>+I5</f>
        <v>2</v>
      </c>
      <c r="L6" s="114" t="s">
        <v>134</v>
      </c>
      <c r="M6" s="117" t="s">
        <v>137</v>
      </c>
      <c r="N6" s="118" t="str">
        <f>+J6</f>
        <v>WIP</v>
      </c>
      <c r="O6" s="119">
        <f>+M5</f>
        <v>3</v>
      </c>
      <c r="P6" s="114" t="s">
        <v>134</v>
      </c>
      <c r="Q6" s="116" t="s">
        <v>135</v>
      </c>
      <c r="R6" s="116" t="str">
        <f>+N6</f>
        <v>WIP</v>
      </c>
      <c r="S6" s="113">
        <f>+Q5</f>
        <v>4</v>
      </c>
      <c r="T6" s="114" t="s">
        <v>134</v>
      </c>
      <c r="U6" s="117" t="s">
        <v>137</v>
      </c>
      <c r="V6" s="118" t="str">
        <f>+R6</f>
        <v>WIP</v>
      </c>
      <c r="W6" s="119">
        <f>+U5</f>
        <v>5</v>
      </c>
      <c r="X6" s="114" t="s">
        <v>134</v>
      </c>
      <c r="Y6" s="116" t="s">
        <v>135</v>
      </c>
      <c r="Z6" s="116" t="str">
        <f>+V6</f>
        <v>WIP</v>
      </c>
      <c r="AA6" s="113">
        <f>+Y5</f>
        <v>6</v>
      </c>
      <c r="AB6" s="114" t="s">
        <v>134</v>
      </c>
      <c r="AC6" s="117" t="s">
        <v>137</v>
      </c>
      <c r="AD6" s="118" t="str">
        <f>+Z6</f>
        <v>WIP</v>
      </c>
      <c r="AE6" s="119">
        <f>+AC5</f>
        <v>7</v>
      </c>
      <c r="AF6" s="114" t="s">
        <v>134</v>
      </c>
      <c r="AG6" s="117" t="s">
        <v>137</v>
      </c>
      <c r="AH6" s="118" t="str">
        <f>+AD6</f>
        <v>WIP</v>
      </c>
      <c r="AI6" s="119">
        <f>+AG5</f>
        <v>8</v>
      </c>
    </row>
    <row r="7" spans="1:35" ht="11.4" x14ac:dyDescent="0.2">
      <c r="A7" s="120"/>
      <c r="C7" s="121"/>
      <c r="D7" s="122"/>
      <c r="E7" s="123"/>
      <c r="F7" s="123"/>
      <c r="G7" s="121"/>
      <c r="H7" s="122"/>
      <c r="I7" s="123"/>
      <c r="J7" s="123"/>
      <c r="K7" s="121"/>
      <c r="L7" s="122"/>
      <c r="M7" s="123"/>
      <c r="N7" s="123"/>
      <c r="O7" s="121"/>
      <c r="P7" s="122"/>
      <c r="Q7" s="123"/>
      <c r="R7" s="123"/>
      <c r="S7" s="121"/>
      <c r="T7" s="122"/>
      <c r="U7" s="123"/>
      <c r="V7" s="123"/>
      <c r="W7" s="121"/>
      <c r="X7" s="122"/>
      <c r="Y7" s="123"/>
      <c r="Z7" s="123"/>
      <c r="AA7" s="121"/>
      <c r="AB7" s="122"/>
      <c r="AC7" s="123"/>
      <c r="AD7" s="123"/>
      <c r="AE7" s="121"/>
      <c r="AF7" s="122"/>
      <c r="AG7" s="123"/>
      <c r="AH7" s="123"/>
      <c r="AI7" s="121"/>
    </row>
    <row r="8" spans="1:35" ht="11.4" hidden="1" x14ac:dyDescent="0.2">
      <c r="B8" s="104"/>
      <c r="C8" s="124"/>
      <c r="D8" s="125">
        <v>0</v>
      </c>
      <c r="E8" s="126"/>
      <c r="G8" s="124">
        <f t="shared" ref="G8:G17" si="0">SUM(C8+D8-E8)</f>
        <v>0</v>
      </c>
      <c r="H8" s="125">
        <v>0</v>
      </c>
      <c r="I8" s="127">
        <v>0</v>
      </c>
      <c r="J8" s="127"/>
      <c r="K8" s="124">
        <f>SUM(G8+H8-I8)</f>
        <v>0</v>
      </c>
      <c r="L8" s="125"/>
      <c r="M8" s="127"/>
      <c r="O8" s="124">
        <f>SUM(K8+L8-M8)</f>
        <v>0</v>
      </c>
      <c r="P8" s="125">
        <v>0</v>
      </c>
      <c r="Q8" s="127">
        <v>0</v>
      </c>
      <c r="R8" s="127"/>
      <c r="S8" s="124">
        <f>SUM(O8+P8-Q8)</f>
        <v>0</v>
      </c>
      <c r="T8" s="125"/>
      <c r="U8" s="127"/>
      <c r="W8" s="124">
        <f>SUM(S8+T8-U8)</f>
        <v>0</v>
      </c>
      <c r="X8" s="125">
        <v>0</v>
      </c>
      <c r="Y8" s="127"/>
      <c r="Z8" s="127"/>
      <c r="AA8" s="124">
        <f>SUM(W8+X8-Y8)</f>
        <v>0</v>
      </c>
      <c r="AB8" s="125"/>
      <c r="AC8" s="127"/>
      <c r="AE8" s="124">
        <f>SUM(AA8+AB8-AC8)</f>
        <v>0</v>
      </c>
      <c r="AF8" s="125"/>
      <c r="AG8" s="127"/>
      <c r="AI8" s="124">
        <f>SUM(AE8+AF8-AG8)</f>
        <v>0</v>
      </c>
    </row>
    <row r="9" spans="1:35" ht="11.4" hidden="1" x14ac:dyDescent="0.2">
      <c r="B9" s="104"/>
      <c r="C9" s="124"/>
      <c r="D9" s="127"/>
      <c r="E9" s="127"/>
      <c r="F9" s="127"/>
      <c r="G9" s="124">
        <f t="shared" si="0"/>
        <v>0</v>
      </c>
      <c r="H9" s="128"/>
      <c r="I9" s="127"/>
      <c r="J9" s="127"/>
      <c r="K9" s="124">
        <f t="shared" ref="K9:K17" si="1">SUM(G9+H9-I9)</f>
        <v>0</v>
      </c>
      <c r="L9" s="125"/>
      <c r="M9" s="127"/>
      <c r="N9" s="127"/>
      <c r="O9" s="124">
        <f t="shared" ref="O9:O17" si="2">SUM(K9+L9-M9)</f>
        <v>0</v>
      </c>
      <c r="P9" s="128"/>
      <c r="Q9" s="127"/>
      <c r="R9" s="127"/>
      <c r="S9" s="124">
        <f t="shared" ref="S9:S17" si="3">SUM(O9+P9-Q9)</f>
        <v>0</v>
      </c>
      <c r="T9" s="125"/>
      <c r="U9" s="127"/>
      <c r="V9" s="127"/>
      <c r="W9" s="124">
        <f t="shared" ref="W9" si="4">SUM(S9+T9-U9)</f>
        <v>0</v>
      </c>
      <c r="X9" s="128"/>
      <c r="Y9" s="127"/>
      <c r="Z9" s="127"/>
      <c r="AA9" s="124">
        <f t="shared" ref="AA9:AA17" si="5">SUM(W9+X9-Y9)</f>
        <v>0</v>
      </c>
      <c r="AB9" s="125"/>
      <c r="AC9" s="127"/>
      <c r="AD9" s="127"/>
      <c r="AE9" s="124">
        <f t="shared" ref="AE9" si="6">SUM(AA9+AB9-AC9)</f>
        <v>0</v>
      </c>
      <c r="AF9" s="125"/>
      <c r="AG9" s="127"/>
      <c r="AH9" s="127"/>
      <c r="AI9" s="124">
        <f t="shared" ref="AI9" si="7">SUM(AE9+AF9-AG9)</f>
        <v>0</v>
      </c>
    </row>
    <row r="10" spans="1:35" ht="11.4" hidden="1" x14ac:dyDescent="0.2">
      <c r="B10" s="104"/>
      <c r="C10" s="124"/>
      <c r="D10" s="127"/>
      <c r="E10" s="127"/>
      <c r="F10" s="126"/>
      <c r="G10" s="124">
        <f t="shared" si="0"/>
        <v>0</v>
      </c>
      <c r="H10" s="128"/>
      <c r="I10" s="127"/>
      <c r="J10" s="126"/>
      <c r="K10" s="124">
        <f t="shared" si="1"/>
        <v>0</v>
      </c>
      <c r="L10" s="125"/>
      <c r="M10" s="127"/>
      <c r="N10" s="127"/>
      <c r="O10" s="124">
        <f>SUM(K10+L10-M10)</f>
        <v>0</v>
      </c>
      <c r="P10" s="128"/>
      <c r="Q10" s="127"/>
      <c r="R10" s="126"/>
      <c r="S10" s="124">
        <f t="shared" si="3"/>
        <v>0</v>
      </c>
      <c r="T10" s="125"/>
      <c r="U10" s="127"/>
      <c r="V10" s="127"/>
      <c r="W10" s="124">
        <f>SUM(S10+T10-U10)</f>
        <v>0</v>
      </c>
      <c r="X10" s="128"/>
      <c r="Y10" s="127"/>
      <c r="Z10" s="126"/>
      <c r="AA10" s="124">
        <f t="shared" si="5"/>
        <v>0</v>
      </c>
      <c r="AB10" s="125"/>
      <c r="AC10" s="127"/>
      <c r="AD10" s="127"/>
      <c r="AE10" s="124">
        <f>SUM(AA10+AB10-AC10)</f>
        <v>0</v>
      </c>
      <c r="AF10" s="125"/>
      <c r="AG10" s="127"/>
      <c r="AH10" s="127"/>
      <c r="AI10" s="124">
        <f>SUM(AE10+AF10-AG10)</f>
        <v>0</v>
      </c>
    </row>
    <row r="11" spans="1:35" ht="11.4" hidden="1" x14ac:dyDescent="0.2">
      <c r="B11" s="104"/>
      <c r="C11" s="124"/>
      <c r="D11" s="127"/>
      <c r="E11" s="127"/>
      <c r="F11" s="126"/>
      <c r="G11" s="124">
        <f t="shared" si="0"/>
        <v>0</v>
      </c>
      <c r="H11" s="128"/>
      <c r="I11" s="127"/>
      <c r="J11" s="126"/>
      <c r="K11" s="124">
        <f t="shared" si="1"/>
        <v>0</v>
      </c>
      <c r="L11" s="125"/>
      <c r="M11" s="127"/>
      <c r="N11" s="127"/>
      <c r="O11" s="124">
        <f t="shared" si="2"/>
        <v>0</v>
      </c>
      <c r="P11" s="128"/>
      <c r="Q11" s="127"/>
      <c r="R11" s="126"/>
      <c r="S11" s="124">
        <f t="shared" si="3"/>
        <v>0</v>
      </c>
      <c r="T11" s="125"/>
      <c r="U11" s="127"/>
      <c r="V11" s="127"/>
      <c r="W11" s="124">
        <f t="shared" ref="W11:W17" si="8">SUM(S11+T11-U11)</f>
        <v>0</v>
      </c>
      <c r="X11" s="128"/>
      <c r="Y11" s="127"/>
      <c r="Z11" s="126"/>
      <c r="AA11" s="124">
        <f t="shared" si="5"/>
        <v>0</v>
      </c>
      <c r="AB11" s="125"/>
      <c r="AC11" s="127"/>
      <c r="AD11" s="127"/>
      <c r="AE11" s="124">
        <f t="shared" ref="AE11:AE17" si="9">SUM(AA11+AB11-AC11)</f>
        <v>0</v>
      </c>
      <c r="AF11" s="125"/>
      <c r="AG11" s="127"/>
      <c r="AH11" s="127"/>
      <c r="AI11" s="124">
        <f t="shared" ref="AI11:AI17" si="10">SUM(AE11+AF11-AG11)</f>
        <v>0</v>
      </c>
    </row>
    <row r="12" spans="1:35" ht="11.4" x14ac:dyDescent="0.2">
      <c r="A12" s="127"/>
      <c r="B12" s="104" t="s">
        <v>138</v>
      </c>
      <c r="C12" s="124">
        <v>0</v>
      </c>
      <c r="D12" s="127">
        <f>+'Total Annual Impact'!B4</f>
        <v>14755819.359999999</v>
      </c>
      <c r="E12" s="127">
        <f>+Retirements!D7</f>
        <v>1281135.8560244311</v>
      </c>
      <c r="F12" s="126"/>
      <c r="G12" s="124">
        <f t="shared" si="0"/>
        <v>13474683.503975568</v>
      </c>
      <c r="H12" s="128">
        <v>0</v>
      </c>
      <c r="I12" s="127">
        <v>0</v>
      </c>
      <c r="J12" s="126"/>
      <c r="K12" s="124">
        <f t="shared" si="1"/>
        <v>13474683.503975568</v>
      </c>
      <c r="L12" s="125">
        <v>0</v>
      </c>
      <c r="M12" s="127"/>
      <c r="N12" s="127"/>
      <c r="O12" s="124">
        <f t="shared" si="2"/>
        <v>13474683.503975568</v>
      </c>
      <c r="P12" s="128"/>
      <c r="Q12" s="127"/>
      <c r="R12" s="126"/>
      <c r="S12" s="124">
        <f t="shared" si="3"/>
        <v>13474683.503975568</v>
      </c>
      <c r="T12" s="125">
        <v>0</v>
      </c>
      <c r="U12" s="127"/>
      <c r="V12" s="127"/>
      <c r="W12" s="124">
        <f t="shared" si="8"/>
        <v>13474683.503975568</v>
      </c>
      <c r="X12" s="128"/>
      <c r="Y12" s="127"/>
      <c r="Z12" s="126"/>
      <c r="AA12" s="124">
        <f t="shared" si="5"/>
        <v>13474683.503975568</v>
      </c>
      <c r="AB12" s="125"/>
      <c r="AC12" s="127"/>
      <c r="AD12" s="127"/>
      <c r="AE12" s="124">
        <f t="shared" si="9"/>
        <v>13474683.503975568</v>
      </c>
      <c r="AF12" s="125">
        <v>0</v>
      </c>
      <c r="AG12" s="127"/>
      <c r="AH12" s="127"/>
      <c r="AI12" s="124">
        <f t="shared" si="10"/>
        <v>13474683.503975568</v>
      </c>
    </row>
    <row r="13" spans="1:35" ht="11.4" hidden="1" x14ac:dyDescent="0.2">
      <c r="A13" s="127"/>
      <c r="B13" s="104"/>
      <c r="C13" s="124"/>
      <c r="D13" s="127"/>
      <c r="E13" s="127"/>
      <c r="F13" s="126"/>
      <c r="G13" s="124">
        <f t="shared" si="0"/>
        <v>0</v>
      </c>
      <c r="H13" s="128"/>
      <c r="I13" s="129"/>
      <c r="J13" s="126"/>
      <c r="K13" s="124">
        <f t="shared" si="1"/>
        <v>0</v>
      </c>
      <c r="L13" s="125"/>
      <c r="M13" s="129"/>
      <c r="N13" s="127"/>
      <c r="O13" s="124">
        <f t="shared" si="2"/>
        <v>0</v>
      </c>
      <c r="P13" s="128"/>
      <c r="Q13" s="129"/>
      <c r="R13" s="126"/>
      <c r="S13" s="124">
        <f t="shared" si="3"/>
        <v>0</v>
      </c>
      <c r="T13" s="125"/>
      <c r="U13" s="129"/>
      <c r="V13" s="127"/>
      <c r="W13" s="124">
        <f t="shared" si="8"/>
        <v>0</v>
      </c>
      <c r="X13" s="128"/>
      <c r="Y13" s="129"/>
      <c r="Z13" s="126"/>
      <c r="AA13" s="124">
        <f t="shared" si="5"/>
        <v>0</v>
      </c>
      <c r="AB13" s="125"/>
      <c r="AC13" s="129"/>
      <c r="AD13" s="127"/>
      <c r="AE13" s="124">
        <f t="shared" si="9"/>
        <v>0</v>
      </c>
      <c r="AF13" s="125"/>
      <c r="AG13" s="129"/>
      <c r="AH13" s="127"/>
      <c r="AI13" s="124">
        <f t="shared" si="10"/>
        <v>0</v>
      </c>
    </row>
    <row r="14" spans="1:35" ht="11.4" hidden="1" x14ac:dyDescent="0.2">
      <c r="B14" s="104"/>
      <c r="C14" s="124"/>
      <c r="D14" s="127"/>
      <c r="E14" s="126"/>
      <c r="F14" s="126"/>
      <c r="G14" s="124">
        <f t="shared" si="0"/>
        <v>0</v>
      </c>
      <c r="H14" s="128"/>
      <c r="I14" s="127"/>
      <c r="J14" s="126"/>
      <c r="K14" s="124">
        <f t="shared" si="1"/>
        <v>0</v>
      </c>
      <c r="L14" s="130"/>
      <c r="M14" s="126"/>
      <c r="N14" s="127">
        <f t="shared" ref="N14" si="11">+J14</f>
        <v>0</v>
      </c>
      <c r="O14" s="124">
        <f t="shared" si="2"/>
        <v>0</v>
      </c>
      <c r="P14" s="128"/>
      <c r="Q14" s="127"/>
      <c r="R14" s="126"/>
      <c r="S14" s="124">
        <f t="shared" si="3"/>
        <v>0</v>
      </c>
      <c r="T14" s="130"/>
      <c r="U14" s="126"/>
      <c r="V14" s="127">
        <f t="shared" ref="V14" si="12">+R14</f>
        <v>0</v>
      </c>
      <c r="W14" s="124">
        <f t="shared" si="8"/>
        <v>0</v>
      </c>
      <c r="X14" s="128"/>
      <c r="Y14" s="127"/>
      <c r="Z14" s="126"/>
      <c r="AA14" s="124">
        <f t="shared" si="5"/>
        <v>0</v>
      </c>
      <c r="AB14" s="130"/>
      <c r="AC14" s="126"/>
      <c r="AD14" s="127">
        <f t="shared" ref="AD14" si="13">+Z14</f>
        <v>0</v>
      </c>
      <c r="AE14" s="124">
        <f t="shared" si="9"/>
        <v>0</v>
      </c>
      <c r="AF14" s="130"/>
      <c r="AG14" s="126"/>
      <c r="AH14" s="127">
        <f t="shared" ref="AH14" si="14">+AD14</f>
        <v>0</v>
      </c>
      <c r="AI14" s="124">
        <f t="shared" si="10"/>
        <v>0</v>
      </c>
    </row>
    <row r="15" spans="1:35" ht="11.4" hidden="1" x14ac:dyDescent="0.2">
      <c r="B15" s="104"/>
      <c r="C15" s="124"/>
      <c r="D15" s="127"/>
      <c r="E15" s="126"/>
      <c r="F15" s="126"/>
      <c r="G15" s="124">
        <f t="shared" si="0"/>
        <v>0</v>
      </c>
      <c r="H15" s="128"/>
      <c r="I15" s="127"/>
      <c r="J15" s="126"/>
      <c r="K15" s="124">
        <f t="shared" si="1"/>
        <v>0</v>
      </c>
      <c r="L15" s="130"/>
      <c r="M15" s="126"/>
      <c r="N15" s="126"/>
      <c r="O15" s="124">
        <f t="shared" si="2"/>
        <v>0</v>
      </c>
      <c r="P15" s="128"/>
      <c r="Q15" s="127"/>
      <c r="R15" s="126"/>
      <c r="S15" s="124">
        <f t="shared" si="3"/>
        <v>0</v>
      </c>
      <c r="T15" s="130"/>
      <c r="U15" s="126"/>
      <c r="V15" s="126"/>
      <c r="W15" s="124">
        <f t="shared" si="8"/>
        <v>0</v>
      </c>
      <c r="X15" s="128"/>
      <c r="Y15" s="127"/>
      <c r="Z15" s="126"/>
      <c r="AA15" s="124">
        <f t="shared" si="5"/>
        <v>0</v>
      </c>
      <c r="AB15" s="130"/>
      <c r="AC15" s="126"/>
      <c r="AD15" s="126"/>
      <c r="AE15" s="124">
        <f t="shared" si="9"/>
        <v>0</v>
      </c>
      <c r="AF15" s="130"/>
      <c r="AG15" s="126"/>
      <c r="AH15" s="126"/>
      <c r="AI15" s="124">
        <f t="shared" si="10"/>
        <v>0</v>
      </c>
    </row>
    <row r="16" spans="1:35" ht="11.4" hidden="1" x14ac:dyDescent="0.2">
      <c r="B16" s="104"/>
      <c r="C16" s="124"/>
      <c r="D16" s="127"/>
      <c r="E16" s="126"/>
      <c r="F16" s="126"/>
      <c r="G16" s="124">
        <f>SUM(C16+D16-E16)</f>
        <v>0</v>
      </c>
      <c r="H16" s="128"/>
      <c r="I16" s="127"/>
      <c r="J16" s="126"/>
      <c r="K16" s="124">
        <f t="shared" si="1"/>
        <v>0</v>
      </c>
      <c r="L16" s="130"/>
      <c r="M16" s="126"/>
      <c r="N16" s="126"/>
      <c r="O16" s="124">
        <f t="shared" si="2"/>
        <v>0</v>
      </c>
      <c r="P16" s="128"/>
      <c r="Q16" s="127"/>
      <c r="R16" s="126"/>
      <c r="S16" s="124">
        <f t="shared" si="3"/>
        <v>0</v>
      </c>
      <c r="T16" s="130"/>
      <c r="U16" s="126"/>
      <c r="V16" s="126"/>
      <c r="W16" s="124">
        <f t="shared" si="8"/>
        <v>0</v>
      </c>
      <c r="X16" s="128"/>
      <c r="Y16" s="127"/>
      <c r="Z16" s="126"/>
      <c r="AA16" s="124">
        <f t="shared" si="5"/>
        <v>0</v>
      </c>
      <c r="AB16" s="130"/>
      <c r="AC16" s="126"/>
      <c r="AD16" s="126"/>
      <c r="AE16" s="124">
        <f t="shared" si="9"/>
        <v>0</v>
      </c>
      <c r="AF16" s="130"/>
      <c r="AG16" s="126"/>
      <c r="AH16" s="126"/>
      <c r="AI16" s="124">
        <f t="shared" si="10"/>
        <v>0</v>
      </c>
    </row>
    <row r="17" spans="1:210" ht="13.2" hidden="1" x14ac:dyDescent="0.35">
      <c r="B17" s="104"/>
      <c r="C17" s="131"/>
      <c r="D17" s="132"/>
      <c r="E17" s="133"/>
      <c r="F17" s="133">
        <v>0</v>
      </c>
      <c r="G17" s="131">
        <f t="shared" si="0"/>
        <v>0</v>
      </c>
      <c r="H17" s="132">
        <v>0</v>
      </c>
      <c r="I17" s="133">
        <v>0</v>
      </c>
      <c r="J17" s="133">
        <v>0</v>
      </c>
      <c r="K17" s="131">
        <f t="shared" si="1"/>
        <v>0</v>
      </c>
      <c r="L17" s="133">
        <v>0</v>
      </c>
      <c r="M17" s="133">
        <v>0</v>
      </c>
      <c r="N17" s="133">
        <v>0</v>
      </c>
      <c r="O17" s="131">
        <f t="shared" si="2"/>
        <v>0</v>
      </c>
      <c r="P17" s="132">
        <v>0</v>
      </c>
      <c r="Q17" s="133">
        <v>0</v>
      </c>
      <c r="R17" s="133">
        <v>0</v>
      </c>
      <c r="S17" s="131">
        <f t="shared" si="3"/>
        <v>0</v>
      </c>
      <c r="T17" s="133">
        <v>0</v>
      </c>
      <c r="U17" s="133"/>
      <c r="V17" s="133">
        <v>0</v>
      </c>
      <c r="W17" s="131">
        <f t="shared" si="8"/>
        <v>0</v>
      </c>
      <c r="X17" s="132">
        <v>0</v>
      </c>
      <c r="Y17" s="133"/>
      <c r="Z17" s="133">
        <v>0</v>
      </c>
      <c r="AA17" s="131">
        <f t="shared" si="5"/>
        <v>0</v>
      </c>
      <c r="AB17" s="133">
        <v>0</v>
      </c>
      <c r="AC17" s="133"/>
      <c r="AD17" s="133">
        <v>0</v>
      </c>
      <c r="AE17" s="131">
        <f t="shared" si="9"/>
        <v>0</v>
      </c>
      <c r="AF17" s="133">
        <v>0</v>
      </c>
      <c r="AG17" s="133"/>
      <c r="AH17" s="133">
        <v>0</v>
      </c>
      <c r="AI17" s="131">
        <f t="shared" si="10"/>
        <v>0</v>
      </c>
    </row>
    <row r="18" spans="1:210" ht="11.4" hidden="1" x14ac:dyDescent="0.2">
      <c r="A18" s="103"/>
      <c r="B18" s="134"/>
      <c r="C18" s="124"/>
      <c r="D18" s="135">
        <f t="shared" ref="D18:O18" si="15">SUM(D8:D17)</f>
        <v>14755819.359999999</v>
      </c>
      <c r="E18" s="126">
        <f>SUM(E8:E17)</f>
        <v>1281135.8560244311</v>
      </c>
      <c r="F18" s="126">
        <f>SUM(F9:F17)</f>
        <v>0</v>
      </c>
      <c r="G18" s="136">
        <f t="shared" si="15"/>
        <v>13474683.503975568</v>
      </c>
      <c r="H18" s="137">
        <f t="shared" si="15"/>
        <v>0</v>
      </c>
      <c r="I18" s="126">
        <f>SUM(I8:I17)</f>
        <v>0</v>
      </c>
      <c r="J18" s="126">
        <f t="shared" si="15"/>
        <v>0</v>
      </c>
      <c r="K18" s="136">
        <f t="shared" si="15"/>
        <v>13474683.503975568</v>
      </c>
      <c r="L18" s="137">
        <f t="shared" si="15"/>
        <v>0</v>
      </c>
      <c r="M18" s="126">
        <f t="shared" si="15"/>
        <v>0</v>
      </c>
      <c r="N18" s="126">
        <f>SUM(N9:N17)</f>
        <v>0</v>
      </c>
      <c r="O18" s="136">
        <f t="shared" si="15"/>
        <v>13474683.503975568</v>
      </c>
      <c r="P18" s="137">
        <f t="shared" ref="P18:U18" si="16">SUM(P8:P17)</f>
        <v>0</v>
      </c>
      <c r="Q18" s="126">
        <f t="shared" si="16"/>
        <v>0</v>
      </c>
      <c r="R18" s="126">
        <f t="shared" si="16"/>
        <v>0</v>
      </c>
      <c r="S18" s="136">
        <f t="shared" si="16"/>
        <v>13474683.503975568</v>
      </c>
      <c r="T18" s="137">
        <f t="shared" si="16"/>
        <v>0</v>
      </c>
      <c r="U18" s="126">
        <f t="shared" si="16"/>
        <v>0</v>
      </c>
      <c r="V18" s="126">
        <f>SUM(V9:V17)</f>
        <v>0</v>
      </c>
      <c r="W18" s="136">
        <f t="shared" ref="W18:AC18" si="17">SUM(W8:W17)</f>
        <v>13474683.503975568</v>
      </c>
      <c r="X18" s="137">
        <f t="shared" si="17"/>
        <v>0</v>
      </c>
      <c r="Y18" s="126">
        <f t="shared" si="17"/>
        <v>0</v>
      </c>
      <c r="Z18" s="126">
        <f t="shared" si="17"/>
        <v>0</v>
      </c>
      <c r="AA18" s="136">
        <f t="shared" si="17"/>
        <v>13474683.503975568</v>
      </c>
      <c r="AB18" s="137">
        <f t="shared" si="17"/>
        <v>0</v>
      </c>
      <c r="AC18" s="126">
        <f t="shared" si="17"/>
        <v>0</v>
      </c>
      <c r="AD18" s="126">
        <f>SUM(AD9:AD17)</f>
        <v>0</v>
      </c>
      <c r="AE18" s="136">
        <f t="shared" ref="AE18:AG18" si="18">SUM(AE8:AE17)</f>
        <v>13474683.503975568</v>
      </c>
      <c r="AF18" s="137">
        <f t="shared" si="18"/>
        <v>0</v>
      </c>
      <c r="AG18" s="126">
        <f t="shared" si="18"/>
        <v>0</v>
      </c>
      <c r="AH18" s="126">
        <f>SUM(AH9:AH17)</f>
        <v>0</v>
      </c>
      <c r="AI18" s="136">
        <f t="shared" ref="AI18" si="19">SUM(AI8:AI17)</f>
        <v>13474683.503975568</v>
      </c>
    </row>
    <row r="19" spans="1:210" ht="11.4" x14ac:dyDescent="0.2">
      <c r="A19" s="104"/>
      <c r="C19" s="124"/>
      <c r="D19" s="135"/>
      <c r="E19" s="138"/>
      <c r="F19" s="138"/>
      <c r="G19" s="124"/>
      <c r="H19" s="135"/>
      <c r="I19" s="138"/>
      <c r="J19" s="138"/>
      <c r="K19" s="124"/>
      <c r="L19" s="135"/>
      <c r="M19" s="138"/>
      <c r="N19" s="138"/>
      <c r="O19" s="124"/>
      <c r="P19" s="135"/>
      <c r="Q19" s="138"/>
      <c r="R19" s="138"/>
      <c r="S19" s="124"/>
      <c r="T19" s="135"/>
      <c r="U19" s="138"/>
      <c r="V19" s="138"/>
      <c r="W19" s="124"/>
      <c r="X19" s="135"/>
      <c r="Y19" s="138"/>
      <c r="Z19" s="138"/>
      <c r="AA19" s="124"/>
      <c r="AB19" s="135"/>
      <c r="AC19" s="138"/>
      <c r="AD19" s="138"/>
      <c r="AE19" s="124"/>
      <c r="AF19" s="135"/>
      <c r="AG19" s="138"/>
      <c r="AH19" s="138"/>
      <c r="AI19" s="124"/>
    </row>
    <row r="20" spans="1:210" ht="11.4" x14ac:dyDescent="0.2">
      <c r="A20" s="103"/>
      <c r="B20" s="105" t="s">
        <v>196</v>
      </c>
      <c r="C20" s="139"/>
      <c r="D20" s="135">
        <f>+'Total Annual Impact'!E4</f>
        <v>21947472</v>
      </c>
      <c r="E20" s="138"/>
      <c r="F20" s="138"/>
      <c r="G20" s="124">
        <f t="shared" ref="G20" si="20">SUM(C20+D20-E20)</f>
        <v>21947472</v>
      </c>
      <c r="H20" s="128">
        <v>0</v>
      </c>
      <c r="I20" s="127">
        <v>0</v>
      </c>
      <c r="J20" s="126"/>
      <c r="K20" s="124">
        <f t="shared" ref="K20" si="21">SUM(G20+H20-I20)</f>
        <v>21947472</v>
      </c>
      <c r="L20" s="125">
        <v>0</v>
      </c>
      <c r="M20" s="127"/>
      <c r="N20" s="127"/>
      <c r="O20" s="124">
        <f t="shared" ref="O20" si="22">SUM(K20+L20-M20)</f>
        <v>21947472</v>
      </c>
      <c r="P20" s="128">
        <v>0</v>
      </c>
      <c r="Q20" s="127"/>
      <c r="R20" s="126"/>
      <c r="S20" s="124">
        <f t="shared" ref="S20" si="23">SUM(O20+P20-Q20)</f>
        <v>21947472</v>
      </c>
      <c r="T20" s="125">
        <v>0</v>
      </c>
      <c r="U20" s="127"/>
      <c r="V20" s="127"/>
      <c r="W20" s="124">
        <f t="shared" ref="W20" si="24">SUM(S20+T20-U20)</f>
        <v>21947472</v>
      </c>
      <c r="X20" s="128"/>
      <c r="Y20" s="127"/>
      <c r="Z20" s="126"/>
      <c r="AA20" s="124">
        <f t="shared" ref="AA20" si="25">SUM(W20+X20-Y20)</f>
        <v>21947472</v>
      </c>
      <c r="AB20" s="125"/>
      <c r="AC20" s="127"/>
      <c r="AD20" s="127"/>
      <c r="AE20" s="124">
        <f t="shared" ref="AE20" si="26">SUM(AA20+AB20-AC20)</f>
        <v>21947472</v>
      </c>
      <c r="AF20" s="125">
        <v>0</v>
      </c>
      <c r="AG20" s="127"/>
      <c r="AH20" s="127"/>
      <c r="AI20" s="124">
        <f t="shared" ref="AI20" si="27">SUM(AE20+AF20-AG20)</f>
        <v>21947472</v>
      </c>
    </row>
    <row r="21" spans="1:210" ht="11.4" x14ac:dyDescent="0.2">
      <c r="A21" s="103"/>
      <c r="C21" s="140"/>
      <c r="D21" s="141"/>
      <c r="E21" s="142"/>
      <c r="F21" s="142"/>
      <c r="G21" s="140"/>
      <c r="H21" s="141"/>
      <c r="I21" s="142"/>
      <c r="J21" s="142"/>
      <c r="K21" s="140"/>
      <c r="L21" s="141"/>
      <c r="M21" s="142"/>
      <c r="N21" s="142"/>
      <c r="O21" s="140"/>
      <c r="P21" s="141"/>
      <c r="Q21" s="142"/>
      <c r="R21" s="142"/>
      <c r="S21" s="140"/>
      <c r="T21" s="141"/>
      <c r="U21" s="142"/>
      <c r="V21" s="142"/>
      <c r="W21" s="140"/>
      <c r="X21" s="141"/>
      <c r="Y21" s="142"/>
      <c r="Z21" s="142"/>
      <c r="AA21" s="140"/>
      <c r="AB21" s="141"/>
      <c r="AC21" s="142"/>
      <c r="AD21" s="142"/>
      <c r="AE21" s="140"/>
      <c r="AF21" s="141"/>
      <c r="AG21" s="142"/>
      <c r="AH21" s="142"/>
      <c r="AI21" s="140"/>
    </row>
    <row r="22" spans="1:210" ht="11.4" x14ac:dyDescent="0.2">
      <c r="A22" s="103"/>
      <c r="B22" s="143"/>
      <c r="C22" s="138"/>
      <c r="D22" s="138"/>
      <c r="E22" s="138"/>
      <c r="F22" s="138"/>
      <c r="G22" s="138"/>
      <c r="H22" s="138">
        <f>+H18+H20</f>
        <v>0</v>
      </c>
      <c r="I22" s="138"/>
      <c r="J22" s="138"/>
      <c r="K22" s="138"/>
      <c r="L22" s="138">
        <f>+L18+L20</f>
        <v>0</v>
      </c>
      <c r="M22" s="138"/>
      <c r="N22" s="138"/>
      <c r="O22" s="138"/>
      <c r="P22" s="138">
        <f>+P18+P20</f>
        <v>0</v>
      </c>
      <c r="Q22" s="138"/>
      <c r="R22" s="138"/>
      <c r="S22" s="138">
        <f>+S18+S20</f>
        <v>35422155.50397557</v>
      </c>
      <c r="T22" s="138">
        <f>+T18-T20</f>
        <v>0</v>
      </c>
      <c r="U22" s="138"/>
      <c r="V22" s="138"/>
      <c r="W22" s="138"/>
      <c r="X22" s="138">
        <f>+X18-X20</f>
        <v>0</v>
      </c>
      <c r="Y22" s="138"/>
      <c r="Z22" s="138"/>
      <c r="AA22" s="138"/>
      <c r="AB22" s="138">
        <f>+AB18-AB20</f>
        <v>0</v>
      </c>
      <c r="AC22" s="138"/>
      <c r="AD22" s="138"/>
      <c r="AE22" s="138"/>
      <c r="AF22" s="138">
        <f>+AF18-AF20</f>
        <v>0</v>
      </c>
      <c r="AG22" s="138"/>
      <c r="AH22" s="138"/>
      <c r="AI22" s="138"/>
    </row>
    <row r="23" spans="1:210" ht="11.4" x14ac:dyDescent="0.2">
      <c r="A23" s="103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210" ht="11.4" x14ac:dyDescent="0.2">
      <c r="A24" s="103"/>
      <c r="C24" s="105"/>
      <c r="F24" s="144"/>
      <c r="G24" s="138"/>
      <c r="H24" s="138"/>
      <c r="I24" s="145"/>
      <c r="J24" s="145"/>
      <c r="K24" s="146"/>
      <c r="L24" s="145"/>
      <c r="M24" s="145"/>
      <c r="N24" s="145"/>
      <c r="P24" s="138"/>
      <c r="Q24" s="145"/>
      <c r="R24" s="145"/>
      <c r="S24" s="146"/>
      <c r="T24" s="145"/>
      <c r="U24" s="145"/>
      <c r="V24" s="145"/>
      <c r="X24" s="138"/>
      <c r="Y24" s="145"/>
      <c r="Z24" s="145"/>
      <c r="AA24" s="146"/>
      <c r="AB24" s="145"/>
      <c r="AC24" s="145"/>
      <c r="AD24" s="145"/>
      <c r="AF24" s="145"/>
      <c r="AG24" s="145"/>
      <c r="AH24" s="145"/>
    </row>
    <row r="25" spans="1:210" ht="12" x14ac:dyDescent="0.25">
      <c r="A25" s="147" t="s">
        <v>139</v>
      </c>
      <c r="C25" s="148" t="s">
        <v>140</v>
      </c>
      <c r="D25" s="149">
        <v>1</v>
      </c>
      <c r="E25" s="149">
        <f>+D25+1</f>
        <v>2</v>
      </c>
      <c r="F25" s="149">
        <f t="shared" ref="F25:BQ25" si="28">+E25+1</f>
        <v>3</v>
      </c>
      <c r="G25" s="149">
        <f t="shared" si="28"/>
        <v>4</v>
      </c>
      <c r="H25" s="149">
        <f t="shared" si="28"/>
        <v>5</v>
      </c>
      <c r="I25" s="149">
        <f t="shared" si="28"/>
        <v>6</v>
      </c>
      <c r="J25" s="149">
        <f t="shared" si="28"/>
        <v>7</v>
      </c>
      <c r="K25" s="149">
        <f t="shared" si="28"/>
        <v>8</v>
      </c>
      <c r="L25" s="149">
        <f t="shared" si="28"/>
        <v>9</v>
      </c>
      <c r="M25" s="149">
        <f t="shared" si="28"/>
        <v>10</v>
      </c>
      <c r="N25" s="149">
        <f t="shared" si="28"/>
        <v>11</v>
      </c>
      <c r="O25" s="149">
        <f t="shared" si="28"/>
        <v>12</v>
      </c>
      <c r="P25" s="149">
        <f t="shared" si="28"/>
        <v>13</v>
      </c>
      <c r="Q25" s="149">
        <f t="shared" si="28"/>
        <v>14</v>
      </c>
      <c r="R25" s="149">
        <f t="shared" si="28"/>
        <v>15</v>
      </c>
      <c r="S25" s="149">
        <f t="shared" si="28"/>
        <v>16</v>
      </c>
      <c r="T25" s="149">
        <f t="shared" si="28"/>
        <v>17</v>
      </c>
      <c r="U25" s="149">
        <f t="shared" si="28"/>
        <v>18</v>
      </c>
      <c r="V25" s="149">
        <f t="shared" si="28"/>
        <v>19</v>
      </c>
      <c r="W25" s="149">
        <f t="shared" si="28"/>
        <v>20</v>
      </c>
      <c r="X25" s="149">
        <f t="shared" si="28"/>
        <v>21</v>
      </c>
      <c r="Y25" s="149">
        <f t="shared" si="28"/>
        <v>22</v>
      </c>
      <c r="Z25" s="149">
        <f t="shared" si="28"/>
        <v>23</v>
      </c>
      <c r="AA25" s="149">
        <f t="shared" si="28"/>
        <v>24</v>
      </c>
      <c r="AB25" s="149">
        <f t="shared" si="28"/>
        <v>25</v>
      </c>
      <c r="AC25" s="149">
        <f t="shared" si="28"/>
        <v>26</v>
      </c>
      <c r="AD25" s="149">
        <f t="shared" si="28"/>
        <v>27</v>
      </c>
      <c r="AE25" s="149">
        <f t="shared" si="28"/>
        <v>28</v>
      </c>
      <c r="AF25" s="149">
        <f t="shared" si="28"/>
        <v>29</v>
      </c>
      <c r="AG25" s="149">
        <f t="shared" si="28"/>
        <v>30</v>
      </c>
      <c r="AH25" s="149">
        <f t="shared" si="28"/>
        <v>31</v>
      </c>
      <c r="AI25" s="149">
        <f t="shared" si="28"/>
        <v>32</v>
      </c>
      <c r="AJ25" s="149">
        <f t="shared" si="28"/>
        <v>33</v>
      </c>
      <c r="AK25" s="149">
        <f t="shared" si="28"/>
        <v>34</v>
      </c>
      <c r="AL25" s="149">
        <f t="shared" si="28"/>
        <v>35</v>
      </c>
      <c r="AM25" s="149">
        <f t="shared" si="28"/>
        <v>36</v>
      </c>
      <c r="AN25" s="149">
        <f t="shared" si="28"/>
        <v>37</v>
      </c>
      <c r="AO25" s="149">
        <f t="shared" si="28"/>
        <v>38</v>
      </c>
      <c r="AP25" s="149">
        <f t="shared" si="28"/>
        <v>39</v>
      </c>
      <c r="AQ25" s="149">
        <f t="shared" si="28"/>
        <v>40</v>
      </c>
      <c r="AR25" s="149">
        <f t="shared" si="28"/>
        <v>41</v>
      </c>
      <c r="AS25" s="149">
        <f t="shared" si="28"/>
        <v>42</v>
      </c>
      <c r="AT25" s="149">
        <f t="shared" si="28"/>
        <v>43</v>
      </c>
      <c r="AU25" s="149">
        <f t="shared" si="28"/>
        <v>44</v>
      </c>
      <c r="AV25" s="149">
        <f t="shared" si="28"/>
        <v>45</v>
      </c>
      <c r="AW25" s="149">
        <f t="shared" si="28"/>
        <v>46</v>
      </c>
      <c r="AX25" s="149">
        <f t="shared" si="28"/>
        <v>47</v>
      </c>
      <c r="AY25" s="149">
        <f t="shared" si="28"/>
        <v>48</v>
      </c>
      <c r="AZ25" s="149">
        <f t="shared" si="28"/>
        <v>49</v>
      </c>
      <c r="BA25" s="149">
        <f t="shared" si="28"/>
        <v>50</v>
      </c>
      <c r="BB25" s="149">
        <f t="shared" si="28"/>
        <v>51</v>
      </c>
      <c r="BC25" s="149">
        <f t="shared" si="28"/>
        <v>52</v>
      </c>
      <c r="BD25" s="149">
        <f t="shared" si="28"/>
        <v>53</v>
      </c>
      <c r="BE25" s="149">
        <f t="shared" si="28"/>
        <v>54</v>
      </c>
      <c r="BF25" s="149">
        <f t="shared" si="28"/>
        <v>55</v>
      </c>
      <c r="BG25" s="149">
        <f t="shared" si="28"/>
        <v>56</v>
      </c>
      <c r="BH25" s="149">
        <f t="shared" si="28"/>
        <v>57</v>
      </c>
      <c r="BI25" s="149">
        <f t="shared" si="28"/>
        <v>58</v>
      </c>
      <c r="BJ25" s="149">
        <f t="shared" si="28"/>
        <v>59</v>
      </c>
      <c r="BK25" s="149">
        <f t="shared" si="28"/>
        <v>60</v>
      </c>
      <c r="BL25" s="149">
        <f t="shared" si="28"/>
        <v>61</v>
      </c>
      <c r="BM25" s="149">
        <f t="shared" si="28"/>
        <v>62</v>
      </c>
      <c r="BN25" s="149">
        <f t="shared" si="28"/>
        <v>63</v>
      </c>
      <c r="BO25" s="149">
        <f t="shared" si="28"/>
        <v>64</v>
      </c>
      <c r="BP25" s="149">
        <f t="shared" si="28"/>
        <v>65</v>
      </c>
      <c r="BQ25" s="149">
        <f t="shared" si="28"/>
        <v>66</v>
      </c>
      <c r="BR25" s="149">
        <f t="shared" ref="BR25:EC25" si="29">+BQ25+1</f>
        <v>67</v>
      </c>
      <c r="BS25" s="149">
        <f t="shared" si="29"/>
        <v>68</v>
      </c>
      <c r="BT25" s="149">
        <f t="shared" si="29"/>
        <v>69</v>
      </c>
      <c r="BU25" s="149">
        <f t="shared" si="29"/>
        <v>70</v>
      </c>
      <c r="BV25" s="149">
        <f t="shared" si="29"/>
        <v>71</v>
      </c>
      <c r="BW25" s="149">
        <f t="shared" si="29"/>
        <v>72</v>
      </c>
      <c r="BX25" s="149">
        <f t="shared" si="29"/>
        <v>73</v>
      </c>
      <c r="BY25" s="149">
        <f t="shared" si="29"/>
        <v>74</v>
      </c>
      <c r="BZ25" s="149">
        <f t="shared" si="29"/>
        <v>75</v>
      </c>
      <c r="CA25" s="149">
        <f t="shared" si="29"/>
        <v>76</v>
      </c>
      <c r="CB25" s="149">
        <f t="shared" si="29"/>
        <v>77</v>
      </c>
      <c r="CC25" s="149">
        <f t="shared" si="29"/>
        <v>78</v>
      </c>
      <c r="CD25" s="149">
        <f t="shared" si="29"/>
        <v>79</v>
      </c>
      <c r="CE25" s="149">
        <f t="shared" si="29"/>
        <v>80</v>
      </c>
      <c r="CF25" s="149">
        <f t="shared" si="29"/>
        <v>81</v>
      </c>
      <c r="CG25" s="149">
        <f t="shared" si="29"/>
        <v>82</v>
      </c>
      <c r="CH25" s="149">
        <f t="shared" si="29"/>
        <v>83</v>
      </c>
      <c r="CI25" s="149">
        <f t="shared" si="29"/>
        <v>84</v>
      </c>
      <c r="CJ25" s="149">
        <f t="shared" si="29"/>
        <v>85</v>
      </c>
      <c r="CK25" s="149">
        <f t="shared" si="29"/>
        <v>86</v>
      </c>
      <c r="CL25" s="149">
        <f t="shared" si="29"/>
        <v>87</v>
      </c>
      <c r="CM25" s="149">
        <f t="shared" si="29"/>
        <v>88</v>
      </c>
      <c r="CN25" s="149">
        <f t="shared" si="29"/>
        <v>89</v>
      </c>
      <c r="CO25" s="149">
        <f t="shared" si="29"/>
        <v>90</v>
      </c>
      <c r="CP25" s="149">
        <f t="shared" si="29"/>
        <v>91</v>
      </c>
      <c r="CQ25" s="149">
        <f t="shared" si="29"/>
        <v>92</v>
      </c>
      <c r="CR25" s="149">
        <f t="shared" si="29"/>
        <v>93</v>
      </c>
      <c r="CS25" s="149">
        <f t="shared" si="29"/>
        <v>94</v>
      </c>
      <c r="CT25" s="149">
        <f t="shared" si="29"/>
        <v>95</v>
      </c>
      <c r="CU25" s="149">
        <f t="shared" si="29"/>
        <v>96</v>
      </c>
      <c r="CV25" s="149">
        <f t="shared" si="29"/>
        <v>97</v>
      </c>
      <c r="CW25" s="149">
        <f t="shared" si="29"/>
        <v>98</v>
      </c>
      <c r="CX25" s="149">
        <f t="shared" si="29"/>
        <v>99</v>
      </c>
      <c r="CY25" s="149">
        <f t="shared" si="29"/>
        <v>100</v>
      </c>
      <c r="CZ25" s="149">
        <f t="shared" si="29"/>
        <v>101</v>
      </c>
      <c r="DA25" s="149">
        <f t="shared" si="29"/>
        <v>102</v>
      </c>
      <c r="DB25" s="149">
        <f t="shared" si="29"/>
        <v>103</v>
      </c>
      <c r="DC25" s="149">
        <f t="shared" si="29"/>
        <v>104</v>
      </c>
      <c r="DD25" s="149">
        <f t="shared" si="29"/>
        <v>105</v>
      </c>
      <c r="DE25" s="149">
        <f t="shared" si="29"/>
        <v>106</v>
      </c>
      <c r="DF25" s="149">
        <f t="shared" si="29"/>
        <v>107</v>
      </c>
      <c r="DG25" s="149">
        <f t="shared" si="29"/>
        <v>108</v>
      </c>
      <c r="DH25" s="149">
        <f t="shared" si="29"/>
        <v>109</v>
      </c>
      <c r="DI25" s="149">
        <f t="shared" si="29"/>
        <v>110</v>
      </c>
      <c r="DJ25" s="149">
        <f t="shared" si="29"/>
        <v>111</v>
      </c>
      <c r="DK25" s="149">
        <f t="shared" si="29"/>
        <v>112</v>
      </c>
      <c r="DL25" s="149">
        <f t="shared" si="29"/>
        <v>113</v>
      </c>
      <c r="DM25" s="149">
        <f t="shared" si="29"/>
        <v>114</v>
      </c>
      <c r="DN25" s="149">
        <f t="shared" si="29"/>
        <v>115</v>
      </c>
      <c r="DO25" s="149">
        <f t="shared" si="29"/>
        <v>116</v>
      </c>
      <c r="DP25" s="149">
        <f t="shared" si="29"/>
        <v>117</v>
      </c>
      <c r="DQ25" s="149">
        <f t="shared" si="29"/>
        <v>118</v>
      </c>
      <c r="DR25" s="149">
        <f t="shared" si="29"/>
        <v>119</v>
      </c>
      <c r="DS25" s="149">
        <f t="shared" si="29"/>
        <v>120</v>
      </c>
      <c r="DT25" s="149">
        <f t="shared" si="29"/>
        <v>121</v>
      </c>
      <c r="DU25" s="149">
        <f t="shared" si="29"/>
        <v>122</v>
      </c>
      <c r="DV25" s="149">
        <f t="shared" si="29"/>
        <v>123</v>
      </c>
      <c r="DW25" s="149">
        <f t="shared" si="29"/>
        <v>124</v>
      </c>
      <c r="DX25" s="149">
        <f t="shared" si="29"/>
        <v>125</v>
      </c>
      <c r="DY25" s="149">
        <f t="shared" si="29"/>
        <v>126</v>
      </c>
      <c r="DZ25" s="149">
        <f t="shared" si="29"/>
        <v>127</v>
      </c>
      <c r="EA25" s="149">
        <f t="shared" si="29"/>
        <v>128</v>
      </c>
      <c r="EB25" s="149">
        <f t="shared" si="29"/>
        <v>129</v>
      </c>
      <c r="EC25" s="149">
        <f t="shared" si="29"/>
        <v>130</v>
      </c>
      <c r="ED25" s="149">
        <f t="shared" ref="ED25:GO25" si="30">+EC25+1</f>
        <v>131</v>
      </c>
      <c r="EE25" s="149">
        <f t="shared" si="30"/>
        <v>132</v>
      </c>
      <c r="EF25" s="149">
        <f t="shared" si="30"/>
        <v>133</v>
      </c>
      <c r="EG25" s="149">
        <f t="shared" si="30"/>
        <v>134</v>
      </c>
      <c r="EH25" s="149">
        <f t="shared" si="30"/>
        <v>135</v>
      </c>
      <c r="EI25" s="149">
        <f t="shared" si="30"/>
        <v>136</v>
      </c>
      <c r="EJ25" s="149">
        <f t="shared" si="30"/>
        <v>137</v>
      </c>
      <c r="EK25" s="149">
        <f t="shared" si="30"/>
        <v>138</v>
      </c>
      <c r="EL25" s="149">
        <f t="shared" si="30"/>
        <v>139</v>
      </c>
      <c r="EM25" s="149">
        <f t="shared" si="30"/>
        <v>140</v>
      </c>
      <c r="EN25" s="149">
        <f t="shared" si="30"/>
        <v>141</v>
      </c>
      <c r="EO25" s="149">
        <f t="shared" si="30"/>
        <v>142</v>
      </c>
      <c r="EP25" s="149">
        <f t="shared" si="30"/>
        <v>143</v>
      </c>
      <c r="EQ25" s="149">
        <f t="shared" si="30"/>
        <v>144</v>
      </c>
      <c r="ER25" s="149">
        <f t="shared" si="30"/>
        <v>145</v>
      </c>
      <c r="ES25" s="149">
        <f t="shared" si="30"/>
        <v>146</v>
      </c>
      <c r="ET25" s="149">
        <f t="shared" si="30"/>
        <v>147</v>
      </c>
      <c r="EU25" s="149">
        <f t="shared" si="30"/>
        <v>148</v>
      </c>
      <c r="EV25" s="149">
        <f t="shared" si="30"/>
        <v>149</v>
      </c>
      <c r="EW25" s="149">
        <f t="shared" si="30"/>
        <v>150</v>
      </c>
      <c r="EX25" s="149">
        <f t="shared" si="30"/>
        <v>151</v>
      </c>
      <c r="EY25" s="149">
        <f t="shared" si="30"/>
        <v>152</v>
      </c>
      <c r="EZ25" s="149">
        <f t="shared" si="30"/>
        <v>153</v>
      </c>
      <c r="FA25" s="149">
        <f t="shared" si="30"/>
        <v>154</v>
      </c>
      <c r="FB25" s="149">
        <f t="shared" si="30"/>
        <v>155</v>
      </c>
      <c r="FC25" s="149">
        <f t="shared" si="30"/>
        <v>156</v>
      </c>
      <c r="FD25" s="149">
        <f t="shared" si="30"/>
        <v>157</v>
      </c>
      <c r="FE25" s="149">
        <f t="shared" si="30"/>
        <v>158</v>
      </c>
      <c r="FF25" s="149">
        <f t="shared" si="30"/>
        <v>159</v>
      </c>
      <c r="FG25" s="149">
        <f t="shared" si="30"/>
        <v>160</v>
      </c>
      <c r="FH25" s="149">
        <f t="shared" si="30"/>
        <v>161</v>
      </c>
      <c r="FI25" s="149">
        <f t="shared" si="30"/>
        <v>162</v>
      </c>
      <c r="FJ25" s="149">
        <f t="shared" si="30"/>
        <v>163</v>
      </c>
      <c r="FK25" s="149">
        <f t="shared" si="30"/>
        <v>164</v>
      </c>
      <c r="FL25" s="149">
        <f t="shared" si="30"/>
        <v>165</v>
      </c>
      <c r="FM25" s="149">
        <f t="shared" si="30"/>
        <v>166</v>
      </c>
      <c r="FN25" s="149">
        <f t="shared" si="30"/>
        <v>167</v>
      </c>
      <c r="FO25" s="149">
        <f t="shared" si="30"/>
        <v>168</v>
      </c>
      <c r="FP25" s="149">
        <f t="shared" si="30"/>
        <v>169</v>
      </c>
      <c r="FQ25" s="149">
        <f t="shared" si="30"/>
        <v>170</v>
      </c>
      <c r="FR25" s="149">
        <f t="shared" si="30"/>
        <v>171</v>
      </c>
      <c r="FS25" s="149">
        <f t="shared" si="30"/>
        <v>172</v>
      </c>
      <c r="FT25" s="149">
        <f t="shared" si="30"/>
        <v>173</v>
      </c>
      <c r="FU25" s="149">
        <f t="shared" si="30"/>
        <v>174</v>
      </c>
      <c r="FV25" s="149">
        <f t="shared" si="30"/>
        <v>175</v>
      </c>
      <c r="FW25" s="149">
        <f t="shared" si="30"/>
        <v>176</v>
      </c>
      <c r="FX25" s="149">
        <f t="shared" si="30"/>
        <v>177</v>
      </c>
      <c r="FY25" s="149">
        <f t="shared" si="30"/>
        <v>178</v>
      </c>
      <c r="FZ25" s="149">
        <f t="shared" si="30"/>
        <v>179</v>
      </c>
      <c r="GA25" s="149">
        <f t="shared" si="30"/>
        <v>180</v>
      </c>
      <c r="GB25" s="149">
        <f t="shared" si="30"/>
        <v>181</v>
      </c>
      <c r="GC25" s="149">
        <f t="shared" si="30"/>
        <v>182</v>
      </c>
      <c r="GD25" s="149">
        <f t="shared" si="30"/>
        <v>183</v>
      </c>
      <c r="GE25" s="149">
        <f t="shared" si="30"/>
        <v>184</v>
      </c>
      <c r="GF25" s="149">
        <f t="shared" si="30"/>
        <v>185</v>
      </c>
      <c r="GG25" s="149">
        <f t="shared" si="30"/>
        <v>186</v>
      </c>
      <c r="GH25" s="149">
        <f t="shared" si="30"/>
        <v>187</v>
      </c>
      <c r="GI25" s="149">
        <f t="shared" si="30"/>
        <v>188</v>
      </c>
      <c r="GJ25" s="149">
        <f t="shared" si="30"/>
        <v>189</v>
      </c>
      <c r="GK25" s="149">
        <f t="shared" si="30"/>
        <v>190</v>
      </c>
      <c r="GL25" s="149">
        <f t="shared" si="30"/>
        <v>191</v>
      </c>
      <c r="GM25" s="149">
        <f t="shared" si="30"/>
        <v>192</v>
      </c>
      <c r="GN25" s="149">
        <f t="shared" si="30"/>
        <v>193</v>
      </c>
      <c r="GO25" s="149">
        <f t="shared" si="30"/>
        <v>194</v>
      </c>
      <c r="GP25" s="149">
        <f t="shared" ref="GP25:HB25" si="31">+GO25+1</f>
        <v>195</v>
      </c>
      <c r="GQ25" s="149">
        <f t="shared" si="31"/>
        <v>196</v>
      </c>
      <c r="GR25" s="149">
        <f t="shared" si="31"/>
        <v>197</v>
      </c>
      <c r="GS25" s="149">
        <f t="shared" si="31"/>
        <v>198</v>
      </c>
      <c r="GT25" s="149">
        <f t="shared" si="31"/>
        <v>199</v>
      </c>
      <c r="GU25" s="149">
        <f t="shared" si="31"/>
        <v>200</v>
      </c>
      <c r="GV25" s="149">
        <f t="shared" si="31"/>
        <v>201</v>
      </c>
      <c r="GW25" s="149">
        <f t="shared" si="31"/>
        <v>202</v>
      </c>
      <c r="GX25" s="149">
        <f t="shared" si="31"/>
        <v>203</v>
      </c>
      <c r="GY25" s="149">
        <f t="shared" si="31"/>
        <v>204</v>
      </c>
      <c r="GZ25" s="149">
        <f t="shared" si="31"/>
        <v>205</v>
      </c>
      <c r="HA25" s="149">
        <f t="shared" si="31"/>
        <v>206</v>
      </c>
      <c r="HB25" s="149">
        <f t="shared" si="31"/>
        <v>207</v>
      </c>
    </row>
    <row r="26" spans="1:210" ht="11.4" x14ac:dyDescent="0.2">
      <c r="A26" s="10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</row>
    <row r="27" spans="1:210" ht="11.4" hidden="1" x14ac:dyDescent="0.2">
      <c r="B27" s="104"/>
      <c r="C27" s="152"/>
      <c r="D27" s="125">
        <f>SUM(C9*$C27)+SUM((D9-E9-F9)*$C27*0.5)</f>
        <v>0</v>
      </c>
      <c r="E27" s="125">
        <f>SUM(G9*$C27)+SUM((H9-I9-J9)*$C27*0.5)</f>
        <v>0</v>
      </c>
      <c r="F27" s="153">
        <f t="shared" ref="F27:F33" si="32">SUM(K9*$C27)+SUM((L9-M9-N9)*$C27*0.5)</f>
        <v>0</v>
      </c>
      <c r="G27" s="153">
        <f t="shared" ref="G27:G33" si="33">SUM(L9*$C27)+SUM((M9-N9-O9)*$C27*0.5)</f>
        <v>0</v>
      </c>
      <c r="H27" s="153">
        <f t="shared" ref="H27:H33" si="34">SUM(M9*$C27)+SUM((N9-O9-P9)*$C27*0.5)</f>
        <v>0</v>
      </c>
      <c r="I27" s="153">
        <f t="shared" ref="I27:I33" si="35">SUM(N9*$C27)+SUM((O9-P9-Q9)*$C27*0.5)</f>
        <v>0</v>
      </c>
      <c r="J27" s="153">
        <f t="shared" ref="J27:M33" si="36">SUM(O9*$C27)+SUM((P9-Q9-R9)*$C27*0.5)</f>
        <v>0</v>
      </c>
      <c r="K27" s="153">
        <f t="shared" si="36"/>
        <v>0</v>
      </c>
      <c r="L27" s="153">
        <f t="shared" si="36"/>
        <v>0</v>
      </c>
      <c r="M27" s="153">
        <f t="shared" si="36"/>
        <v>0</v>
      </c>
      <c r="N27" s="153">
        <f t="shared" ref="N27:N29" si="37">SUM(S9*$C27)+SUM((T9-U9-V9)*$C27*0.5)</f>
        <v>0</v>
      </c>
      <c r="O27" s="153">
        <f t="shared" ref="O27:O29" si="38">SUM(T9*$C27)+SUM((U9-V9-W9)*$C27*0.5)</f>
        <v>0</v>
      </c>
      <c r="P27" s="153">
        <f t="shared" ref="P27:P29" si="39">SUM(U9*$C27)+SUM((V9-W9-X9)*$C27*0.5)</f>
        <v>0</v>
      </c>
      <c r="Q27" s="153">
        <f t="shared" ref="Q27:Q29" si="40">SUM(V9*$C27)+SUM((W9-X9-Y9)*$C27*0.5)</f>
        <v>0</v>
      </c>
      <c r="R27" s="153">
        <f t="shared" ref="R27:R29" si="41">SUM(W9*$C27)+SUM((X9-Y9-Z9)*$C27*0.5)</f>
        <v>0</v>
      </c>
      <c r="S27" s="153">
        <f t="shared" ref="S27:S29" si="42">SUM(X9*$C27)+SUM((Y9-Z9-AA9)*$C27*0.5)</f>
        <v>0</v>
      </c>
      <c r="T27" s="153">
        <f t="shared" ref="T27:T29" si="43">SUM(Y9*$C27)+SUM((Z9-AA9-AB9)*$C27*0.5)</f>
        <v>0</v>
      </c>
      <c r="U27" s="153">
        <f t="shared" ref="U27:U29" si="44">SUM(Z9*$C27)+SUM((AA9-AB9-AC9)*$C27*0.5)</f>
        <v>0</v>
      </c>
      <c r="V27" s="153">
        <f t="shared" ref="V27:V29" si="45">SUM(AA9*$C27)+SUM((AB9-AC9-AD9)*$C27*0.5)</f>
        <v>0</v>
      </c>
      <c r="W27" s="153">
        <f t="shared" ref="W27:W29" si="46">SUM(AB9*$C27)+SUM((AC9-AD9-AE9)*$C27*0.5)</f>
        <v>0</v>
      </c>
      <c r="X27" s="153">
        <f t="shared" ref="X27:X29" si="47">SUM(AC9*$C27)+SUM((AD9-AE9-AF9)*$C27*0.5)</f>
        <v>0</v>
      </c>
      <c r="Y27" s="153">
        <f t="shared" ref="Y27:Y29" si="48">SUM(AD9*$C27)+SUM((AE9-AF9-AG9)*$C27*0.5)</f>
        <v>0</v>
      </c>
      <c r="Z27" s="153">
        <f t="shared" ref="Z27:Z29" si="49">SUM(AE9*$C27)+SUM((AF9-AG9-AH9)*$C27*0.5)</f>
        <v>0</v>
      </c>
      <c r="AA27" s="153">
        <f t="shared" ref="AA27:AA29" si="50">SUM(AF9*$C27)+SUM((AG9-AH9-AI9)*$C27*0.5)</f>
        <v>0</v>
      </c>
      <c r="AB27" s="153">
        <f t="shared" ref="AB27:AB29" si="51">SUM(AG9*$C27)+SUM((AH9-AI9-AJ9)*$C27*0.5)</f>
        <v>0</v>
      </c>
      <c r="AC27" s="153">
        <f t="shared" ref="AC27:AC29" si="52">SUM(AH9*$C27)+SUM((AI9-AJ9-AK9)*$C27*0.5)</f>
        <v>0</v>
      </c>
      <c r="AD27" s="153">
        <f t="shared" ref="AD27:AD29" si="53">SUM(AI9*$C27)+SUM((AJ9-AK9-AL9)*$C27*0.5)</f>
        <v>0</v>
      </c>
      <c r="AE27" s="153">
        <f t="shared" ref="AE27:AE29" si="54">SUM(AJ9*$C27)+SUM((AK9-AL9-AM9)*$C27*0.5)</f>
        <v>0</v>
      </c>
      <c r="AF27" s="153">
        <f t="shared" ref="AF27:AF29" si="55">SUM(AK9*$C27)+SUM((AL9-AM9-AN9)*$C27*0.5)</f>
        <v>0</v>
      </c>
      <c r="AG27" s="153">
        <f t="shared" ref="AG27:AG29" si="56">SUM(AL9*$C27)+SUM((AM9-AN9-AO9)*$C27*0.5)</f>
        <v>0</v>
      </c>
      <c r="AH27" s="153">
        <f t="shared" ref="AH27:AH29" si="57">SUM(AM9*$C27)+SUM((AN9-AO9-AP9)*$C27*0.5)</f>
        <v>0</v>
      </c>
      <c r="AI27" s="153">
        <f t="shared" ref="AI27:AI29" si="58">SUM(AN9*$C27)+SUM((AO9-AP9-AQ9)*$C27*0.5)</f>
        <v>0</v>
      </c>
      <c r="AJ27" s="153">
        <f t="shared" ref="AJ27:AJ29" si="59">SUM(AO9*$C27)+SUM((AP9-AQ9-AR9)*$C27*0.5)</f>
        <v>0</v>
      </c>
      <c r="AK27" s="153">
        <f t="shared" ref="AK27:AK29" si="60">SUM(AP9*$C27)+SUM((AQ9-AR9-AS9)*$C27*0.5)</f>
        <v>0</v>
      </c>
      <c r="AL27" s="153">
        <f t="shared" ref="AL27:AL29" si="61">SUM(AQ9*$C27)+SUM((AR9-AS9-AT9)*$C27*0.5)</f>
        <v>0</v>
      </c>
      <c r="AM27" s="153">
        <f t="shared" ref="AM27:AM29" si="62">SUM(AR9*$C27)+SUM((AS9-AT9-AU9)*$C27*0.5)</f>
        <v>0</v>
      </c>
      <c r="AN27" s="153">
        <f t="shared" ref="AN27:AN29" si="63">SUM(AS9*$C27)+SUM((AT9-AU9-AV9)*$C27*0.5)</f>
        <v>0</v>
      </c>
      <c r="AO27" s="153">
        <f t="shared" ref="AO27:AO29" si="64">SUM(AT9*$C27)+SUM((AU9-AV9-AW9)*$C27*0.5)</f>
        <v>0</v>
      </c>
      <c r="AP27" s="153">
        <f t="shared" ref="AP27:AP29" si="65">SUM(AU9*$C27)+SUM((AV9-AW9-AX9)*$C27*0.5)</f>
        <v>0</v>
      </c>
      <c r="AQ27" s="153">
        <f t="shared" ref="AQ27:AQ29" si="66">SUM(AV9*$C27)+SUM((AW9-AX9-AY9)*$C27*0.5)</f>
        <v>0</v>
      </c>
      <c r="AR27" s="151"/>
      <c r="AS27" s="151"/>
      <c r="AT27" s="151"/>
      <c r="AU27" s="153">
        <f t="shared" ref="AU27:AU29" si="67">SUM(AZ9*$C27)+SUM((BA9-BB9-BC9)*$C27*0.5)</f>
        <v>0</v>
      </c>
      <c r="AV27" s="153">
        <f t="shared" ref="AV27:AV29" si="68">SUM(BA9*$C27)+SUM((BB9-BC9-BD9)*$C27*0.5)</f>
        <v>0</v>
      </c>
      <c r="AW27" s="153">
        <f t="shared" ref="AW27:AW29" si="69">SUM(BB9*$C27)+SUM((BC9-BD9-BE9)*$C27*0.5)</f>
        <v>0</v>
      </c>
      <c r="AX27" s="153">
        <f t="shared" ref="AX27:AX29" si="70">SUM(BC9*$C27)+SUM((BD9-BE9-BF9)*$C27*0.5)</f>
        <v>0</v>
      </c>
      <c r="AY27" s="153">
        <f t="shared" ref="AY27:AY29" si="71">SUM(BD9*$C27)+SUM((BE9-BF9-BG9)*$C27*0.5)</f>
        <v>0</v>
      </c>
      <c r="AZ27" s="153">
        <f t="shared" ref="AZ27:AZ29" si="72">SUM(BE9*$C27)+SUM((BF9-BG9-BH9)*$C27*0.5)</f>
        <v>0</v>
      </c>
      <c r="BA27" s="153">
        <f t="shared" ref="BA27:BA29" si="73">SUM(BF9*$C27)+SUM((BG9-BH9-BI9)*$C27*0.5)</f>
        <v>0</v>
      </c>
      <c r="BB27" s="153">
        <f t="shared" ref="BB27:BB29" si="74">SUM(BG9*$C27)+SUM((BH9-BI9-BJ9)*$C27*0.5)</f>
        <v>0</v>
      </c>
      <c r="BC27" s="153">
        <f t="shared" ref="BC27:BC29" si="75">SUM(BH9*$C27)+SUM((BI9-BJ9-BK9)*$C27*0.5)</f>
        <v>0</v>
      </c>
    </row>
    <row r="28" spans="1:210" ht="11.4" hidden="1" x14ac:dyDescent="0.2">
      <c r="B28" s="104"/>
      <c r="C28" s="152"/>
      <c r="D28" s="125">
        <f>SUM(C10*$C28)+SUM((D10-E10-F10)*$C28*0.5)</f>
        <v>0</v>
      </c>
      <c r="E28" s="125">
        <f>SUM(G10*$C28)+SUM((H10-I10-J10)*$C28*0.5)</f>
        <v>0</v>
      </c>
      <c r="F28" s="153">
        <f t="shared" si="32"/>
        <v>0</v>
      </c>
      <c r="G28" s="153">
        <f t="shared" si="33"/>
        <v>0</v>
      </c>
      <c r="H28" s="153">
        <f t="shared" si="34"/>
        <v>0</v>
      </c>
      <c r="I28" s="153">
        <f t="shared" si="35"/>
        <v>0</v>
      </c>
      <c r="J28" s="153">
        <f t="shared" si="36"/>
        <v>0</v>
      </c>
      <c r="K28" s="153">
        <f t="shared" si="36"/>
        <v>0</v>
      </c>
      <c r="L28" s="153">
        <f t="shared" si="36"/>
        <v>0</v>
      </c>
      <c r="M28" s="153">
        <f t="shared" si="36"/>
        <v>0</v>
      </c>
      <c r="N28" s="153">
        <f t="shared" si="37"/>
        <v>0</v>
      </c>
      <c r="O28" s="153">
        <f t="shared" si="38"/>
        <v>0</v>
      </c>
      <c r="P28" s="153">
        <f t="shared" si="39"/>
        <v>0</v>
      </c>
      <c r="Q28" s="153">
        <f t="shared" si="40"/>
        <v>0</v>
      </c>
      <c r="R28" s="153">
        <f t="shared" si="41"/>
        <v>0</v>
      </c>
      <c r="S28" s="153">
        <f t="shared" si="42"/>
        <v>0</v>
      </c>
      <c r="T28" s="153">
        <f t="shared" si="43"/>
        <v>0</v>
      </c>
      <c r="U28" s="153">
        <f t="shared" si="44"/>
        <v>0</v>
      </c>
      <c r="V28" s="153">
        <f t="shared" si="45"/>
        <v>0</v>
      </c>
      <c r="W28" s="153">
        <f t="shared" si="46"/>
        <v>0</v>
      </c>
      <c r="X28" s="153">
        <f t="shared" si="47"/>
        <v>0</v>
      </c>
      <c r="Y28" s="153">
        <f t="shared" si="48"/>
        <v>0</v>
      </c>
      <c r="Z28" s="153">
        <f t="shared" si="49"/>
        <v>0</v>
      </c>
      <c r="AA28" s="153">
        <f t="shared" si="50"/>
        <v>0</v>
      </c>
      <c r="AB28" s="153">
        <f t="shared" si="51"/>
        <v>0</v>
      </c>
      <c r="AC28" s="153">
        <f t="shared" si="52"/>
        <v>0</v>
      </c>
      <c r="AD28" s="153">
        <f t="shared" si="53"/>
        <v>0</v>
      </c>
      <c r="AE28" s="153">
        <f t="shared" si="54"/>
        <v>0</v>
      </c>
      <c r="AF28" s="153">
        <f t="shared" si="55"/>
        <v>0</v>
      </c>
      <c r="AG28" s="153">
        <f t="shared" si="56"/>
        <v>0</v>
      </c>
      <c r="AH28" s="153">
        <f t="shared" si="57"/>
        <v>0</v>
      </c>
      <c r="AI28" s="153">
        <f t="shared" si="58"/>
        <v>0</v>
      </c>
      <c r="AJ28" s="153">
        <f t="shared" si="59"/>
        <v>0</v>
      </c>
      <c r="AK28" s="153">
        <f t="shared" si="60"/>
        <v>0</v>
      </c>
      <c r="AL28" s="153">
        <f t="shared" si="61"/>
        <v>0</v>
      </c>
      <c r="AM28" s="153">
        <f t="shared" si="62"/>
        <v>0</v>
      </c>
      <c r="AN28" s="153">
        <f t="shared" si="63"/>
        <v>0</v>
      </c>
      <c r="AO28" s="153">
        <f t="shared" si="64"/>
        <v>0</v>
      </c>
      <c r="AP28" s="153">
        <f t="shared" si="65"/>
        <v>0</v>
      </c>
      <c r="AQ28" s="153">
        <f t="shared" si="66"/>
        <v>0</v>
      </c>
      <c r="AR28" s="151"/>
      <c r="AS28" s="151"/>
      <c r="AT28" s="151"/>
      <c r="AU28" s="153">
        <f t="shared" si="67"/>
        <v>0</v>
      </c>
      <c r="AV28" s="153">
        <f t="shared" si="68"/>
        <v>0</v>
      </c>
      <c r="AW28" s="153">
        <f t="shared" si="69"/>
        <v>0</v>
      </c>
      <c r="AX28" s="153">
        <f t="shared" si="70"/>
        <v>0</v>
      </c>
      <c r="AY28" s="153">
        <f t="shared" si="71"/>
        <v>0</v>
      </c>
      <c r="AZ28" s="153">
        <f t="shared" si="72"/>
        <v>0</v>
      </c>
      <c r="BA28" s="153">
        <f t="shared" si="73"/>
        <v>0</v>
      </c>
      <c r="BB28" s="153">
        <f t="shared" si="74"/>
        <v>0</v>
      </c>
      <c r="BC28" s="153">
        <f t="shared" si="75"/>
        <v>0</v>
      </c>
    </row>
    <row r="29" spans="1:210" ht="11.4" hidden="1" x14ac:dyDescent="0.2">
      <c r="B29" s="104"/>
      <c r="C29" s="152"/>
      <c r="D29" s="125">
        <f>SUM(C11*$C29)+SUM((D11-E11-F11)*$C29*0.5)</f>
        <v>0</v>
      </c>
      <c r="E29" s="125">
        <f>SUM(G11*$C29)+SUM((H11-I11-J11)*$C29*0.5)</f>
        <v>0</v>
      </c>
      <c r="F29" s="153">
        <f t="shared" si="32"/>
        <v>0</v>
      </c>
      <c r="G29" s="153">
        <f t="shared" si="33"/>
        <v>0</v>
      </c>
      <c r="H29" s="153">
        <f t="shared" si="34"/>
        <v>0</v>
      </c>
      <c r="I29" s="153">
        <f t="shared" si="35"/>
        <v>0</v>
      </c>
      <c r="J29" s="153">
        <f t="shared" si="36"/>
        <v>0</v>
      </c>
      <c r="K29" s="153">
        <f t="shared" si="36"/>
        <v>0</v>
      </c>
      <c r="L29" s="153">
        <f t="shared" si="36"/>
        <v>0</v>
      </c>
      <c r="M29" s="153">
        <f t="shared" si="36"/>
        <v>0</v>
      </c>
      <c r="N29" s="153">
        <f t="shared" si="37"/>
        <v>0</v>
      </c>
      <c r="O29" s="153">
        <f t="shared" si="38"/>
        <v>0</v>
      </c>
      <c r="P29" s="153">
        <f t="shared" si="39"/>
        <v>0</v>
      </c>
      <c r="Q29" s="153">
        <f t="shared" si="40"/>
        <v>0</v>
      </c>
      <c r="R29" s="153">
        <f t="shared" si="41"/>
        <v>0</v>
      </c>
      <c r="S29" s="153">
        <f t="shared" si="42"/>
        <v>0</v>
      </c>
      <c r="T29" s="153">
        <f t="shared" si="43"/>
        <v>0</v>
      </c>
      <c r="U29" s="153">
        <f t="shared" si="44"/>
        <v>0</v>
      </c>
      <c r="V29" s="153">
        <f t="shared" si="45"/>
        <v>0</v>
      </c>
      <c r="W29" s="153">
        <f t="shared" si="46"/>
        <v>0</v>
      </c>
      <c r="X29" s="153">
        <f t="shared" si="47"/>
        <v>0</v>
      </c>
      <c r="Y29" s="153">
        <f t="shared" si="48"/>
        <v>0</v>
      </c>
      <c r="Z29" s="153">
        <f t="shared" si="49"/>
        <v>0</v>
      </c>
      <c r="AA29" s="153">
        <f t="shared" si="50"/>
        <v>0</v>
      </c>
      <c r="AB29" s="153">
        <f t="shared" si="51"/>
        <v>0</v>
      </c>
      <c r="AC29" s="153">
        <f t="shared" si="52"/>
        <v>0</v>
      </c>
      <c r="AD29" s="153">
        <f t="shared" si="53"/>
        <v>0</v>
      </c>
      <c r="AE29" s="153">
        <f t="shared" si="54"/>
        <v>0</v>
      </c>
      <c r="AF29" s="153">
        <f t="shared" si="55"/>
        <v>0</v>
      </c>
      <c r="AG29" s="153">
        <f t="shared" si="56"/>
        <v>0</v>
      </c>
      <c r="AH29" s="153">
        <f t="shared" si="57"/>
        <v>0</v>
      </c>
      <c r="AI29" s="153">
        <f t="shared" si="58"/>
        <v>0</v>
      </c>
      <c r="AJ29" s="153">
        <f t="shared" si="59"/>
        <v>0</v>
      </c>
      <c r="AK29" s="153">
        <f t="shared" si="60"/>
        <v>0</v>
      </c>
      <c r="AL29" s="153">
        <f t="shared" si="61"/>
        <v>0</v>
      </c>
      <c r="AM29" s="153">
        <f t="shared" si="62"/>
        <v>0</v>
      </c>
      <c r="AN29" s="153">
        <f t="shared" si="63"/>
        <v>0</v>
      </c>
      <c r="AO29" s="153">
        <f t="shared" si="64"/>
        <v>0</v>
      </c>
      <c r="AP29" s="153">
        <f t="shared" si="65"/>
        <v>0</v>
      </c>
      <c r="AQ29" s="153">
        <f t="shared" si="66"/>
        <v>0</v>
      </c>
      <c r="AR29" s="151"/>
      <c r="AS29" s="151"/>
      <c r="AT29" s="151"/>
      <c r="AU29" s="153">
        <f t="shared" si="67"/>
        <v>0</v>
      </c>
      <c r="AV29" s="153">
        <f t="shared" si="68"/>
        <v>0</v>
      </c>
      <c r="AW29" s="153">
        <f t="shared" si="69"/>
        <v>0</v>
      </c>
      <c r="AX29" s="153">
        <f t="shared" si="70"/>
        <v>0</v>
      </c>
      <c r="AY29" s="153">
        <f t="shared" si="71"/>
        <v>0</v>
      </c>
      <c r="AZ29" s="153">
        <f t="shared" si="72"/>
        <v>0</v>
      </c>
      <c r="BA29" s="153">
        <f t="shared" si="73"/>
        <v>0</v>
      </c>
      <c r="BB29" s="153">
        <f t="shared" si="74"/>
        <v>0</v>
      </c>
      <c r="BC29" s="153">
        <f t="shared" si="75"/>
        <v>0</v>
      </c>
    </row>
    <row r="30" spans="1:210" ht="11.4" x14ac:dyDescent="0.2">
      <c r="B30" s="104" t="str">
        <f>B12</f>
        <v>Distribution Plant</v>
      </c>
      <c r="C30" s="152">
        <f>+F75</f>
        <v>3.764123996665291E-2</v>
      </c>
      <c r="D30" s="125">
        <f>SUM(C$12*$C30)+SUM((D$12-E$12-F$12)*$C30)</f>
        <v>507203.79524784384</v>
      </c>
      <c r="E30" s="125">
        <f>SUM(G$12*$C30)+SUM((H$12-I$12-J$12)*$C30*0.5)</f>
        <v>507203.79524784384</v>
      </c>
      <c r="F30" s="153">
        <f>SUM(K$12*$C30)+SUM((L$12-M$12-N$12)*$C30)</f>
        <v>507203.79524784384</v>
      </c>
      <c r="G30" s="153">
        <f>SUM(O$12*$C30)+SUM((P$12-Q$12-R$12)*$C30)</f>
        <v>507203.79524784384</v>
      </c>
      <c r="H30" s="153">
        <f>SUM(S$12*$C30)+SUM((T$12-U$12-V$12)*$C30*0.5)</f>
        <v>507203.79524784384</v>
      </c>
      <c r="I30" s="153">
        <f>SUM(W$12*$C30)+SUM((X$12-Y$12-Z$12)*$C30*0.5)</f>
        <v>507203.79524784384</v>
      </c>
      <c r="J30" s="153">
        <f>SUM(AA$12*$C30)+SUM((AB$12-AC$12-AD$12)*$C30*0.5)</f>
        <v>507203.79524784384</v>
      </c>
      <c r="K30" s="153">
        <f>SUM(AE$12*$C30)+SUM((AF$12-AG$12-AH$12)*$C30*0.5)</f>
        <v>507203.79524784384</v>
      </c>
      <c r="L30" s="153">
        <f>SUM($AI$12*$C30)</f>
        <v>507203.79524784384</v>
      </c>
      <c r="M30" s="153">
        <f>SUM($AI$12*$C30)</f>
        <v>507203.79524784384</v>
      </c>
      <c r="N30" s="153">
        <f t="shared" ref="N30:AL30" si="76">SUM($AI$12*$C30)</f>
        <v>507203.79524784384</v>
      </c>
      <c r="O30" s="153">
        <f t="shared" si="76"/>
        <v>507203.79524784384</v>
      </c>
      <c r="P30" s="153">
        <f t="shared" si="76"/>
        <v>507203.79524784384</v>
      </c>
      <c r="Q30" s="153">
        <f t="shared" si="76"/>
        <v>507203.79524784384</v>
      </c>
      <c r="R30" s="153">
        <f t="shared" si="76"/>
        <v>507203.79524784384</v>
      </c>
      <c r="S30" s="153">
        <f t="shared" si="76"/>
        <v>507203.79524784384</v>
      </c>
      <c r="T30" s="153">
        <f t="shared" si="76"/>
        <v>507203.79524784384</v>
      </c>
      <c r="U30" s="153">
        <f t="shared" si="76"/>
        <v>507203.79524784384</v>
      </c>
      <c r="V30" s="153">
        <f t="shared" si="76"/>
        <v>507203.79524784384</v>
      </c>
      <c r="W30" s="153">
        <f t="shared" si="76"/>
        <v>507203.79524784384</v>
      </c>
      <c r="X30" s="153">
        <f t="shared" si="76"/>
        <v>507203.79524784384</v>
      </c>
      <c r="Y30" s="153">
        <f t="shared" si="76"/>
        <v>507203.79524784384</v>
      </c>
      <c r="Z30" s="153">
        <f t="shared" si="76"/>
        <v>507203.79524784384</v>
      </c>
      <c r="AA30" s="153">
        <f t="shared" si="76"/>
        <v>507203.79524784384</v>
      </c>
      <c r="AB30" s="153">
        <f t="shared" si="76"/>
        <v>507203.79524784384</v>
      </c>
      <c r="AC30" s="153">
        <f t="shared" si="76"/>
        <v>507203.79524784384</v>
      </c>
      <c r="AD30" s="153">
        <f t="shared" si="76"/>
        <v>507203.79524784384</v>
      </c>
      <c r="AE30" s="153">
        <f t="shared" si="76"/>
        <v>507203.79524784384</v>
      </c>
      <c r="AF30" s="153">
        <f t="shared" si="76"/>
        <v>507203.79524784384</v>
      </c>
      <c r="AG30" s="153">
        <f t="shared" si="76"/>
        <v>507203.79524784384</v>
      </c>
      <c r="AH30" s="153">
        <f t="shared" si="76"/>
        <v>507203.79524784384</v>
      </c>
      <c r="AI30" s="153">
        <f t="shared" si="76"/>
        <v>507203.79524784384</v>
      </c>
      <c r="AJ30" s="153">
        <f t="shared" si="76"/>
        <v>507203.79524784384</v>
      </c>
      <c r="AK30" s="153">
        <f t="shared" si="76"/>
        <v>507203.79524784384</v>
      </c>
      <c r="AL30" s="153">
        <f t="shared" si="76"/>
        <v>507203.79524784384</v>
      </c>
      <c r="AM30" s="153">
        <v>245521</v>
      </c>
      <c r="AN30" s="153">
        <v>0</v>
      </c>
      <c r="AO30" s="153">
        <v>0</v>
      </c>
      <c r="AP30" s="153">
        <v>0</v>
      </c>
      <c r="AQ30" s="153"/>
      <c r="AR30" s="153"/>
      <c r="AS30" s="151"/>
      <c r="AT30" s="151"/>
      <c r="AU30" s="153"/>
      <c r="AV30" s="153"/>
      <c r="AW30" s="153"/>
      <c r="AX30" s="153"/>
      <c r="AY30" s="153"/>
      <c r="AZ30" s="153"/>
      <c r="BA30" s="153"/>
      <c r="BB30" s="153"/>
      <c r="BC30" s="153"/>
    </row>
    <row r="31" spans="1:210" ht="11.4" hidden="1" x14ac:dyDescent="0.2">
      <c r="B31" s="104"/>
      <c r="C31" s="152"/>
      <c r="D31" s="125">
        <f>SUM(C13*$C31)+SUM((D13-E13-F13)*$C31*0.5)</f>
        <v>0</v>
      </c>
      <c r="E31" s="125">
        <f>SUM(G13*$C31)+SUM((H13-I13-J13)*$C31*0.5)</f>
        <v>0</v>
      </c>
      <c r="F31" s="153">
        <f t="shared" si="32"/>
        <v>0</v>
      </c>
      <c r="G31" s="153">
        <f t="shared" si="33"/>
        <v>0</v>
      </c>
      <c r="H31" s="153">
        <f t="shared" si="34"/>
        <v>0</v>
      </c>
      <c r="I31" s="153">
        <f t="shared" si="35"/>
        <v>0</v>
      </c>
      <c r="J31" s="153">
        <f t="shared" si="36"/>
        <v>0</v>
      </c>
      <c r="K31" s="153">
        <f t="shared" si="36"/>
        <v>0</v>
      </c>
      <c r="L31" s="153">
        <f t="shared" si="36"/>
        <v>0</v>
      </c>
      <c r="M31" s="153">
        <f t="shared" si="36"/>
        <v>0</v>
      </c>
      <c r="N31" s="153">
        <f t="shared" ref="N31:N33" si="77">SUM(S13*$C31)+SUM((T13-U13-V13)*$C31*0.5)</f>
        <v>0</v>
      </c>
      <c r="O31" s="153">
        <f t="shared" ref="O31:O33" si="78">SUM(T13*$C31)+SUM((U13-V13-W13)*$C31*0.5)</f>
        <v>0</v>
      </c>
      <c r="P31" s="153">
        <f t="shared" ref="P31:P33" si="79">SUM(U13*$C31)+SUM((V13-W13-X13)*$C31*0.5)</f>
        <v>0</v>
      </c>
      <c r="Q31" s="153">
        <f t="shared" ref="Q31:Q33" si="80">SUM(V13*$C31)+SUM((W13-X13-Y13)*$C31*0.5)</f>
        <v>0</v>
      </c>
      <c r="R31" s="153">
        <f t="shared" ref="R31:R33" si="81">SUM(W13*$C31)+SUM((X13-Y13-Z13)*$C31*0.5)</f>
        <v>0</v>
      </c>
      <c r="S31" s="153">
        <f t="shared" ref="S31:S33" si="82">SUM(X13*$C31)+SUM((Y13-Z13-AA13)*$C31*0.5)</f>
        <v>0</v>
      </c>
      <c r="T31" s="153">
        <f t="shared" ref="T31:T33" si="83">SUM(Y13*$C31)+SUM((Z13-AA13-AB13)*$C31*0.5)</f>
        <v>0</v>
      </c>
      <c r="U31" s="153">
        <f t="shared" ref="U31:U33" si="84">SUM(Z13*$C31)+SUM((AA13-AB13-AC13)*$C31*0.5)</f>
        <v>0</v>
      </c>
      <c r="V31" s="153">
        <f t="shared" ref="V31:V33" si="85">SUM(AA13*$C31)+SUM((AB13-AC13-AD13)*$C31*0.5)</f>
        <v>0</v>
      </c>
      <c r="W31" s="153">
        <f t="shared" ref="W31:W33" si="86">SUM(AB13*$C31)+SUM((AC13-AD13-AE13)*$C31*0.5)</f>
        <v>0</v>
      </c>
      <c r="X31" s="153">
        <f t="shared" ref="X31:X33" si="87">SUM(AC13*$C31)+SUM((AD13-AE13-AF13)*$C31*0.5)</f>
        <v>0</v>
      </c>
      <c r="Y31" s="153">
        <f t="shared" ref="Y31:Y33" si="88">SUM(AD13*$C31)+SUM((AE13-AF13-AG13)*$C31*0.5)</f>
        <v>0</v>
      </c>
      <c r="Z31" s="153">
        <f t="shared" ref="Z31:Z33" si="89">SUM(AE13*$C31)+SUM((AF13-AG13-AH13)*$C31*0.5)</f>
        <v>0</v>
      </c>
      <c r="AA31" s="153">
        <f t="shared" ref="AA31:AA33" si="90">SUM(AF13*$C31)+SUM((AG13-AH13-AI13)*$C31*0.5)</f>
        <v>0</v>
      </c>
      <c r="AB31" s="153">
        <f t="shared" ref="AB31:AB33" si="91">SUM(AG13*$C31)+SUM((AH13-AI13-AJ13)*$C31*0.5)</f>
        <v>0</v>
      </c>
      <c r="AC31" s="153">
        <f t="shared" ref="AC31:AC33" si="92">SUM(AH13*$C31)+SUM((AI13-AJ13-AK13)*$C31*0.5)</f>
        <v>0</v>
      </c>
      <c r="AD31" s="153">
        <f t="shared" ref="AD31:AD33" si="93">SUM(AI13*$C31)+SUM((AJ13-AK13-AL13)*$C31*0.5)</f>
        <v>0</v>
      </c>
      <c r="AE31" s="153">
        <f t="shared" ref="AE31:AE33" si="94">SUM(AJ13*$C31)+SUM((AK13-AL13-AM13)*$C31*0.5)</f>
        <v>0</v>
      </c>
      <c r="AF31" s="153">
        <f t="shared" ref="AF31:AF33" si="95">SUM(AK13*$C31)+SUM((AL13-AM13-AN13)*$C31*0.5)</f>
        <v>0</v>
      </c>
      <c r="AG31" s="153">
        <f t="shared" ref="AG31:AG33" si="96">SUM(AL13*$C31)+SUM((AM13-AN13-AO13)*$C31*0.5)</f>
        <v>0</v>
      </c>
      <c r="AH31" s="153">
        <f t="shared" ref="AH31:AH33" si="97">SUM(AM13*$C31)+SUM((AN13-AO13-AP13)*$C31*0.5)</f>
        <v>0</v>
      </c>
      <c r="AI31" s="153">
        <f t="shared" ref="AI31:AI33" si="98">SUM(AN13*$C31)+SUM((AO13-AP13-AQ13)*$C31*0.5)</f>
        <v>0</v>
      </c>
      <c r="AJ31" s="153">
        <f t="shared" ref="AJ31:AJ33" si="99">SUM(AO13*$C31)+SUM((AP13-AQ13-AR13)*$C31*0.5)</f>
        <v>0</v>
      </c>
      <c r="AK31" s="153">
        <f t="shared" ref="AK31:AK33" si="100">SUM(AP13*$C31)+SUM((AQ13-AR13-AS13)*$C31*0.5)</f>
        <v>0</v>
      </c>
      <c r="AL31" s="153">
        <f t="shared" ref="AL31:AL33" si="101">SUM(AQ13*$C31)+SUM((AR13-AS13-AT13)*$C31*0.5)</f>
        <v>0</v>
      </c>
      <c r="AM31" s="153">
        <f t="shared" ref="AM31:AM33" si="102">SUM(AR13*$C31)+SUM((AS13-AT13-AU13)*$C31*0.5)</f>
        <v>0</v>
      </c>
      <c r="AN31" s="153">
        <f t="shared" ref="AN31:AN33" si="103">SUM(AS13*$C31)+SUM((AT13-AU13-AV13)*$C31*0.5)</f>
        <v>0</v>
      </c>
      <c r="AO31" s="153">
        <f t="shared" ref="AO31:AO33" si="104">SUM(AT13*$C31)+SUM((AU13-AV13-AW13)*$C31*0.5)</f>
        <v>0</v>
      </c>
      <c r="AP31" s="153">
        <f t="shared" ref="AP31:AP33" si="105">SUM(AU13*$C31)+SUM((AV13-AW13-AX13)*$C31*0.5)</f>
        <v>0</v>
      </c>
      <c r="AQ31" s="153">
        <f t="shared" ref="AQ31:AR33" si="106">SUM(AV13*$C31)+SUM((AW13-AX13-AY13)*$C31*0.5)</f>
        <v>0</v>
      </c>
      <c r="AR31" s="153">
        <f t="shared" si="106"/>
        <v>0</v>
      </c>
      <c r="AS31" s="151"/>
      <c r="AT31" s="151"/>
      <c r="AU31" s="153"/>
      <c r="AV31" s="153"/>
      <c r="AW31" s="153"/>
      <c r="AX31" s="153"/>
      <c r="AY31" s="153"/>
      <c r="AZ31" s="153"/>
      <c r="BA31" s="153"/>
      <c r="BB31" s="153"/>
      <c r="BC31" s="153"/>
    </row>
    <row r="32" spans="1:210" ht="11.4" hidden="1" x14ac:dyDescent="0.2">
      <c r="B32" s="104"/>
      <c r="C32" s="152"/>
      <c r="D32" s="125">
        <f>(SUM(C14*$C32)+SUM((D14-E14-F14)*$C32*0.5))</f>
        <v>0</v>
      </c>
      <c r="E32" s="125">
        <f>(SUM(G14*$C32)+SUM((H14-I14-J14)*$C32*0.5))</f>
        <v>0</v>
      </c>
      <c r="F32" s="153">
        <f t="shared" si="32"/>
        <v>0</v>
      </c>
      <c r="G32" s="153">
        <f t="shared" si="33"/>
        <v>0</v>
      </c>
      <c r="H32" s="153">
        <f t="shared" si="34"/>
        <v>0</v>
      </c>
      <c r="I32" s="153">
        <f t="shared" si="35"/>
        <v>0</v>
      </c>
      <c r="J32" s="153">
        <f t="shared" si="36"/>
        <v>0</v>
      </c>
      <c r="K32" s="153">
        <f t="shared" si="36"/>
        <v>0</v>
      </c>
      <c r="L32" s="153">
        <f t="shared" si="36"/>
        <v>0</v>
      </c>
      <c r="M32" s="153">
        <f t="shared" si="36"/>
        <v>0</v>
      </c>
      <c r="N32" s="153">
        <f t="shared" si="77"/>
        <v>0</v>
      </c>
      <c r="O32" s="153">
        <f t="shared" si="78"/>
        <v>0</v>
      </c>
      <c r="P32" s="153">
        <f t="shared" si="79"/>
        <v>0</v>
      </c>
      <c r="Q32" s="153">
        <f t="shared" si="80"/>
        <v>0</v>
      </c>
      <c r="R32" s="153">
        <f t="shared" si="81"/>
        <v>0</v>
      </c>
      <c r="S32" s="153">
        <f t="shared" si="82"/>
        <v>0</v>
      </c>
      <c r="T32" s="153">
        <f t="shared" si="83"/>
        <v>0</v>
      </c>
      <c r="U32" s="153">
        <f t="shared" si="84"/>
        <v>0</v>
      </c>
      <c r="V32" s="153">
        <f t="shared" si="85"/>
        <v>0</v>
      </c>
      <c r="W32" s="153">
        <f t="shared" si="86"/>
        <v>0</v>
      </c>
      <c r="X32" s="153">
        <f t="shared" si="87"/>
        <v>0</v>
      </c>
      <c r="Y32" s="153">
        <f t="shared" si="88"/>
        <v>0</v>
      </c>
      <c r="Z32" s="153">
        <f t="shared" si="89"/>
        <v>0</v>
      </c>
      <c r="AA32" s="153">
        <f t="shared" si="90"/>
        <v>0</v>
      </c>
      <c r="AB32" s="153">
        <f t="shared" si="91"/>
        <v>0</v>
      </c>
      <c r="AC32" s="153">
        <f t="shared" si="92"/>
        <v>0</v>
      </c>
      <c r="AD32" s="153">
        <f t="shared" si="93"/>
        <v>0</v>
      </c>
      <c r="AE32" s="153">
        <f t="shared" si="94"/>
        <v>0</v>
      </c>
      <c r="AF32" s="153">
        <f t="shared" si="95"/>
        <v>0</v>
      </c>
      <c r="AG32" s="153">
        <f t="shared" si="96"/>
        <v>0</v>
      </c>
      <c r="AH32" s="153">
        <f t="shared" si="97"/>
        <v>0</v>
      </c>
      <c r="AI32" s="153">
        <f t="shared" si="98"/>
        <v>0</v>
      </c>
      <c r="AJ32" s="153">
        <f t="shared" si="99"/>
        <v>0</v>
      </c>
      <c r="AK32" s="153">
        <f t="shared" si="100"/>
        <v>0</v>
      </c>
      <c r="AL32" s="153">
        <f t="shared" si="101"/>
        <v>0</v>
      </c>
      <c r="AM32" s="153">
        <f t="shared" si="102"/>
        <v>0</v>
      </c>
      <c r="AN32" s="153">
        <f t="shared" si="103"/>
        <v>0</v>
      </c>
      <c r="AO32" s="153">
        <f t="shared" si="104"/>
        <v>0</v>
      </c>
      <c r="AP32" s="153">
        <f t="shared" si="105"/>
        <v>0</v>
      </c>
      <c r="AQ32" s="153">
        <f t="shared" si="106"/>
        <v>0</v>
      </c>
      <c r="AR32" s="153">
        <f t="shared" si="106"/>
        <v>0</v>
      </c>
      <c r="AS32" s="151"/>
      <c r="AT32" s="151"/>
      <c r="AU32" s="153"/>
      <c r="AV32" s="153"/>
      <c r="AW32" s="153"/>
      <c r="AX32" s="153"/>
      <c r="AY32" s="153"/>
      <c r="AZ32" s="153"/>
      <c r="BA32" s="153"/>
      <c r="BB32" s="153"/>
      <c r="BC32" s="153"/>
    </row>
    <row r="33" spans="1:55" ht="11.4" hidden="1" x14ac:dyDescent="0.2">
      <c r="B33" s="104"/>
      <c r="C33" s="152"/>
      <c r="D33" s="125">
        <f>SUM(C15*$C33)+SUM((D15-E15-F15)*$C33*0.5)</f>
        <v>0</v>
      </c>
      <c r="E33" s="125">
        <f>SUM(G15*$C33)+SUM((H15-I15-J15)*$C33*0.5)</f>
        <v>0</v>
      </c>
      <c r="F33" s="153">
        <f t="shared" si="32"/>
        <v>0</v>
      </c>
      <c r="G33" s="153">
        <f t="shared" si="33"/>
        <v>0</v>
      </c>
      <c r="H33" s="153">
        <f t="shared" si="34"/>
        <v>0</v>
      </c>
      <c r="I33" s="153">
        <f t="shared" si="35"/>
        <v>0</v>
      </c>
      <c r="J33" s="153">
        <f t="shared" si="36"/>
        <v>0</v>
      </c>
      <c r="K33" s="153">
        <f t="shared" si="36"/>
        <v>0</v>
      </c>
      <c r="L33" s="153">
        <f t="shared" si="36"/>
        <v>0</v>
      </c>
      <c r="M33" s="153">
        <f t="shared" si="36"/>
        <v>0</v>
      </c>
      <c r="N33" s="153">
        <f t="shared" si="77"/>
        <v>0</v>
      </c>
      <c r="O33" s="153">
        <f t="shared" si="78"/>
        <v>0</v>
      </c>
      <c r="P33" s="153">
        <f t="shared" si="79"/>
        <v>0</v>
      </c>
      <c r="Q33" s="153">
        <f t="shared" si="80"/>
        <v>0</v>
      </c>
      <c r="R33" s="153">
        <f t="shared" si="81"/>
        <v>0</v>
      </c>
      <c r="S33" s="153">
        <f t="shared" si="82"/>
        <v>0</v>
      </c>
      <c r="T33" s="153">
        <f t="shared" si="83"/>
        <v>0</v>
      </c>
      <c r="U33" s="153">
        <f t="shared" si="84"/>
        <v>0</v>
      </c>
      <c r="V33" s="153">
        <f t="shared" si="85"/>
        <v>0</v>
      </c>
      <c r="W33" s="153">
        <f t="shared" si="86"/>
        <v>0</v>
      </c>
      <c r="X33" s="153">
        <f t="shared" si="87"/>
        <v>0</v>
      </c>
      <c r="Y33" s="153">
        <f t="shared" si="88"/>
        <v>0</v>
      </c>
      <c r="Z33" s="153">
        <f t="shared" si="89"/>
        <v>0</v>
      </c>
      <c r="AA33" s="153">
        <f t="shared" si="90"/>
        <v>0</v>
      </c>
      <c r="AB33" s="153">
        <f t="shared" si="91"/>
        <v>0</v>
      </c>
      <c r="AC33" s="153">
        <f t="shared" si="92"/>
        <v>0</v>
      </c>
      <c r="AD33" s="153">
        <f t="shared" si="93"/>
        <v>0</v>
      </c>
      <c r="AE33" s="153">
        <f t="shared" si="94"/>
        <v>0</v>
      </c>
      <c r="AF33" s="153">
        <f t="shared" si="95"/>
        <v>0</v>
      </c>
      <c r="AG33" s="153">
        <f t="shared" si="96"/>
        <v>0</v>
      </c>
      <c r="AH33" s="153">
        <f t="shared" si="97"/>
        <v>0</v>
      </c>
      <c r="AI33" s="153">
        <f t="shared" si="98"/>
        <v>0</v>
      </c>
      <c r="AJ33" s="153">
        <f t="shared" si="99"/>
        <v>0</v>
      </c>
      <c r="AK33" s="153">
        <f t="shared" si="100"/>
        <v>0</v>
      </c>
      <c r="AL33" s="153">
        <f t="shared" si="101"/>
        <v>0</v>
      </c>
      <c r="AM33" s="153">
        <f t="shared" si="102"/>
        <v>0</v>
      </c>
      <c r="AN33" s="153">
        <f t="shared" si="103"/>
        <v>0</v>
      </c>
      <c r="AO33" s="153">
        <f t="shared" si="104"/>
        <v>0</v>
      </c>
      <c r="AP33" s="153">
        <f t="shared" si="105"/>
        <v>0</v>
      </c>
      <c r="AQ33" s="153">
        <f t="shared" si="106"/>
        <v>0</v>
      </c>
      <c r="AR33" s="153">
        <f t="shared" si="106"/>
        <v>0</v>
      </c>
      <c r="AS33" s="151"/>
      <c r="AT33" s="151"/>
      <c r="AU33" s="153"/>
      <c r="AV33" s="153"/>
      <c r="AW33" s="153"/>
      <c r="AX33" s="153"/>
      <c r="AY33" s="153"/>
      <c r="AZ33" s="153"/>
      <c r="BA33" s="153"/>
      <c r="BB33" s="153"/>
      <c r="BC33" s="153"/>
    </row>
    <row r="34" spans="1:55" ht="11.4" hidden="1" x14ac:dyDescent="0.2">
      <c r="B34" s="104"/>
      <c r="C34" s="152"/>
      <c r="D34" s="125">
        <f>SUM(C16*$C34)+SUM((D16-E16-F16)*$C34*0.5)</f>
        <v>0</v>
      </c>
      <c r="E34" s="125">
        <f>SUM(G16-F16)*$C34+SUM((H16+F16-I16-J16)*$C34*0.5)</f>
        <v>0</v>
      </c>
      <c r="F34" s="153">
        <f>SUM(K16-J16)*$C34+SUM((L16-M16-N16+J16)*$C34*0.5)</f>
        <v>0</v>
      </c>
      <c r="G34" s="153">
        <f t="shared" ref="G34:M34" si="107">SUM(L16-K16)*$C34+SUM((M16-N16-O16+K16)*$C34*0.5)</f>
        <v>0</v>
      </c>
      <c r="H34" s="153">
        <f t="shared" si="107"/>
        <v>0</v>
      </c>
      <c r="I34" s="153">
        <f t="shared" si="107"/>
        <v>0</v>
      </c>
      <c r="J34" s="153">
        <f t="shared" si="107"/>
        <v>0</v>
      </c>
      <c r="K34" s="153">
        <f t="shared" si="107"/>
        <v>0</v>
      </c>
      <c r="L34" s="153">
        <f t="shared" si="107"/>
        <v>0</v>
      </c>
      <c r="M34" s="153">
        <f t="shared" si="107"/>
        <v>0</v>
      </c>
      <c r="N34" s="153">
        <f t="shared" ref="N34" si="108">SUM(S16-R16)*$C34+SUM((T16-U16-V16+R16)*$C34*0.5)</f>
        <v>0</v>
      </c>
      <c r="O34" s="153">
        <f t="shared" ref="O34" si="109">SUM(T16-S16)*$C34+SUM((U16-V16-W16+S16)*$C34*0.5)</f>
        <v>0</v>
      </c>
      <c r="P34" s="153">
        <f t="shared" ref="P34" si="110">SUM(U16-T16)*$C34+SUM((V16-W16-X16+T16)*$C34*0.5)</f>
        <v>0</v>
      </c>
      <c r="Q34" s="153">
        <f t="shared" ref="Q34" si="111">SUM(V16-U16)*$C34+SUM((W16-X16-Y16+U16)*$C34*0.5)</f>
        <v>0</v>
      </c>
      <c r="R34" s="153">
        <f t="shared" ref="R34" si="112">SUM(W16-V16)*$C34+SUM((X16-Y16-Z16+V16)*$C34*0.5)</f>
        <v>0</v>
      </c>
      <c r="S34" s="153">
        <f t="shared" ref="S34" si="113">SUM(X16-W16)*$C34+SUM((Y16-Z16-AA16+W16)*$C34*0.5)</f>
        <v>0</v>
      </c>
      <c r="T34" s="153">
        <f t="shared" ref="T34" si="114">SUM(Y16-X16)*$C34+SUM((Z16-AA16-AB16+X16)*$C34*0.5)</f>
        <v>0</v>
      </c>
      <c r="U34" s="153">
        <f t="shared" ref="U34" si="115">SUM(Z16-Y16)*$C34+SUM((AA16-AB16-AC16+Y16)*$C34*0.5)</f>
        <v>0</v>
      </c>
      <c r="V34" s="153">
        <f t="shared" ref="V34" si="116">SUM(AA16-Z16)*$C34+SUM((AB16-AC16-AD16+Z16)*$C34*0.5)</f>
        <v>0</v>
      </c>
      <c r="W34" s="153">
        <f t="shared" ref="W34" si="117">SUM(AB16-AA16)*$C34+SUM((AC16-AD16-AE16+AA16)*$C34*0.5)</f>
        <v>0</v>
      </c>
      <c r="X34" s="153">
        <f t="shared" ref="X34" si="118">SUM(AC16-AB16)*$C34+SUM((AD16-AE16-AF16+AB16)*$C34*0.5)</f>
        <v>0</v>
      </c>
      <c r="Y34" s="153">
        <f t="shared" ref="Y34" si="119">SUM(AD16-AC16)*$C34+SUM((AE16-AF16-AG16+AC16)*$C34*0.5)</f>
        <v>0</v>
      </c>
      <c r="Z34" s="153">
        <f t="shared" ref="Z34" si="120">SUM(AE16-AD16)*$C34+SUM((AF16-AG16-AH16+AD16)*$C34*0.5)</f>
        <v>0</v>
      </c>
      <c r="AA34" s="153">
        <f t="shared" ref="AA34" si="121">SUM(AF16-AE16)*$C34+SUM((AG16-AH16-AI16+AE16)*$C34*0.5)</f>
        <v>0</v>
      </c>
      <c r="AB34" s="153">
        <f t="shared" ref="AB34" si="122">SUM(AG16-AF16)*$C34+SUM((AH16-AI16-AJ16+AF16)*$C34*0.5)</f>
        <v>0</v>
      </c>
      <c r="AC34" s="153">
        <f t="shared" ref="AC34" si="123">SUM(AH16-AG16)*$C34+SUM((AI16-AJ16-AK16+AG16)*$C34*0.5)</f>
        <v>0</v>
      </c>
      <c r="AD34" s="153">
        <f t="shared" ref="AD34" si="124">SUM(AI16-AH16)*$C34+SUM((AJ16-AK16-AL16+AH16)*$C34*0.5)</f>
        <v>0</v>
      </c>
      <c r="AE34" s="153">
        <f t="shared" ref="AE34" si="125">SUM(AJ16-AI16)*$C34+SUM((AK16-AL16-AM16+AI16)*$C34*0.5)</f>
        <v>0</v>
      </c>
      <c r="AF34" s="153">
        <f t="shared" ref="AF34" si="126">SUM(AK16-AJ16)*$C34+SUM((AL16-AM16-AN16+AJ16)*$C34*0.5)</f>
        <v>0</v>
      </c>
      <c r="AG34" s="153">
        <f t="shared" ref="AG34" si="127">SUM(AL16-AK16)*$C34+SUM((AM16-AN16-AO16+AK16)*$C34*0.5)</f>
        <v>0</v>
      </c>
      <c r="AH34" s="153">
        <f t="shared" ref="AH34" si="128">SUM(AM16-AL16)*$C34+SUM((AN16-AO16-AP16+AL16)*$C34*0.5)</f>
        <v>0</v>
      </c>
      <c r="AI34" s="153">
        <f t="shared" ref="AI34" si="129">SUM(AN16-AM16)*$C34+SUM((AO16-AP16-AQ16+AM16)*$C34*0.5)</f>
        <v>0</v>
      </c>
      <c r="AJ34" s="153">
        <f t="shared" ref="AJ34" si="130">SUM(AO16-AN16)*$C34+SUM((AP16-AQ16-AR16+AN16)*$C34*0.5)</f>
        <v>0</v>
      </c>
      <c r="AK34" s="153">
        <f t="shared" ref="AK34" si="131">SUM(AP16-AO16)*$C34+SUM((AQ16-AR16-AS16+AO16)*$C34*0.5)</f>
        <v>0</v>
      </c>
      <c r="AL34" s="153">
        <f t="shared" ref="AL34" si="132">SUM(AQ16-AP16)*$C34+SUM((AR16-AS16-AT16+AP16)*$C34*0.5)</f>
        <v>0</v>
      </c>
      <c r="AM34" s="153">
        <f t="shared" ref="AM34" si="133">SUM(AR16-AQ16)*$C34+SUM((AS16-AT16-AU16+AQ16)*$C34*0.5)</f>
        <v>0</v>
      </c>
      <c r="AN34" s="153">
        <f t="shared" ref="AN34" si="134">SUM(AS16-AR16)*$C34+SUM((AT16-AU16-AV16+AR16)*$C34*0.5)</f>
        <v>0</v>
      </c>
      <c r="AO34" s="153">
        <f t="shared" ref="AO34" si="135">SUM(AT16-AS16)*$C34+SUM((AU16-AV16-AW16+AS16)*$C34*0.5)</f>
        <v>0</v>
      </c>
      <c r="AP34" s="153">
        <f t="shared" ref="AP34" si="136">SUM(AU16-AT16)*$C34+SUM((AV16-AW16-AX16+AT16)*$C34*0.5)</f>
        <v>0</v>
      </c>
      <c r="AQ34" s="153">
        <f t="shared" ref="AQ34:AR34" si="137">SUM(AV16-AU16)*$C34+SUM((AW16-AX16-AY16+AU16)*$C34*0.5)</f>
        <v>0</v>
      </c>
      <c r="AR34" s="153">
        <f t="shared" si="137"/>
        <v>0</v>
      </c>
      <c r="AS34" s="151"/>
      <c r="AT34" s="151"/>
      <c r="AU34" s="153"/>
      <c r="AV34" s="153"/>
      <c r="AW34" s="153"/>
      <c r="AX34" s="153"/>
      <c r="AY34" s="153"/>
      <c r="AZ34" s="153"/>
      <c r="BA34" s="153"/>
      <c r="BB34" s="153"/>
      <c r="BC34" s="153"/>
    </row>
    <row r="35" spans="1:55" ht="13.2" hidden="1" x14ac:dyDescent="0.35">
      <c r="B35" s="104"/>
      <c r="C35" s="152"/>
      <c r="D35" s="154">
        <f>SUM(C17*$C35)+SUM((D17-E17)*$C35*0.05)</f>
        <v>0</v>
      </c>
      <c r="E35" s="154">
        <f>SUM(G17*$C35)+SUM((H17-I17)*$C35*0.5)</f>
        <v>0</v>
      </c>
      <c r="F35" s="155">
        <f>SUM(K17*$C35)+SUM((L17-M17)*$C35*0.05)</f>
        <v>0</v>
      </c>
      <c r="G35" s="155">
        <f t="shared" ref="G35:M35" si="138">SUM(L17*$C35)+SUM((M17-N17)*$C35*0.05)</f>
        <v>0</v>
      </c>
      <c r="H35" s="155">
        <f t="shared" si="138"/>
        <v>0</v>
      </c>
      <c r="I35" s="155">
        <f t="shared" si="138"/>
        <v>0</v>
      </c>
      <c r="J35" s="155">
        <f t="shared" si="138"/>
        <v>0</v>
      </c>
      <c r="K35" s="155">
        <f t="shared" si="138"/>
        <v>0</v>
      </c>
      <c r="L35" s="155">
        <f t="shared" si="138"/>
        <v>0</v>
      </c>
      <c r="M35" s="155">
        <f t="shared" si="138"/>
        <v>0</v>
      </c>
      <c r="N35" s="155">
        <f t="shared" ref="N35" si="139">SUM(S17*$C35)+SUM((T17-U17)*$C35*0.05)</f>
        <v>0</v>
      </c>
      <c r="O35" s="155">
        <f t="shared" ref="O35" si="140">SUM(T17*$C35)+SUM((U17-V17)*$C35*0.05)</f>
        <v>0</v>
      </c>
      <c r="P35" s="155">
        <f t="shared" ref="P35" si="141">SUM(U17*$C35)+SUM((V17-W17)*$C35*0.05)</f>
        <v>0</v>
      </c>
      <c r="Q35" s="155">
        <f t="shared" ref="Q35" si="142">SUM(V17*$C35)+SUM((W17-X17)*$C35*0.05)</f>
        <v>0</v>
      </c>
      <c r="R35" s="155">
        <f t="shared" ref="R35" si="143">SUM(W17*$C35)+SUM((X17-Y17)*$C35*0.05)</f>
        <v>0</v>
      </c>
      <c r="S35" s="155">
        <f t="shared" ref="S35" si="144">SUM(X17*$C35)+SUM((Y17-Z17)*$C35*0.05)</f>
        <v>0</v>
      </c>
      <c r="T35" s="155">
        <f t="shared" ref="T35" si="145">SUM(Y17*$C35)+SUM((Z17-AA17)*$C35*0.05)</f>
        <v>0</v>
      </c>
      <c r="U35" s="155">
        <f t="shared" ref="U35" si="146">SUM(Z17*$C35)+SUM((AA17-AB17)*$C35*0.05)</f>
        <v>0</v>
      </c>
      <c r="V35" s="155">
        <f t="shared" ref="V35" si="147">SUM(AA17*$C35)+SUM((AB17-AC17)*$C35*0.05)</f>
        <v>0</v>
      </c>
      <c r="W35" s="155">
        <f t="shared" ref="W35" si="148">SUM(AB17*$C35)+SUM((AC17-AD17)*$C35*0.05)</f>
        <v>0</v>
      </c>
      <c r="X35" s="155">
        <f t="shared" ref="X35" si="149">SUM(AC17*$C35)+SUM((AD17-AE17)*$C35*0.05)</f>
        <v>0</v>
      </c>
      <c r="Y35" s="155">
        <f t="shared" ref="Y35" si="150">SUM(AD17*$C35)+SUM((AE17-AF17)*$C35*0.05)</f>
        <v>0</v>
      </c>
      <c r="Z35" s="155">
        <f t="shared" ref="Z35" si="151">SUM(AE17*$C35)+SUM((AF17-AG17)*$C35*0.05)</f>
        <v>0</v>
      </c>
      <c r="AA35" s="155">
        <f t="shared" ref="AA35" si="152">SUM(AF17*$C35)+SUM((AG17-AH17)*$C35*0.05)</f>
        <v>0</v>
      </c>
      <c r="AB35" s="155">
        <f t="shared" ref="AB35" si="153">SUM(AG17*$C35)+SUM((AH17-AI17)*$C35*0.05)</f>
        <v>0</v>
      </c>
      <c r="AC35" s="155">
        <f t="shared" ref="AC35" si="154">SUM(AH17*$C35)+SUM((AI17-AJ17)*$C35*0.05)</f>
        <v>0</v>
      </c>
      <c r="AD35" s="155">
        <f t="shared" ref="AD35" si="155">SUM(AI17*$C35)+SUM((AJ17-AK17)*$C35*0.05)</f>
        <v>0</v>
      </c>
      <c r="AE35" s="155">
        <f t="shared" ref="AE35" si="156">SUM(AJ17*$C35)+SUM((AK17-AL17)*$C35*0.05)</f>
        <v>0</v>
      </c>
      <c r="AF35" s="155">
        <f t="shared" ref="AF35" si="157">SUM(AK17*$C35)+SUM((AL17-AM17)*$C35*0.05)</f>
        <v>0</v>
      </c>
      <c r="AG35" s="155">
        <f t="shared" ref="AG35" si="158">SUM(AL17*$C35)+SUM((AM17-AN17)*$C35*0.05)</f>
        <v>0</v>
      </c>
      <c r="AH35" s="155">
        <f t="shared" ref="AH35" si="159">SUM(AM17*$C35)+SUM((AN17-AO17)*$C35*0.05)</f>
        <v>0</v>
      </c>
      <c r="AI35" s="155">
        <f t="shared" ref="AI35" si="160">SUM(AN17*$C35)+SUM((AO17-AP17)*$C35*0.05)</f>
        <v>0</v>
      </c>
      <c r="AJ35" s="155">
        <f t="shared" ref="AJ35" si="161">SUM(AO17*$C35)+SUM((AP17-AQ17)*$C35*0.05)</f>
        <v>0</v>
      </c>
      <c r="AK35" s="155">
        <f t="shared" ref="AK35" si="162">SUM(AP17*$C35)+SUM((AQ17-AR17)*$C35*0.05)</f>
        <v>0</v>
      </c>
      <c r="AL35" s="155">
        <f t="shared" ref="AL35" si="163">SUM(AQ17*$C35)+SUM((AR17-AS17)*$C35*0.05)</f>
        <v>0</v>
      </c>
      <c r="AM35" s="155">
        <f t="shared" ref="AM35" si="164">SUM(AR17*$C35)+SUM((AS17-AT17)*$C35*0.05)</f>
        <v>0</v>
      </c>
      <c r="AN35" s="155">
        <f t="shared" ref="AN35" si="165">SUM(AS17*$C35)+SUM((AT17-AU17)*$C35*0.05)</f>
        <v>0</v>
      </c>
      <c r="AO35" s="155">
        <f t="shared" ref="AO35" si="166">SUM(AT17*$C35)+SUM((AU17-AV17)*$C35*0.05)</f>
        <v>0</v>
      </c>
      <c r="AP35" s="155">
        <f t="shared" ref="AP35" si="167">SUM(AU17*$C35)+SUM((AV17-AW17)*$C35*0.05)</f>
        <v>0</v>
      </c>
      <c r="AQ35" s="155">
        <f t="shared" ref="AQ35:AR35" si="168">SUM(AV17*$C35)+SUM((AW17-AX17)*$C35*0.05)</f>
        <v>0</v>
      </c>
      <c r="AR35" s="155">
        <f t="shared" si="168"/>
        <v>0</v>
      </c>
      <c r="AS35" s="151"/>
      <c r="AT35" s="151"/>
      <c r="AU35" s="155"/>
      <c r="AV35" s="155"/>
      <c r="AW35" s="155"/>
      <c r="AX35" s="155"/>
      <c r="AY35" s="155"/>
      <c r="AZ35" s="155"/>
      <c r="BA35" s="155"/>
      <c r="BB35" s="155"/>
      <c r="BC35" s="155"/>
    </row>
    <row r="36" spans="1:55" ht="11.4" hidden="1" x14ac:dyDescent="0.2">
      <c r="A36" s="103"/>
      <c r="C36" s="150"/>
      <c r="D36" s="151">
        <f>SUM(D27:D35)</f>
        <v>507203.79524784384</v>
      </c>
      <c r="E36" s="151">
        <f>SUM(E27:E35)</f>
        <v>507203.79524784384</v>
      </c>
      <c r="F36" s="151">
        <f>SUM(F27:F35)</f>
        <v>507203.79524784384</v>
      </c>
      <c r="G36" s="151">
        <f t="shared" ref="G36:K36" si="169">SUM(G27:G35)</f>
        <v>507203.79524784384</v>
      </c>
      <c r="H36" s="151">
        <f t="shared" si="169"/>
        <v>507203.79524784384</v>
      </c>
      <c r="I36" s="151">
        <f t="shared" si="169"/>
        <v>507203.79524784384</v>
      </c>
      <c r="J36" s="151">
        <f t="shared" si="169"/>
        <v>507203.79524784384</v>
      </c>
      <c r="K36" s="151">
        <f t="shared" si="169"/>
        <v>507203.79524784384</v>
      </c>
      <c r="L36" s="151">
        <f t="shared" ref="L36" si="170">SUM(L27:L35)</f>
        <v>507203.79524784384</v>
      </c>
      <c r="M36" s="151">
        <f t="shared" ref="M36:S36" si="171">SUM(M27:M35)</f>
        <v>507203.79524784384</v>
      </c>
      <c r="N36" s="151">
        <f t="shared" si="171"/>
        <v>507203.79524784384</v>
      </c>
      <c r="O36" s="151">
        <f t="shared" si="171"/>
        <v>507203.79524784384</v>
      </c>
      <c r="P36" s="151">
        <f t="shared" si="171"/>
        <v>507203.79524784384</v>
      </c>
      <c r="Q36" s="151">
        <f t="shared" si="171"/>
        <v>507203.79524784384</v>
      </c>
      <c r="R36" s="151">
        <f t="shared" si="171"/>
        <v>507203.79524784384</v>
      </c>
      <c r="S36" s="151">
        <f t="shared" si="171"/>
        <v>507203.79524784384</v>
      </c>
      <c r="T36" s="151">
        <f t="shared" ref="T36:AN36" si="172">SUM(T27:T35)</f>
        <v>507203.79524784384</v>
      </c>
      <c r="U36" s="151">
        <f t="shared" si="172"/>
        <v>507203.79524784384</v>
      </c>
      <c r="V36" s="151">
        <f t="shared" si="172"/>
        <v>507203.79524784384</v>
      </c>
      <c r="W36" s="151">
        <f t="shared" si="172"/>
        <v>507203.79524784384</v>
      </c>
      <c r="X36" s="151">
        <f t="shared" si="172"/>
        <v>507203.79524784384</v>
      </c>
      <c r="Y36" s="151">
        <f t="shared" si="172"/>
        <v>507203.79524784384</v>
      </c>
      <c r="Z36" s="151">
        <f t="shared" si="172"/>
        <v>507203.79524784384</v>
      </c>
      <c r="AA36" s="151">
        <f t="shared" si="172"/>
        <v>507203.79524784384</v>
      </c>
      <c r="AB36" s="151">
        <f t="shared" si="172"/>
        <v>507203.79524784384</v>
      </c>
      <c r="AC36" s="151">
        <f t="shared" si="172"/>
        <v>507203.79524784384</v>
      </c>
      <c r="AD36" s="151">
        <f t="shared" si="172"/>
        <v>507203.79524784384</v>
      </c>
      <c r="AE36" s="151">
        <f t="shared" si="172"/>
        <v>507203.79524784384</v>
      </c>
      <c r="AF36" s="151">
        <f t="shared" si="172"/>
        <v>507203.79524784384</v>
      </c>
      <c r="AG36" s="151">
        <f t="shared" si="172"/>
        <v>507203.79524784384</v>
      </c>
      <c r="AH36" s="151">
        <f t="shared" si="172"/>
        <v>507203.79524784384</v>
      </c>
      <c r="AI36" s="151">
        <f t="shared" si="172"/>
        <v>507203.79524784384</v>
      </c>
      <c r="AJ36" s="151">
        <f t="shared" si="172"/>
        <v>507203.79524784384</v>
      </c>
      <c r="AK36" s="151">
        <f t="shared" si="172"/>
        <v>507203.79524784384</v>
      </c>
      <c r="AL36" s="151">
        <f t="shared" si="172"/>
        <v>507203.79524784384</v>
      </c>
      <c r="AM36" s="151">
        <f t="shared" si="172"/>
        <v>245521</v>
      </c>
      <c r="AN36" s="151">
        <f t="shared" si="172"/>
        <v>0</v>
      </c>
      <c r="AO36" s="151">
        <f t="shared" ref="AO36:AQ36" si="173">SUM(AO27:AO35)</f>
        <v>0</v>
      </c>
      <c r="AP36" s="151">
        <f t="shared" si="173"/>
        <v>0</v>
      </c>
      <c r="AQ36" s="151">
        <f t="shared" si="173"/>
        <v>0</v>
      </c>
      <c r="AR36" s="151">
        <f t="shared" ref="AR36" si="174">SUM(AR27:AR35)</f>
        <v>0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5" ht="11.4" x14ac:dyDescent="0.2">
      <c r="A37" s="103"/>
      <c r="C37" s="150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1"/>
      <c r="AT37" s="151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3.2" x14ac:dyDescent="0.35">
      <c r="A38" s="243" t="str">
        <f>+B20</f>
        <v>Operating Cost Regulatory Deferral</v>
      </c>
      <c r="C38" s="244">
        <v>0.2</v>
      </c>
      <c r="D38" s="157">
        <f>SUM(C20*$C38)+((D20-E20-F20)*$C38)*8/12</f>
        <v>2926329.6</v>
      </c>
      <c r="E38" s="157">
        <f>SUM(G20-F20)*$C38+((H20+F20-I20-J20)*$C38*0.5)</f>
        <v>4389494.4000000004</v>
      </c>
      <c r="F38" s="157">
        <f>SUM(K20-J20)*$C38+((L20+J20-M20-N20)*$C38*10/12)</f>
        <v>4389494.4000000004</v>
      </c>
      <c r="G38" s="157">
        <f>+F38</f>
        <v>4389494.4000000004</v>
      </c>
      <c r="H38" s="157">
        <f t="shared" ref="H38" si="175">+G38</f>
        <v>4389494.4000000004</v>
      </c>
      <c r="I38" s="157">
        <f>+H38*4/12</f>
        <v>1463164.8</v>
      </c>
      <c r="J38" s="157">
        <v>0</v>
      </c>
      <c r="K38" s="157">
        <f t="shared" ref="K38" si="176">+J38</f>
        <v>0</v>
      </c>
      <c r="L38" s="157">
        <f t="shared" ref="L38" si="177">+K38</f>
        <v>0</v>
      </c>
      <c r="M38" s="157">
        <f t="shared" ref="M38" si="178">+L38</f>
        <v>0</v>
      </c>
      <c r="N38" s="157">
        <f>+M38*4/12</f>
        <v>0</v>
      </c>
      <c r="O38" s="157">
        <v>0</v>
      </c>
      <c r="P38" s="157">
        <f t="shared" ref="P38:AR38" si="179">+O38</f>
        <v>0</v>
      </c>
      <c r="Q38" s="157">
        <f t="shared" si="179"/>
        <v>0</v>
      </c>
      <c r="R38" s="157">
        <f t="shared" si="179"/>
        <v>0</v>
      </c>
      <c r="S38" s="157">
        <f t="shared" si="179"/>
        <v>0</v>
      </c>
      <c r="T38" s="157">
        <f t="shared" si="179"/>
        <v>0</v>
      </c>
      <c r="U38" s="157">
        <f t="shared" si="179"/>
        <v>0</v>
      </c>
      <c r="V38" s="157">
        <f t="shared" si="179"/>
        <v>0</v>
      </c>
      <c r="W38" s="157">
        <f t="shared" si="179"/>
        <v>0</v>
      </c>
      <c r="X38" s="157">
        <f t="shared" si="179"/>
        <v>0</v>
      </c>
      <c r="Y38" s="157">
        <f t="shared" si="179"/>
        <v>0</v>
      </c>
      <c r="Z38" s="157">
        <f t="shared" si="179"/>
        <v>0</v>
      </c>
      <c r="AA38" s="157">
        <f t="shared" si="179"/>
        <v>0</v>
      </c>
      <c r="AB38" s="157">
        <f t="shared" si="179"/>
        <v>0</v>
      </c>
      <c r="AC38" s="157">
        <f t="shared" si="179"/>
        <v>0</v>
      </c>
      <c r="AD38" s="157">
        <f t="shared" si="179"/>
        <v>0</v>
      </c>
      <c r="AE38" s="157">
        <f t="shared" si="179"/>
        <v>0</v>
      </c>
      <c r="AF38" s="157">
        <f t="shared" si="179"/>
        <v>0</v>
      </c>
      <c r="AG38" s="157">
        <f t="shared" si="179"/>
        <v>0</v>
      </c>
      <c r="AH38" s="157">
        <f t="shared" si="179"/>
        <v>0</v>
      </c>
      <c r="AI38" s="157">
        <f t="shared" si="179"/>
        <v>0</v>
      </c>
      <c r="AJ38" s="157">
        <f t="shared" si="179"/>
        <v>0</v>
      </c>
      <c r="AK38" s="157">
        <f t="shared" si="179"/>
        <v>0</v>
      </c>
      <c r="AL38" s="157">
        <f t="shared" si="179"/>
        <v>0</v>
      </c>
      <c r="AM38" s="157">
        <f t="shared" si="179"/>
        <v>0</v>
      </c>
      <c r="AN38" s="157">
        <f t="shared" si="179"/>
        <v>0</v>
      </c>
      <c r="AO38" s="157">
        <f t="shared" si="179"/>
        <v>0</v>
      </c>
      <c r="AP38" s="157">
        <f t="shared" si="179"/>
        <v>0</v>
      </c>
      <c r="AQ38" s="157">
        <f t="shared" si="179"/>
        <v>0</v>
      </c>
      <c r="AR38" s="157">
        <f t="shared" si="179"/>
        <v>0</v>
      </c>
      <c r="AS38" s="151"/>
      <c r="AT38" s="151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ht="11.4" x14ac:dyDescent="0.2">
      <c r="A39" s="103"/>
      <c r="C39" s="150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1"/>
      <c r="AT39" s="151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3.2" x14ac:dyDescent="0.35">
      <c r="A40" s="103" t="s">
        <v>202</v>
      </c>
      <c r="C40" s="158"/>
      <c r="D40" s="159">
        <f t="shared" ref="D40:E40" si="180">SUM(D36+D38)</f>
        <v>3433533.395247844</v>
      </c>
      <c r="E40" s="159">
        <f t="shared" si="180"/>
        <v>4896698.1952478439</v>
      </c>
      <c r="F40" s="159">
        <f>SUM(F36+F38)</f>
        <v>4896698.1952478439</v>
      </c>
      <c r="G40" s="159">
        <f t="shared" ref="G40:J40" si="181">SUM(G36+G38)</f>
        <v>4896698.1952478439</v>
      </c>
      <c r="H40" s="159">
        <f t="shared" si="181"/>
        <v>4896698.1952478439</v>
      </c>
      <c r="I40" s="159">
        <f t="shared" si="181"/>
        <v>1970368.5952478438</v>
      </c>
      <c r="J40" s="159">
        <f t="shared" si="181"/>
        <v>507203.79524784384</v>
      </c>
      <c r="K40" s="159">
        <f t="shared" ref="K40:L40" si="182">SUM(K36+K38)</f>
        <v>507203.79524784384</v>
      </c>
      <c r="L40" s="159">
        <f t="shared" si="182"/>
        <v>507203.79524784384</v>
      </c>
      <c r="M40" s="159">
        <f t="shared" ref="M40:S40" si="183">SUM(M36+M38)</f>
        <v>507203.79524784384</v>
      </c>
      <c r="N40" s="159">
        <f t="shared" si="183"/>
        <v>507203.79524784384</v>
      </c>
      <c r="O40" s="159">
        <f t="shared" si="183"/>
        <v>507203.79524784384</v>
      </c>
      <c r="P40" s="159">
        <f t="shared" si="183"/>
        <v>507203.79524784384</v>
      </c>
      <c r="Q40" s="159">
        <f t="shared" si="183"/>
        <v>507203.79524784384</v>
      </c>
      <c r="R40" s="159">
        <f t="shared" si="183"/>
        <v>507203.79524784384</v>
      </c>
      <c r="S40" s="159">
        <f t="shared" si="183"/>
        <v>507203.79524784384</v>
      </c>
      <c r="T40" s="159">
        <f t="shared" ref="T40:AN40" si="184">SUM(T36+T38)</f>
        <v>507203.79524784384</v>
      </c>
      <c r="U40" s="159">
        <f t="shared" si="184"/>
        <v>507203.79524784384</v>
      </c>
      <c r="V40" s="159">
        <f t="shared" si="184"/>
        <v>507203.79524784384</v>
      </c>
      <c r="W40" s="159">
        <f t="shared" si="184"/>
        <v>507203.79524784384</v>
      </c>
      <c r="X40" s="159">
        <f t="shared" si="184"/>
        <v>507203.79524784384</v>
      </c>
      <c r="Y40" s="159">
        <f t="shared" si="184"/>
        <v>507203.79524784384</v>
      </c>
      <c r="Z40" s="159">
        <f t="shared" si="184"/>
        <v>507203.79524784384</v>
      </c>
      <c r="AA40" s="159">
        <f t="shared" si="184"/>
        <v>507203.79524784384</v>
      </c>
      <c r="AB40" s="159">
        <f t="shared" si="184"/>
        <v>507203.79524784384</v>
      </c>
      <c r="AC40" s="159">
        <f t="shared" si="184"/>
        <v>507203.79524784384</v>
      </c>
      <c r="AD40" s="159">
        <f t="shared" si="184"/>
        <v>507203.79524784384</v>
      </c>
      <c r="AE40" s="159">
        <f t="shared" si="184"/>
        <v>507203.79524784384</v>
      </c>
      <c r="AF40" s="159">
        <f t="shared" si="184"/>
        <v>507203.79524784384</v>
      </c>
      <c r="AG40" s="159">
        <f t="shared" si="184"/>
        <v>507203.79524784384</v>
      </c>
      <c r="AH40" s="159">
        <f t="shared" si="184"/>
        <v>507203.79524784384</v>
      </c>
      <c r="AI40" s="159">
        <f t="shared" si="184"/>
        <v>507203.79524784384</v>
      </c>
      <c r="AJ40" s="159">
        <f t="shared" si="184"/>
        <v>507203.79524784384</v>
      </c>
      <c r="AK40" s="159">
        <f t="shared" si="184"/>
        <v>507203.79524784384</v>
      </c>
      <c r="AL40" s="159">
        <f t="shared" si="184"/>
        <v>507203.79524784384</v>
      </c>
      <c r="AM40" s="159">
        <f t="shared" si="184"/>
        <v>245521</v>
      </c>
      <c r="AN40" s="159">
        <f t="shared" si="184"/>
        <v>0</v>
      </c>
      <c r="AO40" s="159">
        <f t="shared" ref="AO40:AQ40" si="185">SUM(AO36+AO38)</f>
        <v>0</v>
      </c>
      <c r="AP40" s="159">
        <f t="shared" si="185"/>
        <v>0</v>
      </c>
      <c r="AQ40" s="159">
        <f t="shared" si="185"/>
        <v>0</v>
      </c>
      <c r="AR40" s="159">
        <f t="shared" ref="AR40" si="186">SUM(AR36+AR38)</f>
        <v>0</v>
      </c>
      <c r="AS40" s="151"/>
      <c r="AT40" s="151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1:55" ht="11.4" x14ac:dyDescent="0.2">
      <c r="A41" s="103"/>
      <c r="C41" s="158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1"/>
      <c r="AT41" s="151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1.4" x14ac:dyDescent="0.2">
      <c r="A42" s="103" t="s">
        <v>141</v>
      </c>
      <c r="C42" s="160"/>
      <c r="D42" s="161">
        <f>SUM(D36/SUM(G8:G16))</f>
        <v>3.764123996665291E-2</v>
      </c>
      <c r="E42" s="161">
        <f>SUM(E36/SUM(K8:K16))</f>
        <v>3.764123996665291E-2</v>
      </c>
      <c r="F42" s="161">
        <f>SUM(F36/SUM(O8:O16))</f>
        <v>3.764123996665291E-2</v>
      </c>
      <c r="G42" s="161">
        <f>SUM(G36/SUM(S8:S16))</f>
        <v>3.764123996665291E-2</v>
      </c>
      <c r="H42" s="161">
        <f>SUM(H36/SUM(W8:W16))</f>
        <v>3.764123996665291E-2</v>
      </c>
      <c r="I42" s="161">
        <f>SUM(I36/SUM(AA8:AA16))</f>
        <v>3.764123996665291E-2</v>
      </c>
      <c r="J42" s="161">
        <f>SUM(J36/SUM(AE8:AE16))</f>
        <v>3.764123996665291E-2</v>
      </c>
      <c r="K42" s="161">
        <f>SUM(K36/SUM(AI8:AI16))</f>
        <v>3.764123996665291E-2</v>
      </c>
      <c r="L42" s="161">
        <f>SUM(L36/SUM($AI$8:$AI$16))</f>
        <v>3.764123996665291E-2</v>
      </c>
      <c r="M42" s="161">
        <f>SUM(M36/SUM($AI$8:$AI$16))</f>
        <v>3.764123996665291E-2</v>
      </c>
      <c r="N42" s="161">
        <f t="shared" ref="N42:S42" si="187">SUM(N36/SUM($AI$8:$AI$16))</f>
        <v>3.764123996665291E-2</v>
      </c>
      <c r="O42" s="161">
        <f t="shared" si="187"/>
        <v>3.764123996665291E-2</v>
      </c>
      <c r="P42" s="161">
        <f t="shared" si="187"/>
        <v>3.764123996665291E-2</v>
      </c>
      <c r="Q42" s="161">
        <f t="shared" si="187"/>
        <v>3.764123996665291E-2</v>
      </c>
      <c r="R42" s="161">
        <f t="shared" si="187"/>
        <v>3.764123996665291E-2</v>
      </c>
      <c r="S42" s="161">
        <f t="shared" si="187"/>
        <v>3.764123996665291E-2</v>
      </c>
      <c r="T42" s="161">
        <f t="shared" ref="T42:AN42" si="188">SUM(T36/SUM($AI$8:$AI$16))</f>
        <v>3.764123996665291E-2</v>
      </c>
      <c r="U42" s="161">
        <f t="shared" si="188"/>
        <v>3.764123996665291E-2</v>
      </c>
      <c r="V42" s="161">
        <f t="shared" si="188"/>
        <v>3.764123996665291E-2</v>
      </c>
      <c r="W42" s="161">
        <f t="shared" si="188"/>
        <v>3.764123996665291E-2</v>
      </c>
      <c r="X42" s="161">
        <f t="shared" si="188"/>
        <v>3.764123996665291E-2</v>
      </c>
      <c r="Y42" s="161">
        <f t="shared" si="188"/>
        <v>3.764123996665291E-2</v>
      </c>
      <c r="Z42" s="161">
        <f t="shared" si="188"/>
        <v>3.764123996665291E-2</v>
      </c>
      <c r="AA42" s="161">
        <f t="shared" si="188"/>
        <v>3.764123996665291E-2</v>
      </c>
      <c r="AB42" s="161">
        <f t="shared" si="188"/>
        <v>3.764123996665291E-2</v>
      </c>
      <c r="AC42" s="161">
        <f t="shared" si="188"/>
        <v>3.764123996665291E-2</v>
      </c>
      <c r="AD42" s="161">
        <f t="shared" si="188"/>
        <v>3.764123996665291E-2</v>
      </c>
      <c r="AE42" s="161">
        <f t="shared" si="188"/>
        <v>3.764123996665291E-2</v>
      </c>
      <c r="AF42" s="161">
        <f t="shared" si="188"/>
        <v>3.764123996665291E-2</v>
      </c>
      <c r="AG42" s="161">
        <f t="shared" si="188"/>
        <v>3.764123996665291E-2</v>
      </c>
      <c r="AH42" s="161">
        <f t="shared" si="188"/>
        <v>3.764123996665291E-2</v>
      </c>
      <c r="AI42" s="161">
        <f t="shared" si="188"/>
        <v>3.764123996665291E-2</v>
      </c>
      <c r="AJ42" s="161">
        <f t="shared" si="188"/>
        <v>3.764123996665291E-2</v>
      </c>
      <c r="AK42" s="161">
        <f t="shared" si="188"/>
        <v>3.764123996665291E-2</v>
      </c>
      <c r="AL42" s="161">
        <f t="shared" si="188"/>
        <v>3.764123996665291E-2</v>
      </c>
      <c r="AM42" s="161">
        <f t="shared" si="188"/>
        <v>1.8220910341052651E-2</v>
      </c>
      <c r="AN42" s="161">
        <f t="shared" si="188"/>
        <v>0</v>
      </c>
      <c r="AO42" s="161">
        <f t="shared" ref="AO42:AQ42" si="189">SUM(AO36/SUM($AI$8:$AI$16))</f>
        <v>0</v>
      </c>
      <c r="AP42" s="161">
        <f t="shared" si="189"/>
        <v>0</v>
      </c>
      <c r="AQ42" s="161">
        <f t="shared" si="189"/>
        <v>0</v>
      </c>
      <c r="AR42" s="161">
        <f t="shared" ref="AR42" si="190">SUM(AR36/SUM($AI$8:$AI$16))</f>
        <v>0</v>
      </c>
      <c r="AS42" s="221"/>
      <c r="AT42" s="221"/>
      <c r="AU42" s="161"/>
      <c r="AV42" s="161"/>
      <c r="AW42" s="161"/>
      <c r="AX42" s="161"/>
      <c r="AY42" s="161"/>
      <c r="AZ42" s="161"/>
      <c r="BA42" s="161"/>
      <c r="BB42" s="161"/>
      <c r="BC42" s="161"/>
    </row>
    <row r="43" spans="1:55" ht="11.4" x14ac:dyDescent="0.2">
      <c r="A43" s="103"/>
      <c r="C43" s="162"/>
      <c r="D43" s="162"/>
      <c r="E43" s="162"/>
      <c r="F43" s="162"/>
      <c r="G43" s="289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</row>
    <row r="44" spans="1:55" ht="11.4" x14ac:dyDescent="0.2">
      <c r="A44" s="103"/>
      <c r="C44" s="105"/>
      <c r="D44" s="105"/>
      <c r="E44" s="240"/>
      <c r="G44" s="181"/>
    </row>
    <row r="45" spans="1:55" ht="13.2" x14ac:dyDescent="0.35">
      <c r="A45" s="147" t="s">
        <v>201</v>
      </c>
      <c r="B45" s="163"/>
      <c r="C45" s="164"/>
      <c r="D45" s="165">
        <f>D40</f>
        <v>3433533.395247844</v>
      </c>
      <c r="E45" s="165">
        <f t="shared" ref="E45:F45" si="191">E40</f>
        <v>4896698.1952478439</v>
      </c>
      <c r="F45" s="165">
        <f t="shared" si="191"/>
        <v>4896698.1952478439</v>
      </c>
      <c r="G45" s="165">
        <f t="shared" ref="G45:J45" si="192">G40</f>
        <v>4896698.1952478439</v>
      </c>
      <c r="H45" s="165">
        <f t="shared" si="192"/>
        <v>4896698.1952478439</v>
      </c>
      <c r="I45" s="165">
        <f t="shared" si="192"/>
        <v>1970368.5952478438</v>
      </c>
      <c r="J45" s="165">
        <f t="shared" si="192"/>
        <v>507203.79524784384</v>
      </c>
      <c r="K45" s="165">
        <f t="shared" ref="K45" si="193">K40</f>
        <v>507203.79524784384</v>
      </c>
      <c r="L45" s="165">
        <f>L40</f>
        <v>507203.79524784384</v>
      </c>
      <c r="M45" s="165">
        <f>M40</f>
        <v>507203.79524784384</v>
      </c>
      <c r="N45" s="165">
        <f t="shared" ref="N45:S45" si="194">N40</f>
        <v>507203.79524784384</v>
      </c>
      <c r="O45" s="165">
        <f t="shared" si="194"/>
        <v>507203.79524784384</v>
      </c>
      <c r="P45" s="165">
        <f t="shared" si="194"/>
        <v>507203.79524784384</v>
      </c>
      <c r="Q45" s="165">
        <f t="shared" si="194"/>
        <v>507203.79524784384</v>
      </c>
      <c r="R45" s="165">
        <f t="shared" si="194"/>
        <v>507203.79524784384</v>
      </c>
      <c r="S45" s="165">
        <f t="shared" si="194"/>
        <v>507203.79524784384</v>
      </c>
      <c r="T45" s="165">
        <f t="shared" ref="T45:AN45" si="195">T40</f>
        <v>507203.79524784384</v>
      </c>
      <c r="U45" s="165">
        <f t="shared" si="195"/>
        <v>507203.79524784384</v>
      </c>
      <c r="V45" s="165">
        <f t="shared" si="195"/>
        <v>507203.79524784384</v>
      </c>
      <c r="W45" s="165">
        <f t="shared" si="195"/>
        <v>507203.79524784384</v>
      </c>
      <c r="X45" s="165">
        <f t="shared" si="195"/>
        <v>507203.79524784384</v>
      </c>
      <c r="Y45" s="165">
        <f t="shared" si="195"/>
        <v>507203.79524784384</v>
      </c>
      <c r="Z45" s="165">
        <f t="shared" si="195"/>
        <v>507203.79524784384</v>
      </c>
      <c r="AA45" s="165">
        <f t="shared" si="195"/>
        <v>507203.79524784384</v>
      </c>
      <c r="AB45" s="165">
        <f t="shared" si="195"/>
        <v>507203.79524784384</v>
      </c>
      <c r="AC45" s="165">
        <f t="shared" si="195"/>
        <v>507203.79524784384</v>
      </c>
      <c r="AD45" s="165">
        <f t="shared" si="195"/>
        <v>507203.79524784384</v>
      </c>
      <c r="AE45" s="165">
        <f t="shared" si="195"/>
        <v>507203.79524784384</v>
      </c>
      <c r="AF45" s="165">
        <f t="shared" si="195"/>
        <v>507203.79524784384</v>
      </c>
      <c r="AG45" s="165">
        <f t="shared" si="195"/>
        <v>507203.79524784384</v>
      </c>
      <c r="AH45" s="165">
        <f t="shared" si="195"/>
        <v>507203.79524784384</v>
      </c>
      <c r="AI45" s="165">
        <f t="shared" si="195"/>
        <v>507203.79524784384</v>
      </c>
      <c r="AJ45" s="165">
        <f t="shared" si="195"/>
        <v>507203.79524784384</v>
      </c>
      <c r="AK45" s="165">
        <f t="shared" si="195"/>
        <v>507203.79524784384</v>
      </c>
      <c r="AL45" s="165">
        <f t="shared" si="195"/>
        <v>507203.79524784384</v>
      </c>
      <c r="AM45" s="165">
        <f t="shared" si="195"/>
        <v>245521</v>
      </c>
      <c r="AN45" s="165">
        <f t="shared" si="195"/>
        <v>0</v>
      </c>
      <c r="AO45" s="165">
        <f t="shared" ref="AO45:AQ45" si="196">AO40</f>
        <v>0</v>
      </c>
      <c r="AP45" s="165">
        <f t="shared" si="196"/>
        <v>0</v>
      </c>
      <c r="AQ45" s="165">
        <f t="shared" si="196"/>
        <v>0</v>
      </c>
      <c r="AR45" s="165">
        <f t="shared" ref="AR45" si="197">AR40</f>
        <v>0</v>
      </c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</row>
    <row r="47" spans="1:55" ht="12" x14ac:dyDescent="0.35">
      <c r="B47" s="167" t="s">
        <v>197</v>
      </c>
      <c r="D47" s="233">
        <f>-D56+D45</f>
        <v>-1089437.3347521564</v>
      </c>
      <c r="E47" s="233">
        <f>D47+E45</f>
        <v>3807260.8604956875</v>
      </c>
      <c r="F47" s="233">
        <f t="shared" ref="F47:AM47" si="198">E47+F45</f>
        <v>8703959.0557435304</v>
      </c>
      <c r="G47" s="233">
        <f t="shared" si="198"/>
        <v>13600657.250991374</v>
      </c>
      <c r="H47" s="233">
        <f t="shared" si="198"/>
        <v>18497355.446239218</v>
      </c>
      <c r="I47" s="233">
        <f t="shared" si="198"/>
        <v>20467724.04148706</v>
      </c>
      <c r="J47" s="233">
        <f t="shared" si="198"/>
        <v>20974927.836734906</v>
      </c>
      <c r="K47" s="233">
        <f t="shared" si="198"/>
        <v>21482131.631982751</v>
      </c>
      <c r="L47" s="233">
        <f t="shared" si="198"/>
        <v>21989335.427230597</v>
      </c>
      <c r="M47" s="233">
        <f t="shared" si="198"/>
        <v>22496539.222478442</v>
      </c>
      <c r="N47" s="233">
        <f t="shared" si="198"/>
        <v>23003743.017726287</v>
      </c>
      <c r="O47" s="233">
        <f t="shared" si="198"/>
        <v>23510946.812974133</v>
      </c>
      <c r="P47" s="233">
        <f t="shared" si="198"/>
        <v>24018150.608221978</v>
      </c>
      <c r="Q47" s="233">
        <f t="shared" si="198"/>
        <v>24525354.403469823</v>
      </c>
      <c r="R47" s="233">
        <f t="shared" si="198"/>
        <v>25032558.198717669</v>
      </c>
      <c r="S47" s="233">
        <f t="shared" si="198"/>
        <v>25539761.993965514</v>
      </c>
      <c r="T47" s="233">
        <f t="shared" si="198"/>
        <v>26046965.789213359</v>
      </c>
      <c r="U47" s="233">
        <f t="shared" si="198"/>
        <v>26554169.584461205</v>
      </c>
      <c r="V47" s="233">
        <f t="shared" si="198"/>
        <v>27061373.37970905</v>
      </c>
      <c r="W47" s="233">
        <f t="shared" si="198"/>
        <v>27568577.174956895</v>
      </c>
      <c r="X47" s="233">
        <f t="shared" si="198"/>
        <v>28075780.970204741</v>
      </c>
      <c r="Y47" s="233">
        <f t="shared" si="198"/>
        <v>28582984.765452586</v>
      </c>
      <c r="Z47" s="233">
        <f t="shared" si="198"/>
        <v>29090188.560700431</v>
      </c>
      <c r="AA47" s="233">
        <f t="shared" si="198"/>
        <v>29597392.355948277</v>
      </c>
      <c r="AB47" s="233">
        <f t="shared" si="198"/>
        <v>30104596.151196122</v>
      </c>
      <c r="AC47" s="233">
        <f t="shared" si="198"/>
        <v>30611799.946443968</v>
      </c>
      <c r="AD47" s="233">
        <f t="shared" si="198"/>
        <v>31119003.741691813</v>
      </c>
      <c r="AE47" s="233">
        <f t="shared" si="198"/>
        <v>31626207.536939658</v>
      </c>
      <c r="AF47" s="233">
        <f t="shared" si="198"/>
        <v>32133411.332187504</v>
      </c>
      <c r="AG47" s="233">
        <f t="shared" si="198"/>
        <v>32640615.127435349</v>
      </c>
      <c r="AH47" s="233">
        <f t="shared" si="198"/>
        <v>33147818.922683194</v>
      </c>
      <c r="AI47" s="233">
        <f t="shared" si="198"/>
        <v>33655022.71793104</v>
      </c>
      <c r="AJ47" s="233">
        <f t="shared" si="198"/>
        <v>34162226.513178885</v>
      </c>
      <c r="AK47" s="233">
        <f t="shared" si="198"/>
        <v>34669430.30842673</v>
      </c>
      <c r="AL47" s="233">
        <f t="shared" si="198"/>
        <v>35176634.103674576</v>
      </c>
      <c r="AM47" s="233">
        <f t="shared" si="198"/>
        <v>35422155.103674576</v>
      </c>
      <c r="AN47" s="233"/>
      <c r="AO47" s="233"/>
      <c r="AP47" s="233"/>
      <c r="AQ47" s="166"/>
      <c r="AR47" s="166"/>
      <c r="AS47" s="166"/>
      <c r="AT47" s="166"/>
      <c r="AU47" s="166"/>
    </row>
    <row r="48" spans="1:55" ht="12" x14ac:dyDescent="0.35">
      <c r="B48" s="167"/>
      <c r="AV48" s="165"/>
      <c r="AW48" s="165"/>
      <c r="AX48" s="165"/>
      <c r="AY48" s="165"/>
      <c r="AZ48" s="165"/>
      <c r="BA48" s="165"/>
      <c r="BB48" s="165"/>
      <c r="BC48" s="165"/>
    </row>
    <row r="49" spans="2:210" ht="12" x14ac:dyDescent="0.35">
      <c r="B49" s="167" t="s">
        <v>151</v>
      </c>
      <c r="D49" s="179">
        <f>D12-E12+D20-D47</f>
        <v>36511592.838727728</v>
      </c>
      <c r="E49" s="179">
        <f>+D49-E45</f>
        <v>31614894.643479884</v>
      </c>
      <c r="F49" s="179">
        <f t="shared" ref="F49:AN49" si="199">+E49-F45</f>
        <v>26718196.44823204</v>
      </c>
      <c r="G49" s="179">
        <f t="shared" si="199"/>
        <v>21821498.252984196</v>
      </c>
      <c r="H49" s="179">
        <f t="shared" si="199"/>
        <v>16924800.057736352</v>
      </c>
      <c r="I49" s="179">
        <f t="shared" si="199"/>
        <v>14954431.462488508</v>
      </c>
      <c r="J49" s="179">
        <f t="shared" si="199"/>
        <v>14447227.667240664</v>
      </c>
      <c r="K49" s="179">
        <f t="shared" si="199"/>
        <v>13940023.871992821</v>
      </c>
      <c r="L49" s="179">
        <f t="shared" si="199"/>
        <v>13432820.076744977</v>
      </c>
      <c r="M49" s="179">
        <f t="shared" si="199"/>
        <v>12925616.281497134</v>
      </c>
      <c r="N49" s="179">
        <f t="shared" si="199"/>
        <v>12418412.48624929</v>
      </c>
      <c r="O49" s="179">
        <f t="shared" si="199"/>
        <v>11911208.691001447</v>
      </c>
      <c r="P49" s="179">
        <f t="shared" si="199"/>
        <v>11404004.895753603</v>
      </c>
      <c r="Q49" s="179">
        <f t="shared" si="199"/>
        <v>10896801.10050576</v>
      </c>
      <c r="R49" s="179">
        <f t="shared" si="199"/>
        <v>10389597.305257916</v>
      </c>
      <c r="S49" s="179">
        <f t="shared" si="199"/>
        <v>9882393.510010073</v>
      </c>
      <c r="T49" s="179">
        <f t="shared" si="199"/>
        <v>9375189.7147622295</v>
      </c>
      <c r="U49" s="179">
        <f t="shared" si="199"/>
        <v>8867985.919514386</v>
      </c>
      <c r="V49" s="179">
        <f t="shared" si="199"/>
        <v>8360782.1242665425</v>
      </c>
      <c r="W49" s="179">
        <f t="shared" si="199"/>
        <v>7853578.329018699</v>
      </c>
      <c r="X49" s="179">
        <f t="shared" si="199"/>
        <v>7346374.5337708555</v>
      </c>
      <c r="Y49" s="179">
        <f t="shared" si="199"/>
        <v>6839170.738523012</v>
      </c>
      <c r="Z49" s="179">
        <f t="shared" si="199"/>
        <v>6331966.9432751685</v>
      </c>
      <c r="AA49" s="179">
        <f t="shared" si="199"/>
        <v>5824763.148027325</v>
      </c>
      <c r="AB49" s="179">
        <f t="shared" si="199"/>
        <v>5317559.3527794816</v>
      </c>
      <c r="AC49" s="179">
        <f t="shared" si="199"/>
        <v>4810355.5575316381</v>
      </c>
      <c r="AD49" s="179">
        <f t="shared" si="199"/>
        <v>4303151.7622837946</v>
      </c>
      <c r="AE49" s="179">
        <f t="shared" si="199"/>
        <v>3795947.9670359506</v>
      </c>
      <c r="AF49" s="179">
        <f t="shared" si="199"/>
        <v>3288744.1717881067</v>
      </c>
      <c r="AG49" s="179">
        <f t="shared" si="199"/>
        <v>2781540.3765402627</v>
      </c>
      <c r="AH49" s="179">
        <f t="shared" si="199"/>
        <v>2274336.5812924188</v>
      </c>
      <c r="AI49" s="179">
        <f t="shared" si="199"/>
        <v>1767132.7860445748</v>
      </c>
      <c r="AJ49" s="179">
        <f t="shared" si="199"/>
        <v>1259928.9907967309</v>
      </c>
      <c r="AK49" s="179">
        <f t="shared" si="199"/>
        <v>752725.19554888702</v>
      </c>
      <c r="AL49" s="179">
        <f t="shared" si="199"/>
        <v>245521.40030104318</v>
      </c>
      <c r="AM49" s="179">
        <f t="shared" si="199"/>
        <v>0.40030104317702353</v>
      </c>
      <c r="AN49" s="179">
        <f t="shared" si="199"/>
        <v>0.40030104317702353</v>
      </c>
      <c r="AO49" s="179">
        <f t="shared" ref="AO49:AP49" si="200">+AN49-AO45</f>
        <v>0.40030104317702353</v>
      </c>
      <c r="AP49" s="179">
        <f t="shared" si="200"/>
        <v>0.40030104317702353</v>
      </c>
      <c r="AQ49" s="165">
        <v>0</v>
      </c>
      <c r="AR49" s="165">
        <v>0</v>
      </c>
      <c r="AS49" s="165"/>
      <c r="AT49" s="165"/>
      <c r="AU49" s="165"/>
    </row>
    <row r="50" spans="2:210" x14ac:dyDescent="0.2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</row>
    <row r="52" spans="2:210" x14ac:dyDescent="0.2">
      <c r="B52" s="168" t="s">
        <v>143</v>
      </c>
      <c r="C52" s="169">
        <v>0.08</v>
      </c>
      <c r="D52" s="170">
        <f>SUM(C$12*$C52)+SUM(('Total Annual Impact'!B4-E$12-F$12)*$C52*150%)</f>
        <v>1616962.0204770681</v>
      </c>
      <c r="E52" s="170">
        <f>SUM(('Total Annual Impact'!B4-D52)*$C52)+SUM((H$12-I$12-J$12)*$C52)</f>
        <v>1051108.5871618346</v>
      </c>
      <c r="F52" s="170">
        <f>SUM(('Total Annual Impact'!B4-D52-E52)*$C52)+SUM((L$12-M$12-N$12)*$C52)*0</f>
        <v>967019.90018888772</v>
      </c>
      <c r="G52" s="170">
        <f>SUM((O$12-D52-E52-F52)*$C52)+SUM((P$12-Q$12-R$12)*$C52)</f>
        <v>787167.43969182228</v>
      </c>
      <c r="H52" s="170">
        <f>((S$12-D52-E52-F52-G52)*$C52)+((T$12-U$12-V$12)*$C52)</f>
        <v>724194.04451647645</v>
      </c>
      <c r="I52" s="170">
        <f>SUM((W$12-D52-E52-F52-G52-H52)*$C52)+SUM((X$12-Y$12-Z$12)*$C52*0.5)</f>
        <v>666258.52095515828</v>
      </c>
      <c r="J52" s="170">
        <f>SUM((AA$12-D52-E52-F52-G52-H52-I52)*$C52)+SUM((AB$12-AC$12-AD$12)*$C52*0.5)</f>
        <v>612957.83927874558</v>
      </c>
      <c r="K52" s="170">
        <f>SUM((AE$12-D52-E52-F52-G52-H52-I52-J52)*$C52)+SUM((AF$12-AG$12-AH$12)*$C52*0.5)</f>
        <v>563921.21213644592</v>
      </c>
      <c r="L52" s="170">
        <f>+K54*$C$52</f>
        <v>518807.51516553038</v>
      </c>
      <c r="M52" s="170">
        <f>+L54*$C$52</f>
        <v>477302.91395228799</v>
      </c>
      <c r="N52" s="170">
        <f t="shared" ref="N52:S52" si="201">+M54*$C$52</f>
        <v>439118.6808361049</v>
      </c>
      <c r="O52" s="170">
        <f t="shared" si="201"/>
        <v>403989.18636921648</v>
      </c>
      <c r="P52" s="170">
        <f t="shared" si="201"/>
        <v>371670.05145967915</v>
      </c>
      <c r="Q52" s="170">
        <f t="shared" si="201"/>
        <v>341936.44734290481</v>
      </c>
      <c r="R52" s="170">
        <f t="shared" si="201"/>
        <v>314581.53155547247</v>
      </c>
      <c r="S52" s="170">
        <f t="shared" si="201"/>
        <v>289415.00903103472</v>
      </c>
      <c r="T52" s="170">
        <f t="shared" ref="T52:AN52" si="202">+S54*$C$52</f>
        <v>266261.8083085519</v>
      </c>
      <c r="U52" s="170">
        <f t="shared" si="202"/>
        <v>244960.86364386784</v>
      </c>
      <c r="V52" s="170">
        <f t="shared" si="202"/>
        <v>225363.9945523584</v>
      </c>
      <c r="W52" s="170">
        <f t="shared" si="202"/>
        <v>207334.87498816967</v>
      </c>
      <c r="X52" s="170">
        <f t="shared" si="202"/>
        <v>190748.08498911603</v>
      </c>
      <c r="Y52" s="170">
        <f t="shared" si="202"/>
        <v>175488.23818998679</v>
      </c>
      <c r="Z52" s="170">
        <f t="shared" si="202"/>
        <v>161449.17913478793</v>
      </c>
      <c r="AA52" s="170">
        <f t="shared" si="202"/>
        <v>148533.24480400488</v>
      </c>
      <c r="AB52" s="170">
        <f t="shared" si="202"/>
        <v>136650.58521968455</v>
      </c>
      <c r="AC52" s="170">
        <f t="shared" si="202"/>
        <v>125718.53840210974</v>
      </c>
      <c r="AD52" s="170">
        <f t="shared" si="202"/>
        <v>115661.05532994092</v>
      </c>
      <c r="AE52" s="170">
        <f t="shared" si="202"/>
        <v>106408.17090354562</v>
      </c>
      <c r="AF52" s="170">
        <f t="shared" si="202"/>
        <v>97895.517231262027</v>
      </c>
      <c r="AG52" s="170">
        <f t="shared" si="202"/>
        <v>90063.875852761121</v>
      </c>
      <c r="AH52" s="170">
        <f t="shared" si="202"/>
        <v>82858.765784540185</v>
      </c>
      <c r="AI52" s="170">
        <f t="shared" si="202"/>
        <v>76230.064521777036</v>
      </c>
      <c r="AJ52" s="170">
        <f t="shared" si="202"/>
        <v>70131.659360034915</v>
      </c>
      <c r="AK52" s="170">
        <f t="shared" si="202"/>
        <v>64521.126611232161</v>
      </c>
      <c r="AL52" s="170">
        <f t="shared" si="202"/>
        <v>59359.436482333542</v>
      </c>
      <c r="AM52" s="170">
        <f t="shared" si="202"/>
        <v>54610.681563746934</v>
      </c>
      <c r="AN52" s="170">
        <f t="shared" si="202"/>
        <v>50241.827038647236</v>
      </c>
      <c r="AO52" s="170">
        <f t="shared" ref="AO52:AS52" si="203">+AN54*$C$52</f>
        <v>46222.480875555426</v>
      </c>
      <c r="AP52" s="170">
        <f>+AO54*$C$52</f>
        <v>42524.68240551099</v>
      </c>
      <c r="AQ52" s="170">
        <f t="shared" si="203"/>
        <v>39122.707813070119</v>
      </c>
      <c r="AR52" s="170">
        <f t="shared" si="203"/>
        <v>35992.89118802458</v>
      </c>
      <c r="AS52" s="170">
        <f t="shared" si="203"/>
        <v>33113.459892982544</v>
      </c>
      <c r="AT52" s="170">
        <f t="shared" ref="AT52" si="204">+AS54*$C$52</f>
        <v>30464.383101543935</v>
      </c>
      <c r="AU52" s="170">
        <f t="shared" ref="AU52" si="205">+AT54*$C$52</f>
        <v>28027.23245342046</v>
      </c>
      <c r="AV52" s="170">
        <f t="shared" ref="AV52" si="206">+AU54*$C$52</f>
        <v>25785.053857146799</v>
      </c>
      <c r="AW52" s="170">
        <f t="shared" ref="AW52" si="207">+AV54*$C$52</f>
        <v>23722.249548574986</v>
      </c>
      <c r="AX52" s="170">
        <f t="shared" ref="AX52" si="208">+AW54*$C$52</f>
        <v>21824.469584688992</v>
      </c>
      <c r="AY52" s="170">
        <f t="shared" ref="AY52" si="209">+AX54*$C$52</f>
        <v>20078.512017913908</v>
      </c>
      <c r="AZ52" s="170">
        <f t="shared" ref="AZ52" si="210">+AY54*$C$52</f>
        <v>18472.231056480854</v>
      </c>
      <c r="BA52" s="170">
        <f t="shared" ref="BA52" si="211">+AZ54*$C$52</f>
        <v>16994.452571962327</v>
      </c>
      <c r="BB52" s="170">
        <f t="shared" ref="BB52" si="212">+BA54*$C$52</f>
        <v>15634.896366205365</v>
      </c>
      <c r="BC52" s="170">
        <f t="shared" ref="BC52" si="213">+BB54*$C$52</f>
        <v>14384.104656908959</v>
      </c>
      <c r="BD52" s="170">
        <f t="shared" ref="BD52" si="214">+BC54*$C$52</f>
        <v>13233.376284356267</v>
      </c>
      <c r="BE52" s="170">
        <f t="shared" ref="BE52" si="215">+BD54*$C$52</f>
        <v>12174.706181607693</v>
      </c>
      <c r="BF52" s="170">
        <f t="shared" ref="BF52" si="216">+BE54*$C$52</f>
        <v>11200.729687079043</v>
      </c>
      <c r="BG52" s="170">
        <f t="shared" ref="BG52" si="217">+BF54*$C$52</f>
        <v>10304.67131211266</v>
      </c>
      <c r="BH52" s="170">
        <f t="shared" ref="BH52" si="218">+BG54*$C$52</f>
        <v>9480.2976071436697</v>
      </c>
      <c r="BI52" s="170">
        <f t="shared" ref="BI52" si="219">+BH54*$C$52</f>
        <v>8721.8737985721236</v>
      </c>
      <c r="BJ52" s="170">
        <f t="shared" ref="BJ52" si="220">+BI54*$C$52</f>
        <v>8024.1238946864014</v>
      </c>
      <c r="BK52" s="170">
        <f t="shared" ref="BK52" si="221">+BJ54*$C$52</f>
        <v>7382.1939831115305</v>
      </c>
      <c r="BL52" s="170">
        <f t="shared" ref="BL52" si="222">+BK54*$C$52</f>
        <v>6791.6184644626082</v>
      </c>
      <c r="BM52" s="170">
        <f t="shared" ref="BM52" si="223">+BL54*$C$52</f>
        <v>6248.288987305612</v>
      </c>
      <c r="BN52" s="170">
        <f t="shared" ref="BN52" si="224">+BM54*$C$52</f>
        <v>5748.4258683212101</v>
      </c>
      <c r="BO52" s="170">
        <f t="shared" ref="BO52" si="225">+BN54*$C$52</f>
        <v>5288.5517988555139</v>
      </c>
      <c r="BP52" s="170">
        <f t="shared" ref="BP52" si="226">+BO54*$C$52</f>
        <v>4865.4676549470423</v>
      </c>
      <c r="BQ52" s="170">
        <f t="shared" ref="BQ52" si="227">+BP54*$C$52</f>
        <v>4476.2302425512671</v>
      </c>
      <c r="BR52" s="170">
        <f t="shared" ref="BR52" si="228">+BQ54*$C$52</f>
        <v>4118.1318231472378</v>
      </c>
      <c r="BS52" s="170">
        <f t="shared" ref="BS52" si="229">+BR54*$C$52</f>
        <v>3788.6812772955</v>
      </c>
      <c r="BT52" s="170">
        <f t="shared" ref="BT52" si="230">+BS54*$C$52</f>
        <v>3485.586775111854</v>
      </c>
      <c r="BU52" s="170">
        <f t="shared" ref="BU52" si="231">+BT54*$C$52</f>
        <v>3206.7398331029713</v>
      </c>
      <c r="BV52" s="170">
        <f t="shared" ref="BV52" si="232">+BU54*$C$52</f>
        <v>2950.2006464546921</v>
      </c>
      <c r="BW52" s="170">
        <f t="shared" ref="BW52" si="233">+BV54*$C$52</f>
        <v>2714.1845947383345</v>
      </c>
      <c r="BX52" s="170">
        <f t="shared" ref="BX52" si="234">+BW54*$C$52</f>
        <v>2497.0498271591964</v>
      </c>
      <c r="BY52" s="170">
        <f t="shared" ref="BY52" si="235">+BX54*$C$52</f>
        <v>2297.2858409865203</v>
      </c>
      <c r="BZ52" s="170">
        <f t="shared" ref="BZ52" si="236">+BY54*$C$52</f>
        <v>2113.5029737076165</v>
      </c>
      <c r="CA52" s="170">
        <f t="shared" ref="CA52" si="237">+BZ54*$C$52</f>
        <v>1944.4227358110249</v>
      </c>
      <c r="CB52" s="170">
        <f t="shared" ref="CB52" si="238">+CA54*$C$52</f>
        <v>1788.8689169462025</v>
      </c>
      <c r="CC52" s="170">
        <f t="shared" ref="CC52" si="239">+CB54*$C$52</f>
        <v>1645.7594035905599</v>
      </c>
      <c r="CD52" s="170">
        <f t="shared" ref="CD52" si="240">+CC54*$C$52</f>
        <v>1514.0986513033511</v>
      </c>
      <c r="CE52" s="170">
        <f t="shared" ref="CE52" si="241">+CD54*$C$52</f>
        <v>1392.9707591991128</v>
      </c>
      <c r="CF52" s="170">
        <f t="shared" ref="CF52" si="242">+CE54*$C$52</f>
        <v>1281.533098463118</v>
      </c>
      <c r="CG52" s="170">
        <f t="shared" ref="CG52" si="243">+CF54*$C$52</f>
        <v>1179.0104505860807</v>
      </c>
      <c r="CH52" s="170">
        <f t="shared" ref="CH52" si="244">+CG54*$C$52</f>
        <v>1084.6896145391465</v>
      </c>
      <c r="CI52" s="170">
        <f t="shared" ref="CI52" si="245">+CH54*$C$52</f>
        <v>997.91444537594919</v>
      </c>
      <c r="CJ52" s="170">
        <f t="shared" ref="CJ52" si="246">+CI54*$C$52</f>
        <v>918.08128974586725</v>
      </c>
      <c r="CK52" s="170">
        <f t="shared" ref="CK52" si="247">+CJ54*$C$52</f>
        <v>844.63478656619793</v>
      </c>
      <c r="CL52" s="170">
        <f t="shared" ref="CL52" si="248">+CK54*$C$52</f>
        <v>777.06400364086039</v>
      </c>
      <c r="CM52" s="170">
        <f t="shared" ref="CM52" si="249">+CL54*$C$52</f>
        <v>714.89888334959744</v>
      </c>
      <c r="CN52" s="170">
        <f t="shared" ref="CN52" si="250">+CM54*$C$52</f>
        <v>657.70697268158199</v>
      </c>
      <c r="CO52" s="170">
        <f t="shared" ref="CO52" si="251">+CN54*$C$52</f>
        <v>605.09041486710316</v>
      </c>
      <c r="CP52" s="170">
        <f t="shared" ref="CP52" si="252">+CO54*$C$52</f>
        <v>556.68318167775874</v>
      </c>
      <c r="CQ52" s="170">
        <f t="shared" ref="CQ52" si="253">+CP54*$C$52</f>
        <v>512.14852714359756</v>
      </c>
      <c r="CR52" s="170">
        <f t="shared" ref="CR52" si="254">+CQ54*$C$52</f>
        <v>471.17664497211575</v>
      </c>
      <c r="CS52" s="170">
        <f t="shared" ref="CS52" si="255">+CR54*$C$52</f>
        <v>433.48251337438825</v>
      </c>
      <c r="CT52" s="170">
        <f t="shared" ref="CT52" si="256">+CS54*$C$52</f>
        <v>398.80391230449084</v>
      </c>
      <c r="CU52" s="170">
        <f t="shared" ref="CU52" si="257">+CT54*$C$52</f>
        <v>366.89959932014347</v>
      </c>
      <c r="CV52" s="170">
        <f t="shared" ref="CV52" si="258">+CU54*$C$52</f>
        <v>337.54763137459753</v>
      </c>
      <c r="CW52" s="170">
        <f t="shared" ref="CW52" si="259">+CV54*$C$52</f>
        <v>310.5438208645582</v>
      </c>
      <c r="CX52" s="170">
        <f t="shared" ref="CX52" si="260">+CW54*$C$52</f>
        <v>285.70031519532205</v>
      </c>
      <c r="CY52" s="170">
        <f t="shared" ref="CY52" si="261">+CX54*$C$52</f>
        <v>262.8442899796367</v>
      </c>
      <c r="CZ52" s="170">
        <f t="shared" ref="CZ52" si="262">+CY54*$C$52</f>
        <v>241.81674678131938</v>
      </c>
      <c r="DA52" s="170">
        <f t="shared" ref="DA52" si="263">+CZ54*$C$52</f>
        <v>222.47140703886748</v>
      </c>
      <c r="DB52" s="170">
        <f t="shared" ref="DB52" si="264">+DA54*$C$52</f>
        <v>204.67369447574021</v>
      </c>
      <c r="DC52" s="170">
        <f t="shared" ref="DC52" si="265">+DB54*$C$52</f>
        <v>188.29979891762139</v>
      </c>
      <c r="DD52" s="170">
        <f t="shared" ref="DD52" si="266">+DC54*$C$52</f>
        <v>173.23581500425936</v>
      </c>
      <c r="DE52" s="170">
        <f t="shared" ref="DE52" si="267">+DD54*$C$52</f>
        <v>159.37694980397822</v>
      </c>
      <c r="DF52" s="170">
        <f t="shared" ref="DF52" si="268">+DE54*$C$52</f>
        <v>146.62679381966592</v>
      </c>
      <c r="DG52" s="170">
        <f t="shared" ref="DG52" si="269">+DF54*$C$52</f>
        <v>134.89665031403302</v>
      </c>
      <c r="DH52" s="170">
        <f t="shared" ref="DH52" si="270">+DG54*$C$52</f>
        <v>124.10491828888655</v>
      </c>
      <c r="DI52" s="170">
        <f t="shared" ref="DI52" si="271">+DH54*$C$52</f>
        <v>114.17652482584118</v>
      </c>
      <c r="DJ52" s="170">
        <f t="shared" ref="DJ52" si="272">+DI54*$C$52</f>
        <v>105.04240283980965</v>
      </c>
      <c r="DK52" s="170">
        <f t="shared" ref="DK52" si="273">+DJ54*$C$52</f>
        <v>96.63901061266661</v>
      </c>
      <c r="DL52" s="170">
        <f t="shared" ref="DL52" si="274">+DK54*$C$52</f>
        <v>88.907889763712888</v>
      </c>
      <c r="DM52" s="170">
        <f t="shared" ref="DM52" si="275">+DL54*$C$52</f>
        <v>81.795258582681413</v>
      </c>
      <c r="DN52" s="170">
        <f t="shared" ref="DN52" si="276">+DM54*$C$52</f>
        <v>75.251637896001341</v>
      </c>
      <c r="DO52" s="170">
        <f t="shared" ref="DO52" si="277">+DN54*$C$52</f>
        <v>69.23150686427951</v>
      </c>
      <c r="DP52" s="170">
        <f t="shared" ref="DP52" si="278">+DO54*$C$52</f>
        <v>63.692986315190794</v>
      </c>
      <c r="DQ52" s="170">
        <f t="shared" ref="DQ52" si="279">+DP54*$C$52</f>
        <v>58.597547409981487</v>
      </c>
      <c r="DR52" s="170">
        <f t="shared" ref="DR52" si="280">+DQ54*$C$52</f>
        <v>53.909743617177014</v>
      </c>
      <c r="DS52" s="170">
        <f t="shared" ref="DS52" si="281">+DR54*$C$52</f>
        <v>49.596964127868418</v>
      </c>
      <c r="DT52" s="170">
        <f t="shared" ref="DT52" si="282">+DS54*$C$52</f>
        <v>45.629206997603177</v>
      </c>
      <c r="DU52" s="170">
        <f t="shared" ref="DU52" si="283">+DT54*$C$52</f>
        <v>41.978870437741278</v>
      </c>
      <c r="DV52" s="170">
        <f t="shared" ref="DV52" si="284">+DU54*$C$52</f>
        <v>38.620560802668336</v>
      </c>
      <c r="DW52" s="170">
        <f t="shared" ref="DW52" si="285">+DV54*$C$52</f>
        <v>35.530915938466791</v>
      </c>
      <c r="DX52" s="170">
        <f t="shared" ref="DX52" si="286">+DW54*$C$52</f>
        <v>32.688442663401368</v>
      </c>
      <c r="DY52" s="170">
        <f t="shared" ref="DY52" si="287">+DX54*$C$52</f>
        <v>30.07336725026369</v>
      </c>
      <c r="DZ52" s="170">
        <f t="shared" ref="DZ52" si="288">+DY54*$C$52</f>
        <v>27.66749787017703</v>
      </c>
      <c r="EA52" s="170">
        <f t="shared" ref="EA52" si="289">+DZ54*$C$52</f>
        <v>25.454098040610553</v>
      </c>
      <c r="EB52" s="170">
        <f t="shared" ref="EB52" si="290">+EA54*$C$52</f>
        <v>23.417770197391512</v>
      </c>
      <c r="EC52" s="170">
        <f t="shared" ref="EC52" si="291">+EB54*$C$52</f>
        <v>21.544348581582309</v>
      </c>
      <c r="ED52" s="170">
        <f t="shared" ref="ED52" si="292">+EC54*$C$52</f>
        <v>19.820800695121289</v>
      </c>
      <c r="EE52" s="170">
        <f t="shared" ref="EE52" si="293">+ED54*$C$52</f>
        <v>18.235136639475822</v>
      </c>
      <c r="EF52" s="170">
        <f t="shared" ref="EF52" si="294">+EE54*$C$52</f>
        <v>16.776325708329679</v>
      </c>
      <c r="EG52" s="170">
        <f t="shared" ref="EG52" si="295">+EF54*$C$52</f>
        <v>15.434219651669265</v>
      </c>
      <c r="EH52" s="170">
        <f t="shared" ref="EH52" si="296">+EG54*$C$52</f>
        <v>14.199482079595327</v>
      </c>
      <c r="EI52" s="170">
        <f t="shared" ref="EI52" si="297">+EH54*$C$52</f>
        <v>13.063523513227702</v>
      </c>
      <c r="EJ52" s="170">
        <f t="shared" ref="EJ52" si="298">+EI54*$C$52</f>
        <v>12.018441632241011</v>
      </c>
      <c r="EK52" s="170">
        <f t="shared" ref="EK52" si="299">+EJ54*$C$52</f>
        <v>11.056966301649808</v>
      </c>
      <c r="EL52" s="170">
        <f t="shared" ref="EL52" si="300">+EK54*$C$52</f>
        <v>10.172408997565508</v>
      </c>
      <c r="EM52" s="170">
        <f t="shared" ref="EM52" si="301">+EL54*$C$52</f>
        <v>9.3586162777245043</v>
      </c>
      <c r="EN52" s="170">
        <f t="shared" ref="EN52" si="302">+EM54*$C$52</f>
        <v>8.6099269755184658</v>
      </c>
      <c r="EO52" s="170">
        <f t="shared" ref="EO52" si="303">+EN54*$C$52</f>
        <v>7.9211328174173836</v>
      </c>
      <c r="EP52" s="170">
        <f t="shared" ref="EP52" si="304">+EO54*$C$52</f>
        <v>7.2874421919882302</v>
      </c>
      <c r="EQ52" s="170">
        <f t="shared" ref="EQ52" si="305">+EP54*$C$52</f>
        <v>6.7044468165934088</v>
      </c>
      <c r="ER52" s="170">
        <f t="shared" ref="ER52" si="306">+EQ54*$C$52</f>
        <v>6.168091071248055</v>
      </c>
      <c r="ES52" s="170">
        <f t="shared" ref="ES52" si="307">+ER54*$C$52</f>
        <v>5.6746437855064871</v>
      </c>
      <c r="ET52" s="170">
        <f t="shared" ref="ET52" si="308">+ES54*$C$52</f>
        <v>5.2206722827255723</v>
      </c>
      <c r="EU52" s="170">
        <f t="shared" ref="EU52" si="309">+ET54*$C$52</f>
        <v>4.8030185000598431</v>
      </c>
      <c r="EV52" s="170">
        <f t="shared" ref="EV52" si="310">+EU54*$C$52</f>
        <v>4.4187770201265817</v>
      </c>
      <c r="EW52" s="170">
        <f t="shared" ref="EW52" si="311">+EV54*$C$52</f>
        <v>4.0652748584747318</v>
      </c>
      <c r="EX52" s="170">
        <f t="shared" ref="EX52" si="312">+EW54*$C$52</f>
        <v>3.7400528697669508</v>
      </c>
      <c r="EY52" s="170">
        <f t="shared" ref="EY52" si="313">+EX54*$C$52</f>
        <v>3.4408486402034759</v>
      </c>
      <c r="EZ52" s="170">
        <f t="shared" ref="EZ52" si="314">+EY54*$C$52</f>
        <v>3.1655807489156724</v>
      </c>
      <c r="FA52" s="170">
        <f t="shared" ref="FA52" si="315">+EZ54*$C$52</f>
        <v>2.9123342889547348</v>
      </c>
      <c r="FB52" s="170">
        <f t="shared" ref="FB52" si="316">+FA54*$C$52</f>
        <v>2.6793475458025933</v>
      </c>
      <c r="FC52" s="170">
        <f t="shared" ref="FC52" si="317">+FB54*$C$52</f>
        <v>2.4649997422099115</v>
      </c>
      <c r="FD52" s="170">
        <f t="shared" ref="FD52" si="318">+FC54*$C$52</f>
        <v>2.2677997627854349</v>
      </c>
      <c r="FE52" s="170">
        <f t="shared" ref="FE52" si="319">+FD54*$C$52</f>
        <v>2.0863757817447186</v>
      </c>
      <c r="FF52" s="170">
        <f t="shared" ref="FF52" si="320">+FE54*$C$52</f>
        <v>1.9194657191634179</v>
      </c>
      <c r="FG52" s="170">
        <f t="shared" ref="FG52" si="321">+FF54*$C$52</f>
        <v>1.7659084616601468</v>
      </c>
      <c r="FH52" s="170">
        <f t="shared" ref="FH52" si="322">+FG54*$C$52</f>
        <v>1.6246357847750188</v>
      </c>
      <c r="FI52" s="170">
        <f t="shared" ref="FI52" si="323">+FH54*$C$52</f>
        <v>1.4946649220585824</v>
      </c>
      <c r="FJ52" s="170">
        <f t="shared" ref="FJ52" si="324">+FI54*$C$52</f>
        <v>1.3750917282700539</v>
      </c>
      <c r="FK52" s="170">
        <f t="shared" ref="FK52" si="325">+FJ54*$C$52</f>
        <v>1.2650843900442124</v>
      </c>
      <c r="FL52" s="170">
        <f t="shared" ref="FL52" si="326">+FK54*$C$52</f>
        <v>1.1638776388764382</v>
      </c>
      <c r="FM52" s="170">
        <f t="shared" ref="FM52" si="327">+FL54*$C$52</f>
        <v>1.0707674278318882</v>
      </c>
      <c r="FN52" s="170">
        <f t="shared" ref="FN52" si="328">+FM54*$C$52</f>
        <v>0.98510603353381154</v>
      </c>
      <c r="FO52" s="170">
        <f t="shared" ref="FO52" si="329">+FN54*$C$52</f>
        <v>0.90629755079746244</v>
      </c>
      <c r="FP52" s="170">
        <f t="shared" ref="FP52" si="330">+FO54*$C$52</f>
        <v>0.83379374668002126</v>
      </c>
      <c r="FQ52" s="170">
        <f t="shared" ref="FQ52" si="331">+FP54*$C$52</f>
        <v>0.76709024697542194</v>
      </c>
      <c r="FR52" s="170">
        <f t="shared" ref="FR52" si="332">+FQ54*$C$52</f>
        <v>0.70572302728891378</v>
      </c>
      <c r="FS52" s="170">
        <f t="shared" ref="FS52" si="333">+FR54*$C$52</f>
        <v>0.64926518514752385</v>
      </c>
      <c r="FT52" s="170">
        <f t="shared" ref="FT52" si="334">+FS54*$C$52</f>
        <v>0.59732397034764295</v>
      </c>
      <c r="FU52" s="170">
        <f t="shared" ref="FU52" si="335">+FT54*$C$52</f>
        <v>0.54953805267810818</v>
      </c>
      <c r="FV52" s="170">
        <f t="shared" ref="FV52" si="336">+FU54*$C$52</f>
        <v>0.50557500839233405</v>
      </c>
      <c r="FW52" s="170">
        <f t="shared" ref="FW52" si="337">+FV54*$C$52</f>
        <v>0.46512900769710541</v>
      </c>
      <c r="FX52" s="170">
        <f t="shared" ref="FX52" si="338">+FW54*$C$52</f>
        <v>0.42791868701577185</v>
      </c>
      <c r="FY52" s="170">
        <f t="shared" ref="FY52" si="339">+FX54*$C$52</f>
        <v>0.39368519201874735</v>
      </c>
      <c r="FZ52" s="170">
        <f t="shared" ref="FZ52" si="340">+FY54*$C$52</f>
        <v>0.36219037666916848</v>
      </c>
      <c r="GA52" s="170">
        <f t="shared" ref="GA52" si="341">+FZ54*$C$52</f>
        <v>0.33321514651179313</v>
      </c>
      <c r="GB52" s="170">
        <f t="shared" ref="GB52" si="342">+GA54*$C$52</f>
        <v>0.30655793473124504</v>
      </c>
      <c r="GC52" s="170">
        <f t="shared" ref="GC52" si="343">+GB54*$C$52</f>
        <v>0.28203329995274545</v>
      </c>
      <c r="GD52" s="170">
        <f t="shared" ref="GD52" si="344">+GC54*$C$52</f>
        <v>0.25947063595056535</v>
      </c>
      <c r="GE52" s="170">
        <f t="shared" ref="GE52" si="345">+GD54*$C$52</f>
        <v>0.23871298506855965</v>
      </c>
      <c r="GF52" s="170">
        <f t="shared" ref="GF52" si="346">+GE54*$C$52</f>
        <v>0.21961594626307487</v>
      </c>
      <c r="GG52" s="170">
        <f t="shared" ref="GG52" si="347">+GF54*$C$52</f>
        <v>0.20204667061567308</v>
      </c>
      <c r="GH52" s="170">
        <f t="shared" ref="GH52" si="348">+GG54*$C$52</f>
        <v>0.18588293701410294</v>
      </c>
      <c r="GI52" s="170">
        <f t="shared" ref="GI52" si="349">+GH54*$C$52</f>
        <v>0.17101230204105378</v>
      </c>
      <c r="GJ52" s="170">
        <f t="shared" ref="GJ52" si="350">+GI54*$C$52</f>
        <v>0.15733131781220436</v>
      </c>
      <c r="GK52" s="170">
        <f t="shared" ref="GK52" si="351">+GJ54*$C$52</f>
        <v>0.14474481239914894</v>
      </c>
      <c r="GL52" s="170">
        <f t="shared" ref="GL52" si="352">+GK54*$C$52</f>
        <v>0.13316522747278214</v>
      </c>
      <c r="GM52" s="170">
        <f t="shared" ref="GM52" si="353">+GL54*$C$52</f>
        <v>0.12251200929284096</v>
      </c>
      <c r="GN52" s="170">
        <f t="shared" ref="GN52" si="354">+GM54*$C$52</f>
        <v>0.11271104857325553</v>
      </c>
      <c r="GO52" s="170">
        <f t="shared" ref="GO52" si="355">+GN54*$C$52</f>
        <v>0.10369416475296021</v>
      </c>
      <c r="GP52" s="170">
        <f t="shared" ref="GP52" si="356">+GO54*$C$52</f>
        <v>9.5398631542921067E-2</v>
      </c>
      <c r="GQ52" s="170">
        <f t="shared" ref="GQ52" si="357">+GP54*$C$52</f>
        <v>8.7766741067171097E-2</v>
      </c>
      <c r="GR52" s="170">
        <f t="shared" ref="GR52" si="358">+GQ54*$C$52</f>
        <v>8.0745401829481131E-2</v>
      </c>
      <c r="GS52" s="170">
        <f t="shared" ref="GS52" si="359">+GR54*$C$52</f>
        <v>7.4285769611597066E-2</v>
      </c>
      <c r="GT52" s="170">
        <f t="shared" ref="GT52" si="360">+GS54*$C$52</f>
        <v>6.8342908024787902E-2</v>
      </c>
      <c r="GU52" s="170">
        <f t="shared" ref="GU52" si="361">+GT54*$C$52</f>
        <v>6.2875475436449058E-2</v>
      </c>
      <c r="GV52" s="170">
        <f t="shared" ref="GV52" si="362">+GU54*$C$52</f>
        <v>5.7845437377691267E-2</v>
      </c>
      <c r="GW52" s="170">
        <f t="shared" ref="GW52" si="363">+GV54*$C$52</f>
        <v>5.321780234575272E-2</v>
      </c>
      <c r="GX52" s="170">
        <f t="shared" ref="GX52:GZ52" si="364">+GW54*$C$52</f>
        <v>4.8960378170013426E-2</v>
      </c>
      <c r="GY52" s="170">
        <f t="shared" si="364"/>
        <v>4.5043547898530961E-2</v>
      </c>
      <c r="GZ52" s="170">
        <f t="shared" si="364"/>
        <v>4.1440064013004305E-2</v>
      </c>
      <c r="HA52" s="170">
        <f t="shared" ref="HA52" si="365">+GZ54*$C$52</f>
        <v>3.8124858886003497E-2</v>
      </c>
      <c r="HB52" s="170">
        <f t="shared" ref="HB52" si="366">+HA54*$C$52</f>
        <v>3.5074870139360427E-2</v>
      </c>
    </row>
    <row r="54" spans="2:210" ht="12" x14ac:dyDescent="0.35">
      <c r="B54" s="167" t="s">
        <v>149</v>
      </c>
      <c r="E54" s="240"/>
      <c r="K54" s="165">
        <f>AI18-SUM(D52:K52)</f>
        <v>6485093.9395691296</v>
      </c>
      <c r="L54" s="165">
        <f>$AI$18-SUM($D52:L52)</f>
        <v>5966286.4244035995</v>
      </c>
      <c r="M54" s="165">
        <f>$AI$18-SUM($D52:M52)</f>
        <v>5488983.5104513112</v>
      </c>
      <c r="N54" s="165">
        <f>$AI$18-SUM($D52:N52)</f>
        <v>5049864.8296152055</v>
      </c>
      <c r="O54" s="165">
        <f>$AI$18-SUM($D52:O52)</f>
        <v>4645875.6432459895</v>
      </c>
      <c r="P54" s="165">
        <f>$AI$18-SUM($D52:P52)</f>
        <v>4274205.5917863101</v>
      </c>
      <c r="Q54" s="165">
        <f>$AI$18-SUM($D52:Q52)</f>
        <v>3932269.1444434058</v>
      </c>
      <c r="R54" s="165">
        <f>$AI$18-SUM($D52:R52)</f>
        <v>3617687.6128879339</v>
      </c>
      <c r="S54" s="165">
        <f>$AI$18-SUM($D52:S52)</f>
        <v>3328272.6038568988</v>
      </c>
      <c r="T54" s="165">
        <f>$AI$18-SUM($D52:T52)</f>
        <v>3062010.7955483478</v>
      </c>
      <c r="U54" s="165">
        <f>$AI$18-SUM($D52:U52)</f>
        <v>2817049.9319044799</v>
      </c>
      <c r="V54" s="165">
        <f>$AI$18-SUM($D52:V52)</f>
        <v>2591685.9373521209</v>
      </c>
      <c r="W54" s="165">
        <f>$AI$18-SUM($D52:W52)</f>
        <v>2384351.0623639505</v>
      </c>
      <c r="X54" s="165">
        <f>$AI$18-SUM($D52:X52)</f>
        <v>2193602.9773748349</v>
      </c>
      <c r="Y54" s="165">
        <f>$AI$18-SUM($D52:Y52)</f>
        <v>2018114.739184849</v>
      </c>
      <c r="Z54" s="165">
        <f>$AI$18-SUM($D52:Z52)</f>
        <v>1856665.560050061</v>
      </c>
      <c r="AA54" s="165">
        <f>$AI$18-SUM($D52:AA52)</f>
        <v>1708132.3152460568</v>
      </c>
      <c r="AB54" s="165">
        <f>$AI$18-SUM($D52:AB52)</f>
        <v>1571481.7300263718</v>
      </c>
      <c r="AC54" s="165">
        <f>$AI$18-SUM($D52:AC52)</f>
        <v>1445763.1916242614</v>
      </c>
      <c r="AD54" s="165">
        <f>$AI$18-SUM($D52:AD52)</f>
        <v>1330102.1362943202</v>
      </c>
      <c r="AE54" s="165">
        <f>$AI$18-SUM($D52:AE52)</f>
        <v>1223693.9653907754</v>
      </c>
      <c r="AF54" s="165">
        <f>$AI$18-SUM($D52:AF52)</f>
        <v>1125798.448159514</v>
      </c>
      <c r="AG54" s="165">
        <f>$AI$18-SUM($D52:AG52)</f>
        <v>1035734.5723067522</v>
      </c>
      <c r="AH54" s="165">
        <f>$AI$18-SUM($D52:AH52)</f>
        <v>952875.80652221292</v>
      </c>
      <c r="AI54" s="165">
        <f>$AI$18-SUM($D52:AI52)</f>
        <v>876645.74200043641</v>
      </c>
      <c r="AJ54" s="165">
        <f>$AI$18-SUM($D52:AJ52)</f>
        <v>806514.08264040202</v>
      </c>
      <c r="AK54" s="165">
        <f>$AI$18-SUM($D52:AK52)</f>
        <v>741992.95602916926</v>
      </c>
      <c r="AL54" s="165">
        <f>$AI$18-SUM($D52:AL52)</f>
        <v>682633.51954683661</v>
      </c>
      <c r="AM54" s="165">
        <f>$AI$18-SUM($D52:AM52)</f>
        <v>628022.83798309043</v>
      </c>
      <c r="AN54" s="165">
        <f>$AI$18-SUM($D52:AN52)</f>
        <v>577781.01094444282</v>
      </c>
      <c r="AO54" s="165">
        <f>$AI$18-SUM($D52:AO52)</f>
        <v>531558.5300688874</v>
      </c>
      <c r="AP54" s="165">
        <f>$AI$18-SUM($D52:AP52)</f>
        <v>489033.84766337648</v>
      </c>
      <c r="AQ54" s="165">
        <f>$AI$18-SUM($D52:AQ52)</f>
        <v>449911.13985030726</v>
      </c>
      <c r="AR54" s="165">
        <f>$AI$18-SUM($D52:AR52)</f>
        <v>413918.24866228178</v>
      </c>
      <c r="AS54" s="165">
        <f>$AI$18-SUM($D52:AS52)</f>
        <v>380804.78876929916</v>
      </c>
      <c r="AT54" s="165">
        <f>$AI$18-SUM($D52:AT52)</f>
        <v>350340.40566775575</v>
      </c>
      <c r="AU54" s="165">
        <f>$AI$18-SUM($D52:AU52)</f>
        <v>322313.17321433499</v>
      </c>
      <c r="AV54" s="165">
        <f>$AI$18-SUM($D52:AV52)</f>
        <v>296528.1193571873</v>
      </c>
      <c r="AW54" s="165">
        <f>$AI$18-SUM($D52:AW52)</f>
        <v>272805.86980861239</v>
      </c>
      <c r="AX54" s="165">
        <f>$AI$18-SUM($D52:AX52)</f>
        <v>250981.40022392385</v>
      </c>
      <c r="AY54" s="165">
        <f>$AI$18-SUM($D52:AY52)</f>
        <v>230902.88820601068</v>
      </c>
      <c r="AZ54" s="165">
        <f>$AI$18-SUM($D52:AZ52)</f>
        <v>212430.65714952908</v>
      </c>
      <c r="BA54" s="165">
        <f>$AI$18-SUM($D52:BA52)</f>
        <v>195436.20457756706</v>
      </c>
      <c r="BB54" s="165">
        <f>$AI$18-SUM($D52:BB52)</f>
        <v>179801.30821136199</v>
      </c>
      <c r="BC54" s="165">
        <f>$AI$18-SUM($D52:BC52)</f>
        <v>165417.20355445333</v>
      </c>
      <c r="BD54" s="165">
        <f>$AI$18-SUM($D52:BD52)</f>
        <v>152183.82727009617</v>
      </c>
      <c r="BE54" s="165">
        <f>$AI$18-SUM($D52:BE52)</f>
        <v>140009.12108848803</v>
      </c>
      <c r="BF54" s="165">
        <f>$AI$18-SUM($D52:BF52)</f>
        <v>128808.39140140824</v>
      </c>
      <c r="BG54" s="165">
        <f>$AI$18-SUM($D52:BG52)</f>
        <v>118503.72008929588</v>
      </c>
      <c r="BH54" s="165">
        <f>$AI$18-SUM($D52:BH52)</f>
        <v>109023.42248215154</v>
      </c>
      <c r="BI54" s="165">
        <f>$AI$18-SUM($D52:BI52)</f>
        <v>100301.54868358001</v>
      </c>
      <c r="BJ54" s="165">
        <f>$AI$18-SUM($D52:BJ52)</f>
        <v>92277.424788894132</v>
      </c>
      <c r="BK54" s="165">
        <f>$AI$18-SUM($D52:BK52)</f>
        <v>84895.230805782601</v>
      </c>
      <c r="BL54" s="165">
        <f>$AI$18-SUM($D52:BL52)</f>
        <v>78103.612341320142</v>
      </c>
      <c r="BM54" s="165">
        <f>$AI$18-SUM($D52:BM52)</f>
        <v>71855.323354015127</v>
      </c>
      <c r="BN54" s="165">
        <f>$AI$18-SUM($D52:BN52)</f>
        <v>66106.897485693917</v>
      </c>
      <c r="BO54" s="165">
        <f>$AI$18-SUM($D52:BO52)</f>
        <v>60818.345686838031</v>
      </c>
      <c r="BP54" s="165">
        <f>$AI$18-SUM($D52:BP52)</f>
        <v>55952.878031890839</v>
      </c>
      <c r="BQ54" s="165">
        <f>$AI$18-SUM($D52:BQ52)</f>
        <v>51476.647789340466</v>
      </c>
      <c r="BR54" s="165">
        <f>$AI$18-SUM($D52:BR52)</f>
        <v>47358.515966193751</v>
      </c>
      <c r="BS54" s="165">
        <f>$AI$18-SUM($D52:BS52)</f>
        <v>43569.834688898176</v>
      </c>
      <c r="BT54" s="165">
        <f>$AI$18-SUM($D52:BT52)</f>
        <v>40084.247913787141</v>
      </c>
      <c r="BU54" s="165">
        <f>$AI$18-SUM($D52:BU52)</f>
        <v>36877.508080683649</v>
      </c>
      <c r="BV54" s="165">
        <f>$AI$18-SUM($D52:BV52)</f>
        <v>33927.30743422918</v>
      </c>
      <c r="BW54" s="165">
        <f>$AI$18-SUM($D52:BW52)</f>
        <v>31213.122839489952</v>
      </c>
      <c r="BX54" s="165">
        <f>$AI$18-SUM($D52:BX52)</f>
        <v>28716.073012331501</v>
      </c>
      <c r="BY54" s="165">
        <f>$AI$18-SUM($D52:BY52)</f>
        <v>26418.787171345204</v>
      </c>
      <c r="BZ54" s="165">
        <f>$AI$18-SUM($D52:BZ52)</f>
        <v>24305.284197637811</v>
      </c>
      <c r="CA54" s="165">
        <f>$AI$18-SUM($D52:CA52)</f>
        <v>22360.861461827531</v>
      </c>
      <c r="CB54" s="165">
        <f>$AI$18-SUM($D52:CB52)</f>
        <v>20571.992544881999</v>
      </c>
      <c r="CC54" s="165">
        <f>$AI$18-SUM($D52:CC52)</f>
        <v>18926.233141291887</v>
      </c>
      <c r="CD54" s="165">
        <f>$AI$18-SUM($D52:CD52)</f>
        <v>17412.134489988908</v>
      </c>
      <c r="CE54" s="165">
        <f>$AI$18-SUM($D52:CE52)</f>
        <v>16019.163730788976</v>
      </c>
      <c r="CF54" s="165">
        <f>$AI$18-SUM($D52:CF52)</f>
        <v>14737.630632326007</v>
      </c>
      <c r="CG54" s="165">
        <f>$AI$18-SUM($D52:CG52)</f>
        <v>13558.62018173933</v>
      </c>
      <c r="CH54" s="165">
        <f>$AI$18-SUM($D52:CH52)</f>
        <v>12473.930567199364</v>
      </c>
      <c r="CI54" s="165">
        <f>$AI$18-SUM($D52:CI52)</f>
        <v>11476.016121823341</v>
      </c>
      <c r="CJ54" s="165">
        <f>$AI$18-SUM($D52:CJ52)</f>
        <v>10557.934832077473</v>
      </c>
      <c r="CK54" s="165">
        <f>$AI$18-SUM($D52:CK52)</f>
        <v>9713.300045510754</v>
      </c>
      <c r="CL54" s="165">
        <f>$AI$18-SUM($D52:CL52)</f>
        <v>8936.2360418699682</v>
      </c>
      <c r="CM54" s="165">
        <f>$AI$18-SUM($D52:CM52)</f>
        <v>8221.3371585197747</v>
      </c>
      <c r="CN54" s="165">
        <f>$AI$18-SUM($D52:CN52)</f>
        <v>7563.6301858387887</v>
      </c>
      <c r="CO54" s="165">
        <f>$AI$18-SUM($D52:CO52)</f>
        <v>6958.5397709719837</v>
      </c>
      <c r="CP54" s="165">
        <f>$AI$18-SUM($D52:CP52)</f>
        <v>6401.85658929497</v>
      </c>
      <c r="CQ54" s="165">
        <f>$AI$18-SUM($D52:CQ52)</f>
        <v>5889.7080621514469</v>
      </c>
      <c r="CR54" s="165">
        <f>$AI$18-SUM($D52:CR52)</f>
        <v>5418.5314171798527</v>
      </c>
      <c r="CS54" s="165">
        <f>$AI$18-SUM($D52:CS52)</f>
        <v>4985.0489038061351</v>
      </c>
      <c r="CT54" s="165">
        <f>$AI$18-SUM($D52:CT52)</f>
        <v>4586.2449915017933</v>
      </c>
      <c r="CU54" s="165">
        <f>$AI$18-SUM($D52:CU52)</f>
        <v>4219.3453921824694</v>
      </c>
      <c r="CV54" s="165">
        <f>$AI$18-SUM($D52:CV52)</f>
        <v>3881.7977608069777</v>
      </c>
      <c r="CW54" s="165">
        <f>$AI$18-SUM($D52:CW52)</f>
        <v>3571.2539399415255</v>
      </c>
      <c r="CX54" s="165">
        <f>$AI$18-SUM($D52:CX52)</f>
        <v>3285.5536247454584</v>
      </c>
      <c r="CY54" s="165">
        <f>$AI$18-SUM($D52:CY52)</f>
        <v>3022.7093347664922</v>
      </c>
      <c r="CZ54" s="165">
        <f>$AI$18-SUM($D52:CZ52)</f>
        <v>2780.8925879858434</v>
      </c>
      <c r="DA54" s="165">
        <f>$AI$18-SUM($D52:DA52)</f>
        <v>2558.4211809467524</v>
      </c>
      <c r="DB54" s="165">
        <f>$AI$18-SUM($D52:DB52)</f>
        <v>2353.7474864702672</v>
      </c>
      <c r="DC54" s="165">
        <f>$AI$18-SUM($D52:DC52)</f>
        <v>2165.4476875532418</v>
      </c>
      <c r="DD54" s="165">
        <f>$AI$18-SUM($D52:DD52)</f>
        <v>1992.2118725497276</v>
      </c>
      <c r="DE54" s="165">
        <f>$AI$18-SUM($D52:DE52)</f>
        <v>1832.8349227458239</v>
      </c>
      <c r="DF54" s="165">
        <f>$AI$18-SUM($D52:DF52)</f>
        <v>1686.2081289254129</v>
      </c>
      <c r="DG54" s="165">
        <f>$AI$18-SUM($D52:DG52)</f>
        <v>1551.3114786110818</v>
      </c>
      <c r="DH54" s="165">
        <f>$AI$18-SUM($D52:DH52)</f>
        <v>1427.2065603230149</v>
      </c>
      <c r="DI54" s="165">
        <f>$AI$18-SUM($D52:DI52)</f>
        <v>1313.0300354976207</v>
      </c>
      <c r="DJ54" s="165">
        <f>$AI$18-SUM($D52:DJ52)</f>
        <v>1207.9876326583326</v>
      </c>
      <c r="DK54" s="165">
        <f>$AI$18-SUM($D52:DK52)</f>
        <v>1111.348622046411</v>
      </c>
      <c r="DL54" s="165">
        <f>$AI$18-SUM($D52:DL52)</f>
        <v>1022.4407322835177</v>
      </c>
      <c r="DM54" s="165">
        <f>$AI$18-SUM($D52:DM52)</f>
        <v>940.64547370001674</v>
      </c>
      <c r="DN54" s="165">
        <f>$AI$18-SUM($D52:DN52)</f>
        <v>865.39383580349386</v>
      </c>
      <c r="DO54" s="165">
        <f>$AI$18-SUM($D52:DO52)</f>
        <v>796.1623289398849</v>
      </c>
      <c r="DP54" s="165">
        <f>$AI$18-SUM($D52:DP52)</f>
        <v>732.46934262476861</v>
      </c>
      <c r="DQ54" s="165">
        <f>$AI$18-SUM($D52:DQ52)</f>
        <v>673.87179521471262</v>
      </c>
      <c r="DR54" s="165">
        <f>$AI$18-SUM($D52:DR52)</f>
        <v>619.96205159835517</v>
      </c>
      <c r="DS54" s="165">
        <f>$AI$18-SUM($D52:DS52)</f>
        <v>570.36508747003973</v>
      </c>
      <c r="DT54" s="165">
        <f>$AI$18-SUM($D52:DT52)</f>
        <v>524.735880471766</v>
      </c>
      <c r="DU54" s="165">
        <f>$AI$18-SUM($D52:DU52)</f>
        <v>482.75701003335416</v>
      </c>
      <c r="DV54" s="165">
        <f>$AI$18-SUM($D52:DV52)</f>
        <v>444.13644923083484</v>
      </c>
      <c r="DW54" s="165">
        <f>$AI$18-SUM($D52:DW52)</f>
        <v>408.60553329251707</v>
      </c>
      <c r="DX54" s="165">
        <f>$AI$18-SUM($D52:DX52)</f>
        <v>375.91709062829614</v>
      </c>
      <c r="DY54" s="165">
        <f>$AI$18-SUM($D52:DY52)</f>
        <v>345.84372337721288</v>
      </c>
      <c r="DZ54" s="165">
        <f>$AI$18-SUM($D52:DZ52)</f>
        <v>318.1762255076319</v>
      </c>
      <c r="EA54" s="165">
        <f>$AI$18-SUM($D52:EA52)</f>
        <v>292.72212746739388</v>
      </c>
      <c r="EB54" s="165">
        <f>$AI$18-SUM($D52:EB52)</f>
        <v>269.30435726977885</v>
      </c>
      <c r="EC54" s="165">
        <f>$AI$18-SUM($D52:EC52)</f>
        <v>247.7600086890161</v>
      </c>
      <c r="ED54" s="165">
        <f>$AI$18-SUM($D52:ED52)</f>
        <v>227.93920799344778</v>
      </c>
      <c r="EE54" s="165">
        <f>$AI$18-SUM($D52:EE52)</f>
        <v>209.70407135412097</v>
      </c>
      <c r="EF54" s="165">
        <f>$AI$18-SUM($D52:EF52)</f>
        <v>192.9277456458658</v>
      </c>
      <c r="EG54" s="165">
        <f>$AI$18-SUM($D52:EG52)</f>
        <v>177.49352599494159</v>
      </c>
      <c r="EH54" s="165">
        <f>$AI$18-SUM($D52:EH52)</f>
        <v>163.29404391534626</v>
      </c>
      <c r="EI54" s="165">
        <f>$AI$18-SUM($D52:EI52)</f>
        <v>150.23052040301263</v>
      </c>
      <c r="EJ54" s="165">
        <f>$AI$18-SUM($D52:EJ52)</f>
        <v>138.21207877062261</v>
      </c>
      <c r="EK54" s="165">
        <f>$AI$18-SUM($D52:EK52)</f>
        <v>127.15511246956885</v>
      </c>
      <c r="EL54" s="165">
        <f>$AI$18-SUM($D52:EL52)</f>
        <v>116.98270347155631</v>
      </c>
      <c r="EM54" s="165">
        <f>$AI$18-SUM($D52:EM52)</f>
        <v>107.62408719398081</v>
      </c>
      <c r="EN54" s="165">
        <f>$AI$18-SUM($D52:EN52)</f>
        <v>99.01416021771729</v>
      </c>
      <c r="EO54" s="165">
        <f>$AI$18-SUM($D52:EO52)</f>
        <v>91.093027399852872</v>
      </c>
      <c r="EP54" s="165">
        <f>$AI$18-SUM($D52:EP52)</f>
        <v>83.805585207417607</v>
      </c>
      <c r="EQ54" s="165">
        <f>$AI$18-SUM($D52:EQ52)</f>
        <v>77.101138390600681</v>
      </c>
      <c r="ER54" s="165">
        <f>$AI$18-SUM($D52:ER52)</f>
        <v>70.933047318831086</v>
      </c>
      <c r="ES54" s="165">
        <f>$AI$18-SUM($D52:ES52)</f>
        <v>65.258403534069657</v>
      </c>
      <c r="ET54" s="165">
        <f>$AI$18-SUM($D52:ET52)</f>
        <v>60.037731250748038</v>
      </c>
      <c r="EU54" s="165">
        <f>$AI$18-SUM($D52:EU52)</f>
        <v>55.234712751582265</v>
      </c>
      <c r="EV54" s="165">
        <f>$AI$18-SUM($D52:EV52)</f>
        <v>50.815935730934143</v>
      </c>
      <c r="EW54" s="165">
        <f>$AI$18-SUM($D52:EW52)</f>
        <v>46.750660872086883</v>
      </c>
      <c r="EX54" s="165">
        <f>$AI$18-SUM($D52:EX52)</f>
        <v>43.010608002543449</v>
      </c>
      <c r="EY54" s="165">
        <f>$AI$18-SUM($D52:EY52)</f>
        <v>39.569759361445904</v>
      </c>
      <c r="EZ54" s="165">
        <f>$AI$18-SUM($D52:EZ52)</f>
        <v>36.404178611934185</v>
      </c>
      <c r="FA54" s="165">
        <f>$AI$18-SUM($D52:FA52)</f>
        <v>33.491844322532415</v>
      </c>
      <c r="FB54" s="165">
        <f>$AI$18-SUM($D52:FB52)</f>
        <v>30.812496777623892</v>
      </c>
      <c r="FC54" s="165">
        <f>$AI$18-SUM($D52:FC52)</f>
        <v>28.347497034817934</v>
      </c>
      <c r="FD54" s="165">
        <f>$AI$18-SUM($D52:FD52)</f>
        <v>26.079697271808982</v>
      </c>
      <c r="FE54" s="165">
        <f>$AI$18-SUM($D52:FE52)</f>
        <v>23.993321489542723</v>
      </c>
      <c r="FF54" s="165">
        <f>$AI$18-SUM($D52:FF52)</f>
        <v>22.073855770751834</v>
      </c>
      <c r="FG54" s="165">
        <f>$AI$18-SUM($D52:FG52)</f>
        <v>20.307947309687734</v>
      </c>
      <c r="FH54" s="165">
        <f>$AI$18-SUM($D52:FH52)</f>
        <v>18.683311525732279</v>
      </c>
      <c r="FI54" s="165">
        <f>$AI$18-SUM($D52:FI52)</f>
        <v>17.188646603375673</v>
      </c>
      <c r="FJ54" s="165">
        <f>$AI$18-SUM($D52:FJ52)</f>
        <v>15.813554875552654</v>
      </c>
      <c r="FK54" s="165">
        <f>$AI$18-SUM($D52:FK52)</f>
        <v>14.548470485955477</v>
      </c>
      <c r="FL54" s="165">
        <f>$AI$18-SUM($D52:FL52)</f>
        <v>13.384592847898602</v>
      </c>
      <c r="FM54" s="165">
        <f>$AI$18-SUM($D52:FM52)</f>
        <v>12.313825419172645</v>
      </c>
      <c r="FN54" s="165">
        <f>$AI$18-SUM($D52:FN52)</f>
        <v>11.328719384968281</v>
      </c>
      <c r="FO54" s="165">
        <f>$AI$18-SUM($D52:FO52)</f>
        <v>10.422421833500266</v>
      </c>
      <c r="FP54" s="165">
        <f>$AI$18-SUM($D52:FP52)</f>
        <v>9.5886280871927738</v>
      </c>
      <c r="FQ54" s="165">
        <f>$AI$18-SUM($D52:FQ52)</f>
        <v>8.8215378411114216</v>
      </c>
      <c r="FR54" s="165">
        <f>$AI$18-SUM($D52:FR52)</f>
        <v>8.1158148143440485</v>
      </c>
      <c r="FS54" s="165">
        <f>$AI$18-SUM($D52:FS52)</f>
        <v>7.4665496293455362</v>
      </c>
      <c r="FT54" s="165">
        <f>$AI$18-SUM($D52:FT52)</f>
        <v>6.8692256584763527</v>
      </c>
      <c r="FU54" s="165">
        <f>$AI$18-SUM($D52:FU52)</f>
        <v>6.3196876049041748</v>
      </c>
      <c r="FV54" s="165">
        <f>$AI$18-SUM($D52:FV52)</f>
        <v>5.8141125962138176</v>
      </c>
      <c r="FW54" s="165">
        <f>$AI$18-SUM($D52:FW52)</f>
        <v>5.3489835876971483</v>
      </c>
      <c r="FX54" s="165">
        <f>$AI$18-SUM($D52:FX52)</f>
        <v>4.9210649002343416</v>
      </c>
      <c r="FY54" s="165">
        <f>$AI$18-SUM($D52:FY52)</f>
        <v>4.5273797083646059</v>
      </c>
      <c r="FZ54" s="165">
        <f>$AI$18-SUM($D52:FZ52)</f>
        <v>4.1651893313974142</v>
      </c>
      <c r="GA54" s="165">
        <f>$AI$18-SUM($D52:GA52)</f>
        <v>3.831974184140563</v>
      </c>
      <c r="GB54" s="165">
        <f>$AI$18-SUM($D52:GB52)</f>
        <v>3.525416249409318</v>
      </c>
      <c r="GC54" s="165">
        <f>$AI$18-SUM($D52:GC52)</f>
        <v>3.2433829493820667</v>
      </c>
      <c r="GD54" s="165">
        <f>$AI$18-SUM($D52:GD52)</f>
        <v>2.9839123133569956</v>
      </c>
      <c r="GE54" s="165">
        <f>$AI$18-SUM($D52:GE52)</f>
        <v>2.7451993282884359</v>
      </c>
      <c r="GF54" s="165">
        <f>$AI$18-SUM($D52:GF52)</f>
        <v>2.5255833826959133</v>
      </c>
      <c r="GG54" s="165">
        <f>$AI$18-SUM($D52:GG52)</f>
        <v>2.3235367126762867</v>
      </c>
      <c r="GH54" s="165">
        <f>$AI$18-SUM($D52:GH52)</f>
        <v>2.1376537755131721</v>
      </c>
      <c r="GI54" s="165">
        <f>$AI$18-SUM($D52:GI52)</f>
        <v>1.9666414726525545</v>
      </c>
      <c r="GJ54" s="165">
        <f>$AI$18-SUM($D52:GJ52)</f>
        <v>1.8093101549893618</v>
      </c>
      <c r="GK54" s="165">
        <f>$AI$18-SUM($D52:GK52)</f>
        <v>1.6645653434097767</v>
      </c>
      <c r="GL54" s="165">
        <f>$AI$18-SUM($D52:GL52)</f>
        <v>1.531400116160512</v>
      </c>
      <c r="GM54" s="165">
        <f>$AI$18-SUM($D52:GM52)</f>
        <v>1.4088881071656942</v>
      </c>
      <c r="GN54" s="165">
        <f>$AI$18-SUM($D52:GN52)</f>
        <v>1.2961770594120026</v>
      </c>
      <c r="GO54" s="165">
        <f>$AI$18-SUM($D52:GO52)</f>
        <v>1.1924828942865133</v>
      </c>
      <c r="GP54" s="165">
        <f>$AI$18-SUM($D52:GP52)</f>
        <v>1.0970842633396387</v>
      </c>
      <c r="GQ54" s="165">
        <f>$AI$18-SUM($D52:GQ52)</f>
        <v>1.0093175228685141</v>
      </c>
      <c r="GR54" s="165">
        <f>$AI$18-SUM($D52:GR52)</f>
        <v>0.92857212014496326</v>
      </c>
      <c r="GS54" s="165">
        <f>$AI$18-SUM($D52:GS52)</f>
        <v>0.85428635030984879</v>
      </c>
      <c r="GT54" s="165">
        <f>$AI$18-SUM($D52:GT52)</f>
        <v>0.78594344295561314</v>
      </c>
      <c r="GU54" s="165">
        <f>$AI$18-SUM($D52:GU52)</f>
        <v>0.72306796722114086</v>
      </c>
      <c r="GV54" s="165">
        <f>$AI$18-SUM($D52:GV52)</f>
        <v>0.66522252932190895</v>
      </c>
      <c r="GW54" s="165">
        <f>$AI$18-SUM($D52:GW52)</f>
        <v>0.61200472712516785</v>
      </c>
      <c r="GX54" s="165">
        <f>$AI$18-SUM($D52:GX52)</f>
        <v>0.563044348731637</v>
      </c>
      <c r="GY54" s="165">
        <f>$AI$18-SUM($D52:GY52)</f>
        <v>0.51800080016255379</v>
      </c>
      <c r="GZ54" s="165">
        <f>$AI$18-SUM($D52:GZ52)</f>
        <v>0.47656073607504368</v>
      </c>
      <c r="HA54" s="165">
        <f>$AI$18-SUM($D52:HA52)</f>
        <v>0.43843587674200535</v>
      </c>
      <c r="HB54" s="165">
        <f>$AI$18-SUM($D52:HB52)</f>
        <v>0.40336100570857525</v>
      </c>
    </row>
    <row r="56" spans="2:210" x14ac:dyDescent="0.2">
      <c r="B56" s="105" t="s">
        <v>226</v>
      </c>
      <c r="D56" s="245">
        <f>+'Total Annual Impact'!D4</f>
        <v>4522970.7300000004</v>
      </c>
      <c r="E56" s="245">
        <v>0</v>
      </c>
      <c r="F56" s="245"/>
      <c r="G56" s="245"/>
      <c r="H56" s="245"/>
      <c r="I56" s="245"/>
      <c r="J56" s="245"/>
      <c r="K56" s="245"/>
      <c r="L56" s="245"/>
      <c r="M56" s="245">
        <f t="shared" ref="M56" si="367">-M38</f>
        <v>0</v>
      </c>
    </row>
    <row r="57" spans="2:210" x14ac:dyDescent="0.2"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9" spans="2:210" x14ac:dyDescent="0.2">
      <c r="B59" s="105" t="s">
        <v>200</v>
      </c>
      <c r="D59" s="177">
        <f>-D30+D52+D56</f>
        <v>5632728.9552292246</v>
      </c>
      <c r="E59" s="177">
        <f>-E30+E52+E56+E57</f>
        <v>543904.79191399075</v>
      </c>
      <c r="F59" s="177">
        <f t="shared" ref="F59:BO59" si="368">-F30+F52+F56+F57</f>
        <v>459816.10494104389</v>
      </c>
      <c r="G59" s="177">
        <f t="shared" si="368"/>
        <v>279963.64444397844</v>
      </c>
      <c r="H59" s="177">
        <f t="shared" si="368"/>
        <v>216990.24926863261</v>
      </c>
      <c r="I59" s="177">
        <f t="shared" si="368"/>
        <v>159054.72570731444</v>
      </c>
      <c r="J59" s="177">
        <f t="shared" si="368"/>
        <v>105754.04403090174</v>
      </c>
      <c r="K59" s="177">
        <f t="shared" si="368"/>
        <v>56717.416888602078</v>
      </c>
      <c r="L59" s="177">
        <f t="shared" si="368"/>
        <v>11603.71991768654</v>
      </c>
      <c r="M59" s="177">
        <f t="shared" si="368"/>
        <v>-29900.881295555853</v>
      </c>
      <c r="N59" s="177">
        <f t="shared" si="368"/>
        <v>-68085.114411738934</v>
      </c>
      <c r="O59" s="177">
        <f t="shared" si="368"/>
        <v>-103214.60887862736</v>
      </c>
      <c r="P59" s="177">
        <f t="shared" si="368"/>
        <v>-135533.74378816469</v>
      </c>
      <c r="Q59" s="177">
        <f t="shared" si="368"/>
        <v>-165267.34790493903</v>
      </c>
      <c r="R59" s="177">
        <f t="shared" si="368"/>
        <v>-192622.26369237137</v>
      </c>
      <c r="S59" s="177">
        <f t="shared" si="368"/>
        <v>-217788.78621680912</v>
      </c>
      <c r="T59" s="177">
        <f t="shared" si="368"/>
        <v>-240941.98693929194</v>
      </c>
      <c r="U59" s="177">
        <f t="shared" si="368"/>
        <v>-262242.931603976</v>
      </c>
      <c r="V59" s="177">
        <f t="shared" si="368"/>
        <v>-281839.80069548544</v>
      </c>
      <c r="W59" s="177">
        <f t="shared" si="368"/>
        <v>-299868.9202596742</v>
      </c>
      <c r="X59" s="177">
        <f t="shared" si="368"/>
        <v>-316455.71025872778</v>
      </c>
      <c r="Y59" s="177">
        <f t="shared" si="368"/>
        <v>-331715.55705785705</v>
      </c>
      <c r="Z59" s="177">
        <f t="shared" si="368"/>
        <v>-345754.6161130559</v>
      </c>
      <c r="AA59" s="177">
        <f t="shared" si="368"/>
        <v>-358670.55044383893</v>
      </c>
      <c r="AB59" s="177">
        <f t="shared" si="368"/>
        <v>-370553.21002815932</v>
      </c>
      <c r="AC59" s="177">
        <f t="shared" si="368"/>
        <v>-381485.25684573408</v>
      </c>
      <c r="AD59" s="177">
        <f t="shared" si="368"/>
        <v>-391542.73991790292</v>
      </c>
      <c r="AE59" s="177">
        <f t="shared" si="368"/>
        <v>-400795.62434429821</v>
      </c>
      <c r="AF59" s="177">
        <f t="shared" si="368"/>
        <v>-409308.27801658178</v>
      </c>
      <c r="AG59" s="177">
        <f t="shared" si="368"/>
        <v>-417139.91939508275</v>
      </c>
      <c r="AH59" s="177">
        <f t="shared" si="368"/>
        <v>-424345.02946330362</v>
      </c>
      <c r="AI59" s="177">
        <f t="shared" si="368"/>
        <v>-430973.7307260668</v>
      </c>
      <c r="AJ59" s="177">
        <f t="shared" si="368"/>
        <v>-437072.13588780892</v>
      </c>
      <c r="AK59" s="177">
        <f t="shared" si="368"/>
        <v>-442682.66863661166</v>
      </c>
      <c r="AL59" s="177">
        <f t="shared" si="368"/>
        <v>-447844.35876551032</v>
      </c>
      <c r="AM59" s="177">
        <f t="shared" si="368"/>
        <v>-190910.31843625306</v>
      </c>
      <c r="AN59" s="177">
        <f t="shared" si="368"/>
        <v>50241.827038647236</v>
      </c>
      <c r="AO59" s="177">
        <f t="shared" si="368"/>
        <v>46222.480875555426</v>
      </c>
      <c r="AP59" s="177">
        <f t="shared" si="368"/>
        <v>42524.68240551099</v>
      </c>
      <c r="AQ59" s="177">
        <f t="shared" si="368"/>
        <v>39122.707813070119</v>
      </c>
      <c r="AR59" s="177">
        <f t="shared" si="368"/>
        <v>35992.89118802458</v>
      </c>
      <c r="AS59" s="177">
        <f t="shared" si="368"/>
        <v>33113.459892982544</v>
      </c>
      <c r="AT59" s="177">
        <f t="shared" si="368"/>
        <v>30464.383101543935</v>
      </c>
      <c r="AU59" s="177">
        <f t="shared" si="368"/>
        <v>28027.23245342046</v>
      </c>
      <c r="AV59" s="177">
        <f t="shared" si="368"/>
        <v>25785.053857146799</v>
      </c>
      <c r="AW59" s="177">
        <f t="shared" si="368"/>
        <v>23722.249548574986</v>
      </c>
      <c r="AX59" s="177">
        <f t="shared" si="368"/>
        <v>21824.469584688992</v>
      </c>
      <c r="AY59" s="177">
        <f t="shared" si="368"/>
        <v>20078.512017913908</v>
      </c>
      <c r="AZ59" s="177">
        <f t="shared" si="368"/>
        <v>18472.231056480854</v>
      </c>
      <c r="BA59" s="177">
        <f t="shared" si="368"/>
        <v>16994.452571962327</v>
      </c>
      <c r="BB59" s="177">
        <f t="shared" si="368"/>
        <v>15634.896366205365</v>
      </c>
      <c r="BC59" s="177">
        <f t="shared" si="368"/>
        <v>14384.104656908959</v>
      </c>
      <c r="BD59" s="177">
        <f t="shared" si="368"/>
        <v>13233.376284356267</v>
      </c>
      <c r="BE59" s="177">
        <f t="shared" si="368"/>
        <v>12174.706181607693</v>
      </c>
      <c r="BF59" s="177">
        <f t="shared" si="368"/>
        <v>11200.729687079043</v>
      </c>
      <c r="BG59" s="177">
        <f t="shared" si="368"/>
        <v>10304.67131211266</v>
      </c>
      <c r="BH59" s="177">
        <f t="shared" si="368"/>
        <v>9480.2976071436697</v>
      </c>
      <c r="BI59" s="177">
        <f t="shared" si="368"/>
        <v>8721.8737985721236</v>
      </c>
      <c r="BJ59" s="177">
        <f t="shared" si="368"/>
        <v>8024.1238946864014</v>
      </c>
      <c r="BK59" s="177">
        <f t="shared" si="368"/>
        <v>7382.1939831115305</v>
      </c>
      <c r="BL59" s="177">
        <f t="shared" si="368"/>
        <v>6791.6184644626082</v>
      </c>
      <c r="BM59" s="177">
        <f t="shared" si="368"/>
        <v>6248.288987305612</v>
      </c>
      <c r="BN59" s="177">
        <f t="shared" si="368"/>
        <v>5748.4258683212101</v>
      </c>
      <c r="BO59" s="177">
        <f t="shared" si="368"/>
        <v>5288.5517988555139</v>
      </c>
      <c r="BP59" s="177">
        <f t="shared" ref="BP59:EA59" si="369">-BP30+BP52+BP56+BP57</f>
        <v>4865.4676549470423</v>
      </c>
      <c r="BQ59" s="177">
        <f t="shared" si="369"/>
        <v>4476.2302425512671</v>
      </c>
      <c r="BR59" s="177">
        <f t="shared" si="369"/>
        <v>4118.1318231472378</v>
      </c>
      <c r="BS59" s="177">
        <f t="shared" si="369"/>
        <v>3788.6812772955</v>
      </c>
      <c r="BT59" s="177">
        <f t="shared" si="369"/>
        <v>3485.586775111854</v>
      </c>
      <c r="BU59" s="177">
        <f t="shared" si="369"/>
        <v>3206.7398331029713</v>
      </c>
      <c r="BV59" s="177">
        <f t="shared" si="369"/>
        <v>2950.2006464546921</v>
      </c>
      <c r="BW59" s="177">
        <f t="shared" si="369"/>
        <v>2714.1845947383345</v>
      </c>
      <c r="BX59" s="177">
        <f t="shared" si="369"/>
        <v>2497.0498271591964</v>
      </c>
      <c r="BY59" s="177">
        <f t="shared" si="369"/>
        <v>2297.2858409865203</v>
      </c>
      <c r="BZ59" s="177">
        <f t="shared" si="369"/>
        <v>2113.5029737076165</v>
      </c>
      <c r="CA59" s="177">
        <f t="shared" si="369"/>
        <v>1944.4227358110249</v>
      </c>
      <c r="CB59" s="177">
        <f t="shared" si="369"/>
        <v>1788.8689169462025</v>
      </c>
      <c r="CC59" s="177">
        <f t="shared" si="369"/>
        <v>1645.7594035905599</v>
      </c>
      <c r="CD59" s="177">
        <f t="shared" si="369"/>
        <v>1514.0986513033511</v>
      </c>
      <c r="CE59" s="177">
        <f t="shared" si="369"/>
        <v>1392.9707591991128</v>
      </c>
      <c r="CF59" s="177">
        <f t="shared" si="369"/>
        <v>1281.533098463118</v>
      </c>
      <c r="CG59" s="177">
        <f t="shared" si="369"/>
        <v>1179.0104505860807</v>
      </c>
      <c r="CH59" s="177">
        <f t="shared" si="369"/>
        <v>1084.6896145391465</v>
      </c>
      <c r="CI59" s="177">
        <f t="shared" si="369"/>
        <v>997.91444537594919</v>
      </c>
      <c r="CJ59" s="177">
        <f t="shared" si="369"/>
        <v>918.08128974586725</v>
      </c>
      <c r="CK59" s="177">
        <f t="shared" si="369"/>
        <v>844.63478656619793</v>
      </c>
      <c r="CL59" s="177">
        <f t="shared" si="369"/>
        <v>777.06400364086039</v>
      </c>
      <c r="CM59" s="177">
        <f t="shared" si="369"/>
        <v>714.89888334959744</v>
      </c>
      <c r="CN59" s="177">
        <f t="shared" si="369"/>
        <v>657.70697268158199</v>
      </c>
      <c r="CO59" s="177">
        <f t="shared" si="369"/>
        <v>605.09041486710316</v>
      </c>
      <c r="CP59" s="177">
        <f t="shared" si="369"/>
        <v>556.68318167775874</v>
      </c>
      <c r="CQ59" s="177">
        <f t="shared" si="369"/>
        <v>512.14852714359756</v>
      </c>
      <c r="CR59" s="177">
        <f t="shared" si="369"/>
        <v>471.17664497211575</v>
      </c>
      <c r="CS59" s="177">
        <f t="shared" si="369"/>
        <v>433.48251337438825</v>
      </c>
      <c r="CT59" s="177">
        <f t="shared" si="369"/>
        <v>398.80391230449084</v>
      </c>
      <c r="CU59" s="177">
        <f t="shared" si="369"/>
        <v>366.89959932014347</v>
      </c>
      <c r="CV59" s="177">
        <f t="shared" si="369"/>
        <v>337.54763137459753</v>
      </c>
      <c r="CW59" s="177">
        <f t="shared" si="369"/>
        <v>310.5438208645582</v>
      </c>
      <c r="CX59" s="177">
        <f t="shared" si="369"/>
        <v>285.70031519532205</v>
      </c>
      <c r="CY59" s="177">
        <f t="shared" si="369"/>
        <v>262.8442899796367</v>
      </c>
      <c r="CZ59" s="177">
        <f t="shared" si="369"/>
        <v>241.81674678131938</v>
      </c>
      <c r="DA59" s="177">
        <f t="shared" si="369"/>
        <v>222.47140703886748</v>
      </c>
      <c r="DB59" s="177">
        <f t="shared" si="369"/>
        <v>204.67369447574021</v>
      </c>
      <c r="DC59" s="177">
        <f t="shared" si="369"/>
        <v>188.29979891762139</v>
      </c>
      <c r="DD59" s="177">
        <f t="shared" si="369"/>
        <v>173.23581500425936</v>
      </c>
      <c r="DE59" s="177">
        <f t="shared" si="369"/>
        <v>159.37694980397822</v>
      </c>
      <c r="DF59" s="177">
        <f t="shared" si="369"/>
        <v>146.62679381966592</v>
      </c>
      <c r="DG59" s="177">
        <f t="shared" si="369"/>
        <v>134.89665031403302</v>
      </c>
      <c r="DH59" s="177">
        <f t="shared" si="369"/>
        <v>124.10491828888655</v>
      </c>
      <c r="DI59" s="177">
        <f t="shared" si="369"/>
        <v>114.17652482584118</v>
      </c>
      <c r="DJ59" s="177">
        <f t="shared" si="369"/>
        <v>105.04240283980965</v>
      </c>
      <c r="DK59" s="177">
        <f t="shared" si="369"/>
        <v>96.63901061266661</v>
      </c>
      <c r="DL59" s="177">
        <f t="shared" si="369"/>
        <v>88.907889763712888</v>
      </c>
      <c r="DM59" s="177">
        <f t="shared" si="369"/>
        <v>81.795258582681413</v>
      </c>
      <c r="DN59" s="177">
        <f t="shared" si="369"/>
        <v>75.251637896001341</v>
      </c>
      <c r="DO59" s="177">
        <f t="shared" si="369"/>
        <v>69.23150686427951</v>
      </c>
      <c r="DP59" s="177">
        <f t="shared" si="369"/>
        <v>63.692986315190794</v>
      </c>
      <c r="DQ59" s="177">
        <f t="shared" si="369"/>
        <v>58.597547409981487</v>
      </c>
      <c r="DR59" s="177">
        <f t="shared" si="369"/>
        <v>53.909743617177014</v>
      </c>
      <c r="DS59" s="177">
        <f t="shared" si="369"/>
        <v>49.596964127868418</v>
      </c>
      <c r="DT59" s="177">
        <f t="shared" si="369"/>
        <v>45.629206997603177</v>
      </c>
      <c r="DU59" s="177">
        <f t="shared" si="369"/>
        <v>41.978870437741278</v>
      </c>
      <c r="DV59" s="177">
        <f t="shared" si="369"/>
        <v>38.620560802668336</v>
      </c>
      <c r="DW59" s="177">
        <f t="shared" si="369"/>
        <v>35.530915938466791</v>
      </c>
      <c r="DX59" s="177">
        <f t="shared" si="369"/>
        <v>32.688442663401368</v>
      </c>
      <c r="DY59" s="177">
        <f t="shared" si="369"/>
        <v>30.07336725026369</v>
      </c>
      <c r="DZ59" s="177">
        <f t="shared" si="369"/>
        <v>27.66749787017703</v>
      </c>
      <c r="EA59" s="177">
        <f t="shared" si="369"/>
        <v>25.454098040610553</v>
      </c>
      <c r="EB59" s="177">
        <f t="shared" ref="EB59:GM59" si="370">-EB30+EB52+EB56+EB57</f>
        <v>23.417770197391512</v>
      </c>
      <c r="EC59" s="177">
        <f t="shared" si="370"/>
        <v>21.544348581582309</v>
      </c>
      <c r="ED59" s="177">
        <f t="shared" si="370"/>
        <v>19.820800695121289</v>
      </c>
      <c r="EE59" s="177">
        <f t="shared" si="370"/>
        <v>18.235136639475822</v>
      </c>
      <c r="EF59" s="177">
        <f t="shared" si="370"/>
        <v>16.776325708329679</v>
      </c>
      <c r="EG59" s="177">
        <f t="shared" si="370"/>
        <v>15.434219651669265</v>
      </c>
      <c r="EH59" s="177">
        <f t="shared" si="370"/>
        <v>14.199482079595327</v>
      </c>
      <c r="EI59" s="177">
        <f t="shared" si="370"/>
        <v>13.063523513227702</v>
      </c>
      <c r="EJ59" s="177">
        <f t="shared" si="370"/>
        <v>12.018441632241011</v>
      </c>
      <c r="EK59" s="177">
        <f t="shared" si="370"/>
        <v>11.056966301649808</v>
      </c>
      <c r="EL59" s="177">
        <f t="shared" si="370"/>
        <v>10.172408997565508</v>
      </c>
      <c r="EM59" s="177">
        <f t="shared" si="370"/>
        <v>9.3586162777245043</v>
      </c>
      <c r="EN59" s="177">
        <f t="shared" si="370"/>
        <v>8.6099269755184658</v>
      </c>
      <c r="EO59" s="177">
        <f t="shared" si="370"/>
        <v>7.9211328174173836</v>
      </c>
      <c r="EP59" s="177">
        <f t="shared" si="370"/>
        <v>7.2874421919882302</v>
      </c>
      <c r="EQ59" s="177">
        <f t="shared" si="370"/>
        <v>6.7044468165934088</v>
      </c>
      <c r="ER59" s="177">
        <f t="shared" si="370"/>
        <v>6.168091071248055</v>
      </c>
      <c r="ES59" s="177">
        <f t="shared" si="370"/>
        <v>5.6746437855064871</v>
      </c>
      <c r="ET59" s="177">
        <f t="shared" si="370"/>
        <v>5.2206722827255723</v>
      </c>
      <c r="EU59" s="177">
        <f t="shared" si="370"/>
        <v>4.8030185000598431</v>
      </c>
      <c r="EV59" s="177">
        <f t="shared" si="370"/>
        <v>4.4187770201265817</v>
      </c>
      <c r="EW59" s="177">
        <f t="shared" si="370"/>
        <v>4.0652748584747318</v>
      </c>
      <c r="EX59" s="177">
        <f t="shared" si="370"/>
        <v>3.7400528697669508</v>
      </c>
      <c r="EY59" s="177">
        <f t="shared" si="370"/>
        <v>3.4408486402034759</v>
      </c>
      <c r="EZ59" s="177">
        <f t="shared" si="370"/>
        <v>3.1655807489156724</v>
      </c>
      <c r="FA59" s="177">
        <f t="shared" si="370"/>
        <v>2.9123342889547348</v>
      </c>
      <c r="FB59" s="177">
        <f t="shared" si="370"/>
        <v>2.6793475458025933</v>
      </c>
      <c r="FC59" s="177">
        <f t="shared" si="370"/>
        <v>2.4649997422099115</v>
      </c>
      <c r="FD59" s="177">
        <f t="shared" si="370"/>
        <v>2.2677997627854349</v>
      </c>
      <c r="FE59" s="177">
        <f t="shared" si="370"/>
        <v>2.0863757817447186</v>
      </c>
      <c r="FF59" s="177">
        <f t="shared" si="370"/>
        <v>1.9194657191634179</v>
      </c>
      <c r="FG59" s="177">
        <f t="shared" si="370"/>
        <v>1.7659084616601468</v>
      </c>
      <c r="FH59" s="177">
        <f t="shared" si="370"/>
        <v>1.6246357847750188</v>
      </c>
      <c r="FI59" s="177">
        <f t="shared" si="370"/>
        <v>1.4946649220585824</v>
      </c>
      <c r="FJ59" s="177">
        <f t="shared" si="370"/>
        <v>1.3750917282700539</v>
      </c>
      <c r="FK59" s="177">
        <f t="shared" si="370"/>
        <v>1.2650843900442124</v>
      </c>
      <c r="FL59" s="177">
        <f t="shared" si="370"/>
        <v>1.1638776388764382</v>
      </c>
      <c r="FM59" s="177">
        <f t="shared" si="370"/>
        <v>1.0707674278318882</v>
      </c>
      <c r="FN59" s="177">
        <f t="shared" si="370"/>
        <v>0.98510603353381154</v>
      </c>
      <c r="FO59" s="177">
        <f t="shared" si="370"/>
        <v>0.90629755079746244</v>
      </c>
      <c r="FP59" s="177">
        <f t="shared" si="370"/>
        <v>0.83379374668002126</v>
      </c>
      <c r="FQ59" s="177">
        <f t="shared" si="370"/>
        <v>0.76709024697542194</v>
      </c>
      <c r="FR59" s="177">
        <f t="shared" si="370"/>
        <v>0.70572302728891378</v>
      </c>
      <c r="FS59" s="177">
        <f t="shared" si="370"/>
        <v>0.64926518514752385</v>
      </c>
      <c r="FT59" s="177">
        <f t="shared" si="370"/>
        <v>0.59732397034764295</v>
      </c>
      <c r="FU59" s="177">
        <f t="shared" si="370"/>
        <v>0.54953805267810818</v>
      </c>
      <c r="FV59" s="177">
        <f t="shared" si="370"/>
        <v>0.50557500839233405</v>
      </c>
      <c r="FW59" s="177">
        <f t="shared" si="370"/>
        <v>0.46512900769710541</v>
      </c>
      <c r="FX59" s="177">
        <f t="shared" si="370"/>
        <v>0.42791868701577185</v>
      </c>
      <c r="FY59" s="177">
        <f t="shared" si="370"/>
        <v>0.39368519201874735</v>
      </c>
      <c r="FZ59" s="177">
        <f t="shared" si="370"/>
        <v>0.36219037666916848</v>
      </c>
      <c r="GA59" s="177">
        <f t="shared" si="370"/>
        <v>0.33321514651179313</v>
      </c>
      <c r="GB59" s="177">
        <f t="shared" si="370"/>
        <v>0.30655793473124504</v>
      </c>
      <c r="GC59" s="177">
        <f t="shared" si="370"/>
        <v>0.28203329995274545</v>
      </c>
      <c r="GD59" s="177">
        <f t="shared" si="370"/>
        <v>0.25947063595056535</v>
      </c>
      <c r="GE59" s="177">
        <f t="shared" si="370"/>
        <v>0.23871298506855965</v>
      </c>
      <c r="GF59" s="177">
        <f t="shared" si="370"/>
        <v>0.21961594626307487</v>
      </c>
      <c r="GG59" s="177">
        <f t="shared" si="370"/>
        <v>0.20204667061567308</v>
      </c>
      <c r="GH59" s="177">
        <f t="shared" si="370"/>
        <v>0.18588293701410294</v>
      </c>
      <c r="GI59" s="177">
        <f t="shared" si="370"/>
        <v>0.17101230204105378</v>
      </c>
      <c r="GJ59" s="177">
        <f t="shared" si="370"/>
        <v>0.15733131781220436</v>
      </c>
      <c r="GK59" s="177">
        <f t="shared" si="370"/>
        <v>0.14474481239914894</v>
      </c>
      <c r="GL59" s="177">
        <f t="shared" si="370"/>
        <v>0.13316522747278214</v>
      </c>
      <c r="GM59" s="177">
        <f t="shared" si="370"/>
        <v>0.12251200929284096</v>
      </c>
      <c r="GN59" s="177">
        <f t="shared" ref="GN59:HA59" si="371">-GN30+GN52+GN56+GN57</f>
        <v>0.11271104857325553</v>
      </c>
      <c r="GO59" s="177">
        <f t="shared" si="371"/>
        <v>0.10369416475296021</v>
      </c>
      <c r="GP59" s="177">
        <f t="shared" si="371"/>
        <v>9.5398631542921067E-2</v>
      </c>
      <c r="GQ59" s="177">
        <f t="shared" si="371"/>
        <v>8.7766741067171097E-2</v>
      </c>
      <c r="GR59" s="177">
        <f t="shared" si="371"/>
        <v>8.0745401829481131E-2</v>
      </c>
      <c r="GS59" s="177">
        <f t="shared" si="371"/>
        <v>7.4285769611597066E-2</v>
      </c>
      <c r="GT59" s="177">
        <f t="shared" si="371"/>
        <v>6.8342908024787902E-2</v>
      </c>
      <c r="GU59" s="177">
        <f t="shared" si="371"/>
        <v>6.2875475436449058E-2</v>
      </c>
      <c r="GV59" s="177">
        <f t="shared" si="371"/>
        <v>5.7845437377691267E-2</v>
      </c>
      <c r="GW59" s="177">
        <f t="shared" si="371"/>
        <v>5.321780234575272E-2</v>
      </c>
      <c r="GX59" s="177">
        <f t="shared" si="371"/>
        <v>4.8960378170013426E-2</v>
      </c>
      <c r="GY59" s="177">
        <f t="shared" si="371"/>
        <v>4.5043547898530961E-2</v>
      </c>
      <c r="GZ59" s="177">
        <f t="shared" si="371"/>
        <v>4.1440064013004305E-2</v>
      </c>
      <c r="HA59" s="177">
        <f t="shared" si="371"/>
        <v>3.8124858886003497E-2</v>
      </c>
      <c r="HB59" s="177">
        <f>-HB36+HB52+HB56</f>
        <v>3.5074870139360427E-2</v>
      </c>
    </row>
    <row r="61" spans="2:210" x14ac:dyDescent="0.2">
      <c r="B61" s="105" t="s">
        <v>166</v>
      </c>
      <c r="D61" s="177">
        <f>+D59</f>
        <v>5632728.9552292246</v>
      </c>
      <c r="E61" s="177">
        <f>+D61+E59</f>
        <v>6176633.7471432155</v>
      </c>
      <c r="F61" s="177">
        <f t="shared" ref="F61:BQ61" si="372">+E61+F59</f>
        <v>6636449.8520842595</v>
      </c>
      <c r="G61" s="177">
        <f>+F61+G59</f>
        <v>6916413.4965282381</v>
      </c>
      <c r="H61" s="177">
        <f t="shared" si="372"/>
        <v>7133403.7457968704</v>
      </c>
      <c r="I61" s="177">
        <f t="shared" si="372"/>
        <v>7292458.4715041853</v>
      </c>
      <c r="J61" s="177">
        <f t="shared" si="372"/>
        <v>7398212.5155350873</v>
      </c>
      <c r="K61" s="177">
        <f t="shared" si="372"/>
        <v>7454929.9324236894</v>
      </c>
      <c r="L61" s="177">
        <f t="shared" si="372"/>
        <v>7466533.6523413761</v>
      </c>
      <c r="M61" s="177">
        <f t="shared" si="372"/>
        <v>7436632.7710458199</v>
      </c>
      <c r="N61" s="177">
        <f t="shared" si="372"/>
        <v>7368547.6566340812</v>
      </c>
      <c r="O61" s="177">
        <f t="shared" si="372"/>
        <v>7265333.0477554537</v>
      </c>
      <c r="P61" s="177">
        <f t="shared" si="372"/>
        <v>7129799.3039672887</v>
      </c>
      <c r="Q61" s="177">
        <f t="shared" si="372"/>
        <v>6964531.9560623495</v>
      </c>
      <c r="R61" s="177">
        <f t="shared" si="372"/>
        <v>6771909.6923699779</v>
      </c>
      <c r="S61" s="177">
        <f t="shared" si="372"/>
        <v>6554120.9061531685</v>
      </c>
      <c r="T61" s="177">
        <f t="shared" si="372"/>
        <v>6313178.9192138761</v>
      </c>
      <c r="U61" s="177">
        <f t="shared" si="372"/>
        <v>6050935.9876099005</v>
      </c>
      <c r="V61" s="177">
        <f t="shared" si="372"/>
        <v>5769096.1869144151</v>
      </c>
      <c r="W61" s="177">
        <f t="shared" si="372"/>
        <v>5469227.266654741</v>
      </c>
      <c r="X61" s="177">
        <f t="shared" si="372"/>
        <v>5152771.5563960131</v>
      </c>
      <c r="Y61" s="177">
        <f t="shared" si="372"/>
        <v>4821055.9993381556</v>
      </c>
      <c r="Z61" s="177">
        <f t="shared" si="372"/>
        <v>4475301.3832251001</v>
      </c>
      <c r="AA61" s="177">
        <f t="shared" si="372"/>
        <v>4116630.8327812613</v>
      </c>
      <c r="AB61" s="177">
        <f t="shared" si="372"/>
        <v>3746077.6227531019</v>
      </c>
      <c r="AC61" s="177">
        <f t="shared" si="372"/>
        <v>3364592.3659073678</v>
      </c>
      <c r="AD61" s="177">
        <f t="shared" si="372"/>
        <v>2973049.625989465</v>
      </c>
      <c r="AE61" s="177">
        <f t="shared" si="372"/>
        <v>2572254.0016451669</v>
      </c>
      <c r="AF61" s="177">
        <f t="shared" si="372"/>
        <v>2162945.7236285852</v>
      </c>
      <c r="AG61" s="177">
        <f t="shared" si="372"/>
        <v>1745805.8042335026</v>
      </c>
      <c r="AH61" s="177">
        <f t="shared" si="372"/>
        <v>1321460.7747701989</v>
      </c>
      <c r="AI61" s="177">
        <f t="shared" si="372"/>
        <v>890487.04404413211</v>
      </c>
      <c r="AJ61" s="177">
        <f t="shared" si="372"/>
        <v>453414.90815632319</v>
      </c>
      <c r="AK61" s="177">
        <f t="shared" si="372"/>
        <v>10732.239519711526</v>
      </c>
      <c r="AL61" s="177">
        <f t="shared" si="372"/>
        <v>-437112.11924579879</v>
      </c>
      <c r="AM61" s="177">
        <f t="shared" si="372"/>
        <v>-628022.43768205191</v>
      </c>
      <c r="AN61" s="177">
        <f t="shared" si="372"/>
        <v>-577780.61064340465</v>
      </c>
      <c r="AO61" s="177">
        <f t="shared" si="372"/>
        <v>-531558.12976784923</v>
      </c>
      <c r="AP61" s="177">
        <f t="shared" si="372"/>
        <v>-489033.44736233825</v>
      </c>
      <c r="AQ61" s="177">
        <f t="shared" si="372"/>
        <v>-449910.73954926815</v>
      </c>
      <c r="AR61" s="177">
        <f t="shared" si="372"/>
        <v>-413917.84836124355</v>
      </c>
      <c r="AS61" s="177">
        <f t="shared" si="372"/>
        <v>-380804.38846826099</v>
      </c>
      <c r="AT61" s="177">
        <f t="shared" si="372"/>
        <v>-350340.00536671706</v>
      </c>
      <c r="AU61" s="177">
        <f t="shared" si="372"/>
        <v>-322312.77291329659</v>
      </c>
      <c r="AV61" s="177">
        <f t="shared" si="372"/>
        <v>-296527.71905614977</v>
      </c>
      <c r="AW61" s="177">
        <f t="shared" si="372"/>
        <v>-272805.4695075748</v>
      </c>
      <c r="AX61" s="177">
        <f t="shared" si="372"/>
        <v>-250980.99992288582</v>
      </c>
      <c r="AY61" s="177">
        <f t="shared" si="372"/>
        <v>-230902.4879049719</v>
      </c>
      <c r="AZ61" s="177">
        <f t="shared" si="372"/>
        <v>-212430.25684849106</v>
      </c>
      <c r="BA61" s="177">
        <f t="shared" si="372"/>
        <v>-195435.80427652874</v>
      </c>
      <c r="BB61" s="177">
        <f t="shared" si="372"/>
        <v>-179800.90791032338</v>
      </c>
      <c r="BC61" s="177">
        <f t="shared" si="372"/>
        <v>-165416.80325341443</v>
      </c>
      <c r="BD61" s="177">
        <f t="shared" si="372"/>
        <v>-152183.42696905817</v>
      </c>
      <c r="BE61" s="177">
        <f t="shared" si="372"/>
        <v>-140008.72078745047</v>
      </c>
      <c r="BF61" s="177">
        <f t="shared" si="372"/>
        <v>-128807.99110037142</v>
      </c>
      <c r="BG61" s="177">
        <f t="shared" si="372"/>
        <v>-118503.31978825876</v>
      </c>
      <c r="BH61" s="177">
        <f t="shared" si="372"/>
        <v>-109023.02218111508</v>
      </c>
      <c r="BI61" s="177">
        <f t="shared" si="372"/>
        <v>-100301.14838254296</v>
      </c>
      <c r="BJ61" s="177">
        <f t="shared" si="372"/>
        <v>-92277.024487856557</v>
      </c>
      <c r="BK61" s="177">
        <f t="shared" si="372"/>
        <v>-84894.830504745027</v>
      </c>
      <c r="BL61" s="177">
        <f t="shared" si="372"/>
        <v>-78103.212040282422</v>
      </c>
      <c r="BM61" s="177">
        <f t="shared" si="372"/>
        <v>-71854.92305297681</v>
      </c>
      <c r="BN61" s="177">
        <f t="shared" si="372"/>
        <v>-66106.4971846556</v>
      </c>
      <c r="BO61" s="177">
        <f t="shared" si="372"/>
        <v>-60817.945385800085</v>
      </c>
      <c r="BP61" s="177">
        <f t="shared" si="372"/>
        <v>-55952.477730853047</v>
      </c>
      <c r="BQ61" s="177">
        <f t="shared" si="372"/>
        <v>-51476.247488301779</v>
      </c>
      <c r="BR61" s="177">
        <f t="shared" ref="BR61:EC61" si="373">+BQ61+BR59</f>
        <v>-47358.115665154539</v>
      </c>
      <c r="BS61" s="177">
        <f t="shared" si="373"/>
        <v>-43569.434387859037</v>
      </c>
      <c r="BT61" s="177">
        <f t="shared" si="373"/>
        <v>-40083.84761274718</v>
      </c>
      <c r="BU61" s="177">
        <f t="shared" si="373"/>
        <v>-36877.107779644211</v>
      </c>
      <c r="BV61" s="177">
        <f t="shared" si="373"/>
        <v>-33926.907133189517</v>
      </c>
      <c r="BW61" s="177">
        <f t="shared" si="373"/>
        <v>-31212.722538451184</v>
      </c>
      <c r="BX61" s="177">
        <f t="shared" si="373"/>
        <v>-28715.672711291987</v>
      </c>
      <c r="BY61" s="177">
        <f t="shared" si="373"/>
        <v>-26418.386870305469</v>
      </c>
      <c r="BZ61" s="177">
        <f t="shared" si="373"/>
        <v>-24304.88389659785</v>
      </c>
      <c r="CA61" s="177">
        <f t="shared" si="373"/>
        <v>-22360.461160786825</v>
      </c>
      <c r="CB61" s="177">
        <f t="shared" si="373"/>
        <v>-20571.592243840623</v>
      </c>
      <c r="CC61" s="177">
        <f t="shared" si="373"/>
        <v>-18925.832840250063</v>
      </c>
      <c r="CD61" s="177">
        <f t="shared" si="373"/>
        <v>-17411.734188946713</v>
      </c>
      <c r="CE61" s="177">
        <f t="shared" si="373"/>
        <v>-16018.7634297476</v>
      </c>
      <c r="CF61" s="177">
        <f t="shared" si="373"/>
        <v>-14737.230331284482</v>
      </c>
      <c r="CG61" s="177">
        <f t="shared" si="373"/>
        <v>-13558.219880698402</v>
      </c>
      <c r="CH61" s="177">
        <f t="shared" si="373"/>
        <v>-12473.530266159254</v>
      </c>
      <c r="CI61" s="177">
        <f t="shared" si="373"/>
        <v>-11475.615820783305</v>
      </c>
      <c r="CJ61" s="177">
        <f t="shared" si="373"/>
        <v>-10557.534531037438</v>
      </c>
      <c r="CK61" s="177">
        <f t="shared" si="373"/>
        <v>-9712.8997444712404</v>
      </c>
      <c r="CL61" s="177">
        <f t="shared" si="373"/>
        <v>-8935.83574083038</v>
      </c>
      <c r="CM61" s="177">
        <f t="shared" si="373"/>
        <v>-8220.9368574807831</v>
      </c>
      <c r="CN61" s="177">
        <f t="shared" si="373"/>
        <v>-7563.2298847992015</v>
      </c>
      <c r="CO61" s="177">
        <f t="shared" si="373"/>
        <v>-6958.1394699320981</v>
      </c>
      <c r="CP61" s="177">
        <f t="shared" si="373"/>
        <v>-6401.4562882543396</v>
      </c>
      <c r="CQ61" s="177">
        <f t="shared" si="373"/>
        <v>-5889.3077611107419</v>
      </c>
      <c r="CR61" s="177">
        <f t="shared" si="373"/>
        <v>-5418.1311161386266</v>
      </c>
      <c r="CS61" s="177">
        <f t="shared" si="373"/>
        <v>-4984.6486027642386</v>
      </c>
      <c r="CT61" s="177">
        <f t="shared" si="373"/>
        <v>-4585.8446904597477</v>
      </c>
      <c r="CU61" s="177">
        <f t="shared" si="373"/>
        <v>-4218.9450911396043</v>
      </c>
      <c r="CV61" s="177">
        <f t="shared" si="373"/>
        <v>-3881.3974597650067</v>
      </c>
      <c r="CW61" s="177">
        <f t="shared" si="373"/>
        <v>-3570.8536389004485</v>
      </c>
      <c r="CX61" s="177">
        <f t="shared" si="373"/>
        <v>-3285.1533237051262</v>
      </c>
      <c r="CY61" s="177">
        <f t="shared" si="373"/>
        <v>-3022.3090337254894</v>
      </c>
      <c r="CZ61" s="177">
        <f t="shared" si="373"/>
        <v>-2780.4922869441698</v>
      </c>
      <c r="DA61" s="177">
        <f t="shared" si="373"/>
        <v>-2558.0208799053025</v>
      </c>
      <c r="DB61" s="177">
        <f t="shared" si="373"/>
        <v>-2353.3471854295622</v>
      </c>
      <c r="DC61" s="177">
        <f t="shared" si="373"/>
        <v>-2165.0473865119407</v>
      </c>
      <c r="DD61" s="177">
        <f t="shared" si="373"/>
        <v>-1991.8115715076813</v>
      </c>
      <c r="DE61" s="177">
        <f t="shared" si="373"/>
        <v>-1832.434621703703</v>
      </c>
      <c r="DF61" s="177">
        <f t="shared" si="373"/>
        <v>-1685.8078278840371</v>
      </c>
      <c r="DG61" s="177">
        <f t="shared" si="373"/>
        <v>-1550.9111775700042</v>
      </c>
      <c r="DH61" s="177">
        <f t="shared" si="373"/>
        <v>-1426.8062592811175</v>
      </c>
      <c r="DI61" s="177">
        <f t="shared" si="373"/>
        <v>-1312.6297344552763</v>
      </c>
      <c r="DJ61" s="177">
        <f t="shared" si="373"/>
        <v>-1207.5873316154666</v>
      </c>
      <c r="DK61" s="177">
        <f t="shared" si="373"/>
        <v>-1110.9483210028</v>
      </c>
      <c r="DL61" s="177">
        <f t="shared" si="373"/>
        <v>-1022.0404312390871</v>
      </c>
      <c r="DM61" s="177">
        <f t="shared" si="373"/>
        <v>-940.24517265640566</v>
      </c>
      <c r="DN61" s="177">
        <f t="shared" si="373"/>
        <v>-864.99353476040437</v>
      </c>
      <c r="DO61" s="177">
        <f t="shared" si="373"/>
        <v>-795.76202789612489</v>
      </c>
      <c r="DP61" s="177">
        <f t="shared" si="373"/>
        <v>-732.06904158093414</v>
      </c>
      <c r="DQ61" s="177">
        <f t="shared" si="373"/>
        <v>-673.47149417095261</v>
      </c>
      <c r="DR61" s="177">
        <f t="shared" si="373"/>
        <v>-619.5617505537756</v>
      </c>
      <c r="DS61" s="177">
        <f t="shared" si="373"/>
        <v>-569.96478642590716</v>
      </c>
      <c r="DT61" s="177">
        <f t="shared" si="373"/>
        <v>-524.33557942830396</v>
      </c>
      <c r="DU61" s="177">
        <f t="shared" si="373"/>
        <v>-482.35670899056265</v>
      </c>
      <c r="DV61" s="177">
        <f t="shared" si="373"/>
        <v>-443.73614818789429</v>
      </c>
      <c r="DW61" s="177">
        <f t="shared" si="373"/>
        <v>-408.20523224942747</v>
      </c>
      <c r="DX61" s="177">
        <f t="shared" si="373"/>
        <v>-375.51678958602611</v>
      </c>
      <c r="DY61" s="177">
        <f t="shared" si="373"/>
        <v>-345.44342233576242</v>
      </c>
      <c r="DZ61" s="177">
        <f t="shared" si="373"/>
        <v>-317.77592446558538</v>
      </c>
      <c r="EA61" s="177">
        <f t="shared" si="373"/>
        <v>-292.3218264249748</v>
      </c>
      <c r="EB61" s="177">
        <f t="shared" si="373"/>
        <v>-268.90405622758328</v>
      </c>
      <c r="EC61" s="177">
        <f t="shared" si="373"/>
        <v>-247.35970764600097</v>
      </c>
      <c r="ED61" s="177">
        <f t="shared" ref="ED61:GO61" si="374">+EC61+ED59</f>
        <v>-227.53890695087969</v>
      </c>
      <c r="EE61" s="177">
        <f t="shared" si="374"/>
        <v>-209.30377031140387</v>
      </c>
      <c r="EF61" s="177">
        <f t="shared" si="374"/>
        <v>-192.52744460307417</v>
      </c>
      <c r="EG61" s="177">
        <f t="shared" si="374"/>
        <v>-177.09322495140492</v>
      </c>
      <c r="EH61" s="177">
        <f t="shared" si="374"/>
        <v>-162.89374287180959</v>
      </c>
      <c r="EI61" s="177">
        <f t="shared" si="374"/>
        <v>-149.8302193585819</v>
      </c>
      <c r="EJ61" s="177">
        <f t="shared" si="374"/>
        <v>-137.81177772634089</v>
      </c>
      <c r="EK61" s="177">
        <f t="shared" si="374"/>
        <v>-126.75481142469108</v>
      </c>
      <c r="EL61" s="177">
        <f t="shared" si="374"/>
        <v>-116.58240242712557</v>
      </c>
      <c r="EM61" s="177">
        <f t="shared" si="374"/>
        <v>-107.22378614940106</v>
      </c>
      <c r="EN61" s="177">
        <f t="shared" si="374"/>
        <v>-98.613859173882602</v>
      </c>
      <c r="EO61" s="177">
        <f t="shared" si="374"/>
        <v>-90.692726356465215</v>
      </c>
      <c r="EP61" s="177">
        <f t="shared" si="374"/>
        <v>-83.405284164476981</v>
      </c>
      <c r="EQ61" s="177">
        <f t="shared" si="374"/>
        <v>-76.700837347883578</v>
      </c>
      <c r="ER61" s="177">
        <f t="shared" si="374"/>
        <v>-70.532746276635521</v>
      </c>
      <c r="ES61" s="177">
        <f t="shared" si="374"/>
        <v>-64.858102491129031</v>
      </c>
      <c r="ET61" s="177">
        <f t="shared" si="374"/>
        <v>-59.637430208403458</v>
      </c>
      <c r="EU61" s="177">
        <f t="shared" si="374"/>
        <v>-54.834411708343616</v>
      </c>
      <c r="EV61" s="177">
        <f t="shared" si="374"/>
        <v>-50.415634688217033</v>
      </c>
      <c r="EW61" s="177">
        <f t="shared" si="374"/>
        <v>-46.350359829742303</v>
      </c>
      <c r="EX61" s="177">
        <f t="shared" si="374"/>
        <v>-42.610306959975354</v>
      </c>
      <c r="EY61" s="177">
        <f t="shared" si="374"/>
        <v>-39.169458319771877</v>
      </c>
      <c r="EZ61" s="177">
        <f t="shared" si="374"/>
        <v>-36.003877570856204</v>
      </c>
      <c r="FA61" s="177">
        <f t="shared" si="374"/>
        <v>-33.091543281901473</v>
      </c>
      <c r="FB61" s="177">
        <f t="shared" si="374"/>
        <v>-30.41219573609888</v>
      </c>
      <c r="FC61" s="177">
        <f t="shared" si="374"/>
        <v>-27.947195993888968</v>
      </c>
      <c r="FD61" s="177">
        <f t="shared" si="374"/>
        <v>-25.679396231103532</v>
      </c>
      <c r="FE61" s="177">
        <f t="shared" si="374"/>
        <v>-23.593020449358814</v>
      </c>
      <c r="FF61" s="177">
        <f t="shared" si="374"/>
        <v>-21.673554730195395</v>
      </c>
      <c r="FG61" s="177">
        <f t="shared" si="374"/>
        <v>-19.907646268535249</v>
      </c>
      <c r="FH61" s="177">
        <f t="shared" si="374"/>
        <v>-18.283010483760229</v>
      </c>
      <c r="FI61" s="177">
        <f t="shared" si="374"/>
        <v>-16.788345561701647</v>
      </c>
      <c r="FJ61" s="177">
        <f t="shared" si="374"/>
        <v>-15.413253833431593</v>
      </c>
      <c r="FK61" s="177">
        <f t="shared" si="374"/>
        <v>-14.148169443387381</v>
      </c>
      <c r="FL61" s="177">
        <f t="shared" si="374"/>
        <v>-12.984291804510942</v>
      </c>
      <c r="FM61" s="177">
        <f t="shared" si="374"/>
        <v>-11.913524376679053</v>
      </c>
      <c r="FN61" s="177">
        <f t="shared" si="374"/>
        <v>-10.928418343145241</v>
      </c>
      <c r="FO61" s="177">
        <f t="shared" si="374"/>
        <v>-10.022120792347778</v>
      </c>
      <c r="FP61" s="177">
        <f t="shared" si="374"/>
        <v>-9.1883270456677568</v>
      </c>
      <c r="FQ61" s="177">
        <f t="shared" si="374"/>
        <v>-8.421236798692334</v>
      </c>
      <c r="FR61" s="177">
        <f t="shared" si="374"/>
        <v>-7.7155137714034199</v>
      </c>
      <c r="FS61" s="177">
        <f t="shared" si="374"/>
        <v>-7.0662485862558961</v>
      </c>
      <c r="FT61" s="177">
        <f t="shared" si="374"/>
        <v>-6.4689246159082536</v>
      </c>
      <c r="FU61" s="177">
        <f t="shared" si="374"/>
        <v>-5.9193865632301454</v>
      </c>
      <c r="FV61" s="177">
        <f t="shared" si="374"/>
        <v>-5.4138115548378112</v>
      </c>
      <c r="FW61" s="177">
        <f t="shared" si="374"/>
        <v>-4.9486825471407059</v>
      </c>
      <c r="FX61" s="177">
        <f t="shared" si="374"/>
        <v>-4.5207638601249336</v>
      </c>
      <c r="FY61" s="177">
        <f t="shared" si="374"/>
        <v>-4.1270786681061864</v>
      </c>
      <c r="FZ61" s="177">
        <f t="shared" si="374"/>
        <v>-3.7648882914370181</v>
      </c>
      <c r="GA61" s="177">
        <f t="shared" si="374"/>
        <v>-3.4316731449252251</v>
      </c>
      <c r="GB61" s="177">
        <f t="shared" si="374"/>
        <v>-3.1251152101939801</v>
      </c>
      <c r="GC61" s="177">
        <f t="shared" si="374"/>
        <v>-2.8430819102412346</v>
      </c>
      <c r="GD61" s="177">
        <f t="shared" si="374"/>
        <v>-2.5836112742906692</v>
      </c>
      <c r="GE61" s="177">
        <f t="shared" si="374"/>
        <v>-2.3448982892221095</v>
      </c>
      <c r="GF61" s="177">
        <f t="shared" si="374"/>
        <v>-2.1252823429590348</v>
      </c>
      <c r="GG61" s="177">
        <f t="shared" si="374"/>
        <v>-1.9232356723433617</v>
      </c>
      <c r="GH61" s="177">
        <f t="shared" si="374"/>
        <v>-1.7373527353292588</v>
      </c>
      <c r="GI61" s="177">
        <f t="shared" si="374"/>
        <v>-1.5663404332882052</v>
      </c>
      <c r="GJ61" s="177">
        <f t="shared" si="374"/>
        <v>-1.4090091154760007</v>
      </c>
      <c r="GK61" s="177">
        <f t="shared" si="374"/>
        <v>-1.2642643030768519</v>
      </c>
      <c r="GL61" s="177">
        <f t="shared" si="374"/>
        <v>-1.1310990756040697</v>
      </c>
      <c r="GM61" s="177">
        <f t="shared" si="374"/>
        <v>-1.0085870663112289</v>
      </c>
      <c r="GN61" s="177">
        <f t="shared" si="374"/>
        <v>-0.89587601773797332</v>
      </c>
      <c r="GO61" s="177">
        <f t="shared" si="374"/>
        <v>-0.79218185298501309</v>
      </c>
      <c r="GP61" s="177">
        <f t="shared" ref="GP61:HA61" si="375">+GO61+GP59</f>
        <v>-0.69678322144209204</v>
      </c>
      <c r="GQ61" s="177">
        <f t="shared" si="375"/>
        <v>-0.60901648037492095</v>
      </c>
      <c r="GR61" s="177">
        <f t="shared" si="375"/>
        <v>-0.52827107854543986</v>
      </c>
      <c r="GS61" s="177">
        <f t="shared" si="375"/>
        <v>-0.45398530893384281</v>
      </c>
      <c r="GT61" s="177">
        <f t="shared" si="375"/>
        <v>-0.38564240090905488</v>
      </c>
      <c r="GU61" s="177">
        <f t="shared" si="375"/>
        <v>-0.32276692547260583</v>
      </c>
      <c r="GV61" s="177">
        <f t="shared" si="375"/>
        <v>-0.26492148809491456</v>
      </c>
      <c r="GW61" s="177">
        <f t="shared" si="375"/>
        <v>-0.21170368574916185</v>
      </c>
      <c r="GX61" s="177">
        <f t="shared" si="375"/>
        <v>-0.16274330757914843</v>
      </c>
      <c r="GY61" s="177">
        <f t="shared" si="375"/>
        <v>-0.11769975968061747</v>
      </c>
      <c r="GZ61" s="177">
        <f t="shared" si="375"/>
        <v>-7.6259695667613162E-2</v>
      </c>
      <c r="HA61" s="177">
        <f t="shared" si="375"/>
        <v>-3.8134836781609664E-2</v>
      </c>
    </row>
    <row r="63" spans="2:210" x14ac:dyDescent="0.2">
      <c r="B63" s="105" t="s">
        <v>152</v>
      </c>
      <c r="D63" s="180">
        <v>0.3</v>
      </c>
      <c r="E63" s="282">
        <f>+D63</f>
        <v>0.3</v>
      </c>
      <c r="F63" s="282">
        <f t="shared" ref="F63:J63" si="376">+E63</f>
        <v>0.3</v>
      </c>
      <c r="G63" s="282">
        <f t="shared" si="376"/>
        <v>0.3</v>
      </c>
      <c r="H63" s="282">
        <f t="shared" si="376"/>
        <v>0.3</v>
      </c>
      <c r="I63" s="282">
        <f t="shared" si="376"/>
        <v>0.3</v>
      </c>
      <c r="J63" s="282">
        <f t="shared" si="376"/>
        <v>0.3</v>
      </c>
      <c r="K63" s="180">
        <f t="shared" ref="K63:BK63" si="377">+J63</f>
        <v>0.3</v>
      </c>
      <c r="L63" s="180">
        <f t="shared" si="377"/>
        <v>0.3</v>
      </c>
      <c r="M63" s="180">
        <f t="shared" si="377"/>
        <v>0.3</v>
      </c>
      <c r="N63" s="180">
        <f t="shared" si="377"/>
        <v>0.3</v>
      </c>
      <c r="O63" s="180">
        <f t="shared" si="377"/>
        <v>0.3</v>
      </c>
      <c r="P63" s="180">
        <f t="shared" si="377"/>
        <v>0.3</v>
      </c>
      <c r="Q63" s="180">
        <f t="shared" si="377"/>
        <v>0.3</v>
      </c>
      <c r="R63" s="180">
        <f t="shared" si="377"/>
        <v>0.3</v>
      </c>
      <c r="S63" s="180">
        <f t="shared" si="377"/>
        <v>0.3</v>
      </c>
      <c r="T63" s="180">
        <f t="shared" si="377"/>
        <v>0.3</v>
      </c>
      <c r="U63" s="180">
        <f t="shared" si="377"/>
        <v>0.3</v>
      </c>
      <c r="V63" s="180">
        <f t="shared" si="377"/>
        <v>0.3</v>
      </c>
      <c r="W63" s="180">
        <f t="shared" si="377"/>
        <v>0.3</v>
      </c>
      <c r="X63" s="180">
        <f t="shared" si="377"/>
        <v>0.3</v>
      </c>
      <c r="Y63" s="180">
        <f t="shared" si="377"/>
        <v>0.3</v>
      </c>
      <c r="Z63" s="180">
        <f t="shared" si="377"/>
        <v>0.3</v>
      </c>
      <c r="AA63" s="180">
        <f t="shared" si="377"/>
        <v>0.3</v>
      </c>
      <c r="AB63" s="180">
        <f t="shared" si="377"/>
        <v>0.3</v>
      </c>
      <c r="AC63" s="180">
        <f t="shared" si="377"/>
        <v>0.3</v>
      </c>
      <c r="AD63" s="180">
        <f t="shared" si="377"/>
        <v>0.3</v>
      </c>
      <c r="AE63" s="180">
        <f t="shared" si="377"/>
        <v>0.3</v>
      </c>
      <c r="AF63" s="180">
        <f t="shared" si="377"/>
        <v>0.3</v>
      </c>
      <c r="AG63" s="180">
        <f t="shared" si="377"/>
        <v>0.3</v>
      </c>
      <c r="AH63" s="180">
        <f t="shared" si="377"/>
        <v>0.3</v>
      </c>
      <c r="AI63" s="180">
        <f t="shared" si="377"/>
        <v>0.3</v>
      </c>
      <c r="AJ63" s="180">
        <f t="shared" si="377"/>
        <v>0.3</v>
      </c>
      <c r="AK63" s="180">
        <f t="shared" si="377"/>
        <v>0.3</v>
      </c>
      <c r="AL63" s="180">
        <f t="shared" si="377"/>
        <v>0.3</v>
      </c>
      <c r="AM63" s="180">
        <f t="shared" si="377"/>
        <v>0.3</v>
      </c>
      <c r="AN63" s="180">
        <f t="shared" si="377"/>
        <v>0.3</v>
      </c>
      <c r="AO63" s="180">
        <f t="shared" si="377"/>
        <v>0.3</v>
      </c>
      <c r="AP63" s="180">
        <f t="shared" si="377"/>
        <v>0.3</v>
      </c>
      <c r="AQ63" s="180">
        <f t="shared" si="377"/>
        <v>0.3</v>
      </c>
      <c r="AR63" s="180">
        <f t="shared" si="377"/>
        <v>0.3</v>
      </c>
      <c r="AS63" s="180">
        <f t="shared" si="377"/>
        <v>0.3</v>
      </c>
      <c r="AT63" s="180">
        <f t="shared" si="377"/>
        <v>0.3</v>
      </c>
      <c r="AU63" s="180">
        <f t="shared" si="377"/>
        <v>0.3</v>
      </c>
      <c r="AV63" s="180">
        <f t="shared" si="377"/>
        <v>0.3</v>
      </c>
      <c r="AW63" s="180">
        <f t="shared" si="377"/>
        <v>0.3</v>
      </c>
      <c r="AX63" s="180">
        <f t="shared" si="377"/>
        <v>0.3</v>
      </c>
      <c r="AY63" s="180">
        <f t="shared" si="377"/>
        <v>0.3</v>
      </c>
      <c r="AZ63" s="180">
        <f t="shared" si="377"/>
        <v>0.3</v>
      </c>
      <c r="BA63" s="180">
        <f t="shared" si="377"/>
        <v>0.3</v>
      </c>
      <c r="BB63" s="180">
        <f t="shared" si="377"/>
        <v>0.3</v>
      </c>
      <c r="BC63" s="180">
        <f t="shared" si="377"/>
        <v>0.3</v>
      </c>
      <c r="BD63" s="180">
        <f t="shared" si="377"/>
        <v>0.3</v>
      </c>
      <c r="BE63" s="180">
        <f t="shared" si="377"/>
        <v>0.3</v>
      </c>
      <c r="BF63" s="180">
        <f t="shared" si="377"/>
        <v>0.3</v>
      </c>
      <c r="BG63" s="180">
        <f t="shared" si="377"/>
        <v>0.3</v>
      </c>
      <c r="BH63" s="180">
        <f t="shared" si="377"/>
        <v>0.3</v>
      </c>
      <c r="BI63" s="180">
        <f t="shared" si="377"/>
        <v>0.3</v>
      </c>
      <c r="BJ63" s="180">
        <f t="shared" si="377"/>
        <v>0.3</v>
      </c>
      <c r="BK63" s="180">
        <f t="shared" si="377"/>
        <v>0.3</v>
      </c>
      <c r="BL63" s="180">
        <v>0.31</v>
      </c>
      <c r="BM63" s="180">
        <v>0.31</v>
      </c>
      <c r="BN63" s="180">
        <v>0.31</v>
      </c>
      <c r="BO63" s="180">
        <v>0.31</v>
      </c>
      <c r="BP63" s="180">
        <v>0.31</v>
      </c>
      <c r="BQ63" s="180">
        <v>0.31</v>
      </c>
      <c r="BR63" s="180">
        <v>0.31</v>
      </c>
      <c r="BS63" s="180">
        <v>0.31</v>
      </c>
      <c r="BT63" s="180">
        <v>0.31</v>
      </c>
      <c r="BU63" s="180">
        <v>0.31</v>
      </c>
      <c r="BV63" s="180">
        <v>0.31</v>
      </c>
      <c r="BW63" s="180">
        <v>0.31</v>
      </c>
      <c r="BX63" s="180">
        <v>0.31</v>
      </c>
      <c r="BY63" s="180">
        <v>0.31</v>
      </c>
      <c r="BZ63" s="180">
        <v>0.31</v>
      </c>
      <c r="CA63" s="180">
        <v>0.31</v>
      </c>
      <c r="CB63" s="180">
        <v>0.31</v>
      </c>
      <c r="CC63" s="180">
        <v>0.31</v>
      </c>
      <c r="CD63" s="180">
        <v>0.31</v>
      </c>
      <c r="CE63" s="180">
        <v>0.31</v>
      </c>
      <c r="CF63" s="180">
        <v>0.31</v>
      </c>
      <c r="CG63" s="180">
        <v>0.31</v>
      </c>
      <c r="CH63" s="180">
        <v>0.31</v>
      </c>
      <c r="CI63" s="180">
        <v>0.31</v>
      </c>
      <c r="CJ63" s="180">
        <v>0.31</v>
      </c>
      <c r="CK63" s="180">
        <v>0.31</v>
      </c>
      <c r="CL63" s="180">
        <v>0.31</v>
      </c>
      <c r="CM63" s="180">
        <v>0.31</v>
      </c>
      <c r="CN63" s="180">
        <v>0.31</v>
      </c>
      <c r="CO63" s="180">
        <v>0.31</v>
      </c>
      <c r="CP63" s="180">
        <v>0.31</v>
      </c>
      <c r="CQ63" s="180">
        <v>0.31</v>
      </c>
      <c r="CR63" s="180">
        <v>0.31</v>
      </c>
      <c r="CS63" s="180">
        <v>0.31</v>
      </c>
      <c r="CT63" s="180">
        <v>0.31</v>
      </c>
      <c r="CU63" s="180">
        <v>0.31</v>
      </c>
      <c r="CV63" s="180">
        <v>0.31</v>
      </c>
      <c r="CW63" s="180">
        <v>0.31</v>
      </c>
      <c r="CX63" s="180">
        <v>0.31</v>
      </c>
      <c r="CY63" s="180">
        <v>0.31</v>
      </c>
      <c r="CZ63" s="180">
        <v>0.31</v>
      </c>
      <c r="DA63" s="180">
        <v>0.31</v>
      </c>
      <c r="DB63" s="180">
        <v>0.31</v>
      </c>
      <c r="DC63" s="180">
        <v>0.31</v>
      </c>
      <c r="DD63" s="180">
        <v>0.31</v>
      </c>
      <c r="DE63" s="180">
        <v>0.31</v>
      </c>
      <c r="DF63" s="180">
        <v>0.31</v>
      </c>
      <c r="DG63" s="180">
        <v>0.31</v>
      </c>
      <c r="DH63" s="180">
        <v>0.31</v>
      </c>
      <c r="DI63" s="180">
        <v>0.31</v>
      </c>
      <c r="DJ63" s="180">
        <v>0.31</v>
      </c>
      <c r="DK63" s="180">
        <v>0.31</v>
      </c>
      <c r="DL63" s="180">
        <v>0.31</v>
      </c>
      <c r="DM63" s="180">
        <v>0.31</v>
      </c>
      <c r="DN63" s="180">
        <v>0.31</v>
      </c>
      <c r="DO63" s="180">
        <v>0.31</v>
      </c>
      <c r="DP63" s="180">
        <v>0.31</v>
      </c>
      <c r="DQ63" s="180">
        <v>0.31</v>
      </c>
      <c r="DR63" s="180">
        <v>0.31</v>
      </c>
      <c r="DS63" s="180">
        <v>0.31</v>
      </c>
      <c r="DT63" s="180">
        <v>0.31</v>
      </c>
      <c r="DU63" s="180">
        <v>0.31</v>
      </c>
      <c r="DV63" s="180">
        <v>0.31</v>
      </c>
      <c r="DW63" s="180">
        <v>0.31</v>
      </c>
      <c r="DX63" s="180">
        <v>0.31</v>
      </c>
      <c r="DY63" s="180">
        <v>0.31</v>
      </c>
      <c r="DZ63" s="180">
        <v>0.31</v>
      </c>
      <c r="EA63" s="180">
        <v>0.31</v>
      </c>
      <c r="EB63" s="180">
        <v>0.31</v>
      </c>
      <c r="EC63" s="180">
        <v>0.31</v>
      </c>
      <c r="ED63" s="180">
        <v>0.31</v>
      </c>
      <c r="EE63" s="180">
        <v>0.31</v>
      </c>
      <c r="EF63" s="180">
        <v>0.31</v>
      </c>
      <c r="EG63" s="180">
        <v>0.31</v>
      </c>
      <c r="EH63" s="180">
        <v>0.31</v>
      </c>
      <c r="EI63" s="180">
        <v>0.31</v>
      </c>
      <c r="EJ63" s="180">
        <v>0.31</v>
      </c>
      <c r="EK63" s="180">
        <v>0.31</v>
      </c>
      <c r="EL63" s="180">
        <v>0.31</v>
      </c>
      <c r="EM63" s="180">
        <v>0.31</v>
      </c>
      <c r="EN63" s="180">
        <v>0.31</v>
      </c>
      <c r="EO63" s="180">
        <v>0.31</v>
      </c>
      <c r="EP63" s="180">
        <v>0.31</v>
      </c>
      <c r="EQ63" s="180">
        <v>0.31</v>
      </c>
      <c r="ER63" s="180">
        <v>0.31</v>
      </c>
      <c r="ES63" s="180">
        <v>0.31</v>
      </c>
      <c r="ET63" s="180">
        <v>0.31</v>
      </c>
      <c r="EU63" s="180">
        <v>0.31</v>
      </c>
      <c r="EV63" s="180">
        <v>0.31</v>
      </c>
      <c r="EW63" s="180">
        <v>0.31</v>
      </c>
      <c r="EX63" s="180">
        <v>0.31</v>
      </c>
      <c r="EY63" s="180">
        <v>0.31</v>
      </c>
      <c r="EZ63" s="180">
        <v>0.31</v>
      </c>
      <c r="FA63" s="180">
        <v>0.31</v>
      </c>
      <c r="FB63" s="180">
        <v>0.31</v>
      </c>
      <c r="FC63" s="180">
        <v>0.31</v>
      </c>
      <c r="FD63" s="180">
        <v>0.31</v>
      </c>
      <c r="FE63" s="180">
        <v>0.31</v>
      </c>
      <c r="FF63" s="180">
        <v>0.31</v>
      </c>
      <c r="FG63" s="180">
        <v>0.31</v>
      </c>
      <c r="FH63" s="180">
        <v>0.31</v>
      </c>
      <c r="FI63" s="180">
        <v>0.31</v>
      </c>
      <c r="FJ63" s="180">
        <v>0.31</v>
      </c>
      <c r="FK63" s="180">
        <v>0.31</v>
      </c>
      <c r="FL63" s="180">
        <v>0.31</v>
      </c>
      <c r="FM63" s="180">
        <v>0.31</v>
      </c>
      <c r="FN63" s="180">
        <v>0.31</v>
      </c>
      <c r="FO63" s="180">
        <v>0.31</v>
      </c>
      <c r="FP63" s="180">
        <v>0.31</v>
      </c>
      <c r="FQ63" s="180">
        <v>0.31</v>
      </c>
      <c r="FR63" s="180">
        <v>0.31</v>
      </c>
      <c r="FS63" s="180">
        <v>0.31</v>
      </c>
      <c r="FT63" s="180">
        <v>0.31</v>
      </c>
      <c r="FU63" s="180">
        <v>0.31</v>
      </c>
      <c r="FV63" s="180">
        <v>0.31</v>
      </c>
      <c r="FW63" s="180">
        <v>0.31</v>
      </c>
      <c r="FX63" s="180">
        <v>0.31</v>
      </c>
      <c r="FY63" s="180">
        <v>0.31</v>
      </c>
      <c r="FZ63" s="180">
        <v>0.31</v>
      </c>
      <c r="GA63" s="180">
        <v>0.31</v>
      </c>
      <c r="GB63" s="180">
        <v>0.31</v>
      </c>
      <c r="GC63" s="180">
        <v>0.31</v>
      </c>
      <c r="GD63" s="180">
        <v>0.31</v>
      </c>
      <c r="GE63" s="180">
        <v>0.31</v>
      </c>
      <c r="GF63" s="180">
        <v>0.31</v>
      </c>
      <c r="GG63" s="180">
        <v>0.31</v>
      </c>
      <c r="GH63" s="180">
        <v>0.31</v>
      </c>
      <c r="GI63" s="180">
        <v>0.31</v>
      </c>
      <c r="GJ63" s="180">
        <v>0.31</v>
      </c>
      <c r="GK63" s="180">
        <v>0.31</v>
      </c>
      <c r="GL63" s="180">
        <v>0.31</v>
      </c>
      <c r="GM63" s="180">
        <v>0.31</v>
      </c>
      <c r="GN63" s="180">
        <v>0.31</v>
      </c>
      <c r="GO63" s="180">
        <v>0.31</v>
      </c>
      <c r="GP63" s="180">
        <v>0.31</v>
      </c>
      <c r="GQ63" s="180">
        <v>0.31</v>
      </c>
      <c r="GR63" s="180">
        <v>0.31</v>
      </c>
      <c r="GS63" s="180">
        <v>0.31</v>
      </c>
      <c r="GT63" s="180">
        <v>0.31</v>
      </c>
      <c r="GU63" s="180">
        <v>0.31</v>
      </c>
      <c r="GV63" s="180">
        <v>0.31</v>
      </c>
      <c r="GW63" s="180">
        <v>0.31</v>
      </c>
      <c r="GX63" s="180">
        <v>0.31</v>
      </c>
      <c r="GY63" s="180">
        <v>0.31</v>
      </c>
      <c r="GZ63" s="180">
        <v>0.31</v>
      </c>
      <c r="HA63" s="180">
        <v>0.31</v>
      </c>
    </row>
    <row r="65" spans="1:209" x14ac:dyDescent="0.2">
      <c r="B65" s="105" t="s">
        <v>153</v>
      </c>
      <c r="D65" s="178">
        <f>+D61*D63</f>
        <v>1689818.6865687673</v>
      </c>
      <c r="E65" s="178">
        <f t="shared" ref="E65:K65" si="378">+E61*E63</f>
        <v>1852990.1241429646</v>
      </c>
      <c r="F65" s="178">
        <f t="shared" si="378"/>
        <v>1990934.9556252777</v>
      </c>
      <c r="G65" s="178">
        <f t="shared" si="378"/>
        <v>2074924.0489584713</v>
      </c>
      <c r="H65" s="178">
        <f t="shared" si="378"/>
        <v>2140021.1237390609</v>
      </c>
      <c r="I65" s="178">
        <f t="shared" si="378"/>
        <v>2187737.5414512553</v>
      </c>
      <c r="J65" s="178">
        <f t="shared" si="378"/>
        <v>2219463.7546605263</v>
      </c>
      <c r="K65" s="178">
        <f t="shared" si="378"/>
        <v>2236478.9797271066</v>
      </c>
      <c r="L65" s="178">
        <f t="shared" ref="L65" si="379">+L61*L63</f>
        <v>2239960.0957024125</v>
      </c>
      <c r="M65" s="178">
        <f t="shared" ref="M65:S65" si="380">+M61*M63</f>
        <v>2230989.8313137461</v>
      </c>
      <c r="N65" s="178">
        <f t="shared" si="380"/>
        <v>2210564.2969902242</v>
      </c>
      <c r="O65" s="178">
        <f t="shared" si="380"/>
        <v>2179599.9143266361</v>
      </c>
      <c r="P65" s="178">
        <f t="shared" si="380"/>
        <v>2138939.7911901865</v>
      </c>
      <c r="Q65" s="178">
        <f t="shared" si="380"/>
        <v>2089359.5868187048</v>
      </c>
      <c r="R65" s="178">
        <f t="shared" si="380"/>
        <v>2031572.9077109932</v>
      </c>
      <c r="S65" s="178">
        <f t="shared" si="380"/>
        <v>1966236.2718459505</v>
      </c>
      <c r="T65" s="178">
        <f t="shared" ref="T65:AN65" si="381">+T61*T63</f>
        <v>1893953.6757641628</v>
      </c>
      <c r="U65" s="178">
        <f t="shared" si="381"/>
        <v>1815280.7962829701</v>
      </c>
      <c r="V65" s="178">
        <f t="shared" si="381"/>
        <v>1730728.8560743246</v>
      </c>
      <c r="W65" s="178">
        <f t="shared" si="381"/>
        <v>1640768.1799964223</v>
      </c>
      <c r="X65" s="178">
        <f t="shared" si="381"/>
        <v>1545831.466918804</v>
      </c>
      <c r="Y65" s="178">
        <f t="shared" si="381"/>
        <v>1446316.7998014467</v>
      </c>
      <c r="Z65" s="178">
        <f t="shared" si="381"/>
        <v>1342590.4149675299</v>
      </c>
      <c r="AA65" s="178">
        <f t="shared" si="381"/>
        <v>1234989.2498343782</v>
      </c>
      <c r="AB65" s="178">
        <f t="shared" si="381"/>
        <v>1123823.2868259305</v>
      </c>
      <c r="AC65" s="178">
        <f t="shared" si="381"/>
        <v>1009377.7097722103</v>
      </c>
      <c r="AD65" s="178">
        <f t="shared" si="381"/>
        <v>891914.88779683947</v>
      </c>
      <c r="AE65" s="178">
        <f t="shared" si="381"/>
        <v>771676.20049355004</v>
      </c>
      <c r="AF65" s="178">
        <f t="shared" si="381"/>
        <v>648883.71708857559</v>
      </c>
      <c r="AG65" s="178">
        <f t="shared" si="381"/>
        <v>523741.74127005076</v>
      </c>
      <c r="AH65" s="178">
        <f t="shared" si="381"/>
        <v>396438.23243105965</v>
      </c>
      <c r="AI65" s="178">
        <f t="shared" si="381"/>
        <v>267146.11321323965</v>
      </c>
      <c r="AJ65" s="178">
        <f t="shared" si="381"/>
        <v>136024.47244689695</v>
      </c>
      <c r="AK65" s="178">
        <f t="shared" si="381"/>
        <v>3219.6718559134574</v>
      </c>
      <c r="AL65" s="178">
        <f t="shared" si="381"/>
        <v>-131133.63577373963</v>
      </c>
      <c r="AM65" s="178">
        <f t="shared" si="381"/>
        <v>-188406.73130461556</v>
      </c>
      <c r="AN65" s="178">
        <f t="shared" si="381"/>
        <v>-173334.1831930214</v>
      </c>
      <c r="AO65" s="178">
        <f t="shared" ref="AO65:AS65" si="382">+AO61*AO63</f>
        <v>-159467.43893035475</v>
      </c>
      <c r="AP65" s="178">
        <f t="shared" si="382"/>
        <v>-146710.03420870146</v>
      </c>
      <c r="AQ65" s="178">
        <f t="shared" si="382"/>
        <v>-134973.22186478044</v>
      </c>
      <c r="AR65" s="178">
        <f t="shared" si="382"/>
        <v>-124175.35450837306</v>
      </c>
      <c r="AS65" s="178">
        <f t="shared" si="382"/>
        <v>-114241.31654047829</v>
      </c>
      <c r="AT65" s="178">
        <f t="shared" ref="AT65:BC65" si="383">+AT61*AT63</f>
        <v>-105102.00161001511</v>
      </c>
      <c r="AU65" s="178">
        <f t="shared" si="383"/>
        <v>-96693.83187398898</v>
      </c>
      <c r="AV65" s="178">
        <f t="shared" si="383"/>
        <v>-88958.315716844925</v>
      </c>
      <c r="AW65" s="178">
        <f t="shared" si="383"/>
        <v>-81841.640852272438</v>
      </c>
      <c r="AX65" s="178">
        <f t="shared" si="383"/>
        <v>-75294.299976865746</v>
      </c>
      <c r="AY65" s="178">
        <f t="shared" si="383"/>
        <v>-69270.746371491565</v>
      </c>
      <c r="AZ65" s="178">
        <f t="shared" si="383"/>
        <v>-63729.077054547313</v>
      </c>
      <c r="BA65" s="178">
        <f t="shared" si="383"/>
        <v>-58630.741282958617</v>
      </c>
      <c r="BB65" s="178">
        <f t="shared" si="383"/>
        <v>-53940.27237309701</v>
      </c>
      <c r="BC65" s="178">
        <f t="shared" si="383"/>
        <v>-49625.040976024327</v>
      </c>
      <c r="BD65" s="178">
        <f t="shared" ref="BD65:DM65" si="384">+BD61*BD63</f>
        <v>-45655.028090717453</v>
      </c>
      <c r="BE65" s="178">
        <f t="shared" si="384"/>
        <v>-42002.616236235139</v>
      </c>
      <c r="BF65" s="178">
        <f t="shared" si="384"/>
        <v>-38642.397330111424</v>
      </c>
      <c r="BG65" s="178">
        <f t="shared" si="384"/>
        <v>-35550.995936477622</v>
      </c>
      <c r="BH65" s="178">
        <f t="shared" si="384"/>
        <v>-32706.906654334525</v>
      </c>
      <c r="BI65" s="178">
        <f t="shared" si="384"/>
        <v>-30090.344514762888</v>
      </c>
      <c r="BJ65" s="178">
        <f t="shared" si="384"/>
        <v>-27683.107346356966</v>
      </c>
      <c r="BK65" s="178">
        <f t="shared" si="384"/>
        <v>-25468.449151423509</v>
      </c>
      <c r="BL65" s="178">
        <f t="shared" si="384"/>
        <v>-24211.99573248755</v>
      </c>
      <c r="BM65" s="178">
        <f t="shared" si="384"/>
        <v>-22275.02614642281</v>
      </c>
      <c r="BN65" s="178">
        <f t="shared" si="384"/>
        <v>-20493.014127243237</v>
      </c>
      <c r="BO65" s="178">
        <f t="shared" si="384"/>
        <v>-18853.563069598025</v>
      </c>
      <c r="BP65" s="178">
        <f t="shared" si="384"/>
        <v>-17345.268096564443</v>
      </c>
      <c r="BQ65" s="178">
        <f t="shared" si="384"/>
        <v>-15957.636721373552</v>
      </c>
      <c r="BR65" s="178">
        <f t="shared" si="384"/>
        <v>-14681.015856197908</v>
      </c>
      <c r="BS65" s="178">
        <f t="shared" si="384"/>
        <v>-13506.524660236302</v>
      </c>
      <c r="BT65" s="178">
        <f t="shared" si="384"/>
        <v>-12425.992759951625</v>
      </c>
      <c r="BU65" s="178">
        <f t="shared" si="384"/>
        <v>-11431.903411689706</v>
      </c>
      <c r="BV65" s="178">
        <f t="shared" si="384"/>
        <v>-10517.341211288751</v>
      </c>
      <c r="BW65" s="178">
        <f t="shared" si="384"/>
        <v>-9675.9439869198668</v>
      </c>
      <c r="BX65" s="178">
        <f t="shared" si="384"/>
        <v>-8901.858540500516</v>
      </c>
      <c r="BY65" s="178">
        <f t="shared" si="384"/>
        <v>-8189.699929794695</v>
      </c>
      <c r="BZ65" s="178">
        <f t="shared" si="384"/>
        <v>-7534.5140079453331</v>
      </c>
      <c r="CA65" s="178">
        <f t="shared" si="384"/>
        <v>-6931.7429598439157</v>
      </c>
      <c r="CB65" s="178">
        <f t="shared" si="384"/>
        <v>-6377.1935955905928</v>
      </c>
      <c r="CC65" s="178">
        <f t="shared" si="384"/>
        <v>-5867.0081804775191</v>
      </c>
      <c r="CD65" s="178">
        <f t="shared" si="384"/>
        <v>-5397.6375985734812</v>
      </c>
      <c r="CE65" s="178">
        <f t="shared" si="384"/>
        <v>-4965.8166632217562</v>
      </c>
      <c r="CF65" s="178">
        <f t="shared" si="384"/>
        <v>-4568.5414026981889</v>
      </c>
      <c r="CG65" s="178">
        <f t="shared" si="384"/>
        <v>-4203.0481630165041</v>
      </c>
      <c r="CH65" s="178">
        <f t="shared" si="384"/>
        <v>-3866.7943825093689</v>
      </c>
      <c r="CI65" s="178">
        <f t="shared" si="384"/>
        <v>-3557.4409044428244</v>
      </c>
      <c r="CJ65" s="178">
        <f t="shared" si="384"/>
        <v>-3272.8357046216056</v>
      </c>
      <c r="CK65" s="178">
        <f t="shared" si="384"/>
        <v>-3010.9989207860845</v>
      </c>
      <c r="CL65" s="178">
        <f t="shared" si="384"/>
        <v>-2770.1090796574176</v>
      </c>
      <c r="CM65" s="178">
        <f t="shared" si="384"/>
        <v>-2548.4904258190427</v>
      </c>
      <c r="CN65" s="178">
        <f t="shared" si="384"/>
        <v>-2344.6012642877527</v>
      </c>
      <c r="CO65" s="178">
        <f t="shared" si="384"/>
        <v>-2157.0232356789502</v>
      </c>
      <c r="CP65" s="178">
        <f t="shared" si="384"/>
        <v>-1984.4514493588454</v>
      </c>
      <c r="CQ65" s="178">
        <f t="shared" si="384"/>
        <v>-1825.6854059443299</v>
      </c>
      <c r="CR65" s="178">
        <f t="shared" si="384"/>
        <v>-1679.6206460029741</v>
      </c>
      <c r="CS65" s="178">
        <f t="shared" si="384"/>
        <v>-1545.2410668569139</v>
      </c>
      <c r="CT65" s="178">
        <f t="shared" si="384"/>
        <v>-1421.6118540425218</v>
      </c>
      <c r="CU65" s="178">
        <f t="shared" si="384"/>
        <v>-1307.8729782532773</v>
      </c>
      <c r="CV65" s="178">
        <f t="shared" si="384"/>
        <v>-1203.2332125271521</v>
      </c>
      <c r="CW65" s="178">
        <f t="shared" si="384"/>
        <v>-1106.9646280591389</v>
      </c>
      <c r="CX65" s="178">
        <f t="shared" si="384"/>
        <v>-1018.3975303485892</v>
      </c>
      <c r="CY65" s="178">
        <f t="shared" si="384"/>
        <v>-936.91580045490173</v>
      </c>
      <c r="CZ65" s="178">
        <f t="shared" si="384"/>
        <v>-861.95260895269269</v>
      </c>
      <c r="DA65" s="178">
        <f t="shared" si="384"/>
        <v>-792.98647277064379</v>
      </c>
      <c r="DB65" s="178">
        <f t="shared" si="384"/>
        <v>-729.53762748316421</v>
      </c>
      <c r="DC65" s="178">
        <f t="shared" si="384"/>
        <v>-671.16468981870162</v>
      </c>
      <c r="DD65" s="178">
        <f t="shared" si="384"/>
        <v>-617.46158716738114</v>
      </c>
      <c r="DE65" s="178">
        <f t="shared" si="384"/>
        <v>-568.05473272814788</v>
      </c>
      <c r="DF65" s="178">
        <f t="shared" si="384"/>
        <v>-522.60042664405148</v>
      </c>
      <c r="DG65" s="178">
        <f t="shared" si="384"/>
        <v>-480.7824650467013</v>
      </c>
      <c r="DH65" s="178">
        <f t="shared" si="384"/>
        <v>-442.3099403771464</v>
      </c>
      <c r="DI65" s="178">
        <f t="shared" si="384"/>
        <v>-406.91521768113563</v>
      </c>
      <c r="DJ65" s="178">
        <f t="shared" si="384"/>
        <v>-374.35207280079464</v>
      </c>
      <c r="DK65" s="178">
        <f t="shared" si="384"/>
        <v>-344.39397951086801</v>
      </c>
      <c r="DL65" s="178">
        <f t="shared" si="384"/>
        <v>-316.83253368411698</v>
      </c>
      <c r="DM65" s="178">
        <f t="shared" si="384"/>
        <v>-291.47600352348576</v>
      </c>
      <c r="DN65" s="178">
        <f t="shared" ref="DN65:FY65" si="385">+DN61*DN63</f>
        <v>-268.14799577572535</v>
      </c>
      <c r="DO65" s="178">
        <f t="shared" si="385"/>
        <v>-246.68622864779871</v>
      </c>
      <c r="DP65" s="178">
        <f t="shared" si="385"/>
        <v>-226.94140289008959</v>
      </c>
      <c r="DQ65" s="178">
        <f t="shared" si="385"/>
        <v>-208.77616319299531</v>
      </c>
      <c r="DR65" s="178">
        <f t="shared" si="385"/>
        <v>-192.06414267167042</v>
      </c>
      <c r="DS65" s="178">
        <f t="shared" si="385"/>
        <v>-176.68908379203123</v>
      </c>
      <c r="DT65" s="178">
        <f t="shared" si="385"/>
        <v>-162.54402962277422</v>
      </c>
      <c r="DU65" s="178">
        <f t="shared" si="385"/>
        <v>-149.53057978707443</v>
      </c>
      <c r="DV65" s="178">
        <f t="shared" si="385"/>
        <v>-137.55820593824723</v>
      </c>
      <c r="DW65" s="178">
        <f t="shared" si="385"/>
        <v>-126.54362199732252</v>
      </c>
      <c r="DX65" s="178">
        <f t="shared" si="385"/>
        <v>-116.41020477166809</v>
      </c>
      <c r="DY65" s="178">
        <f t="shared" si="385"/>
        <v>-107.08746092408634</v>
      </c>
      <c r="DZ65" s="178">
        <f t="shared" si="385"/>
        <v>-98.510536584331462</v>
      </c>
      <c r="EA65" s="178">
        <f t="shared" si="385"/>
        <v>-90.619766191742187</v>
      </c>
      <c r="EB65" s="178">
        <f t="shared" si="385"/>
        <v>-83.360257430550817</v>
      </c>
      <c r="EC65" s="178">
        <f t="shared" si="385"/>
        <v>-76.681509370260301</v>
      </c>
      <c r="ED65" s="178">
        <f t="shared" si="385"/>
        <v>-70.537061154772701</v>
      </c>
      <c r="EE65" s="178">
        <f t="shared" si="385"/>
        <v>-64.884168796535192</v>
      </c>
      <c r="EF65" s="178">
        <f t="shared" si="385"/>
        <v>-59.68350782695299</v>
      </c>
      <c r="EG65" s="178">
        <f t="shared" si="385"/>
        <v>-54.898899734935526</v>
      </c>
      <c r="EH65" s="178">
        <f t="shared" si="385"/>
        <v>-50.497060290260976</v>
      </c>
      <c r="EI65" s="178">
        <f t="shared" si="385"/>
        <v>-46.447368001160392</v>
      </c>
      <c r="EJ65" s="178">
        <f t="shared" si="385"/>
        <v>-42.721651095165676</v>
      </c>
      <c r="EK65" s="178">
        <f t="shared" si="385"/>
        <v>-39.293991541654236</v>
      </c>
      <c r="EL65" s="178">
        <f t="shared" si="385"/>
        <v>-36.140544752408928</v>
      </c>
      <c r="EM65" s="178">
        <f t="shared" si="385"/>
        <v>-33.239373706314332</v>
      </c>
      <c r="EN65" s="178">
        <f t="shared" si="385"/>
        <v>-30.570296343903607</v>
      </c>
      <c r="EO65" s="178">
        <f t="shared" si="385"/>
        <v>-28.114745170504218</v>
      </c>
      <c r="EP65" s="178">
        <f t="shared" si="385"/>
        <v>-25.855638090987863</v>
      </c>
      <c r="EQ65" s="178">
        <f t="shared" si="385"/>
        <v>-23.77725957784391</v>
      </c>
      <c r="ER65" s="178">
        <f t="shared" si="385"/>
        <v>-21.86515134575701</v>
      </c>
      <c r="ES65" s="178">
        <f t="shared" si="385"/>
        <v>-20.10601177225</v>
      </c>
      <c r="ET65" s="178">
        <f t="shared" si="385"/>
        <v>-18.487603364605071</v>
      </c>
      <c r="EU65" s="178">
        <f t="shared" si="385"/>
        <v>-16.998667629586521</v>
      </c>
      <c r="EV65" s="178">
        <f t="shared" si="385"/>
        <v>-15.628846753347281</v>
      </c>
      <c r="EW65" s="178">
        <f t="shared" si="385"/>
        <v>-14.368611547220114</v>
      </c>
      <c r="EX65" s="178">
        <f t="shared" si="385"/>
        <v>-13.20919515759236</v>
      </c>
      <c r="EY65" s="178">
        <f t="shared" si="385"/>
        <v>-12.142532079129282</v>
      </c>
      <c r="EZ65" s="178">
        <f t="shared" si="385"/>
        <v>-11.161202046965423</v>
      </c>
      <c r="FA65" s="178">
        <f t="shared" si="385"/>
        <v>-10.258378417389457</v>
      </c>
      <c r="FB65" s="178">
        <f t="shared" si="385"/>
        <v>-9.4277806781906524</v>
      </c>
      <c r="FC65" s="178">
        <f t="shared" si="385"/>
        <v>-8.6636307581055796</v>
      </c>
      <c r="FD65" s="178">
        <f t="shared" si="385"/>
        <v>-7.960612831642095</v>
      </c>
      <c r="FE65" s="178">
        <f t="shared" si="385"/>
        <v>-7.3138363393012327</v>
      </c>
      <c r="FF65" s="178">
        <f t="shared" si="385"/>
        <v>-6.718801966360572</v>
      </c>
      <c r="FG65" s="178">
        <f t="shared" si="385"/>
        <v>-6.1713703432459273</v>
      </c>
      <c r="FH65" s="178">
        <f t="shared" si="385"/>
        <v>-5.6677332499656714</v>
      </c>
      <c r="FI65" s="178">
        <f t="shared" si="385"/>
        <v>-5.2043871241275106</v>
      </c>
      <c r="FJ65" s="178">
        <f t="shared" si="385"/>
        <v>-4.778108688363794</v>
      </c>
      <c r="FK65" s="178">
        <f t="shared" si="385"/>
        <v>-4.3859325274500884</v>
      </c>
      <c r="FL65" s="178">
        <f t="shared" si="385"/>
        <v>-4.0251304593983921</v>
      </c>
      <c r="FM65" s="178">
        <f t="shared" si="385"/>
        <v>-3.6931925567705064</v>
      </c>
      <c r="FN65" s="178">
        <f t="shared" si="385"/>
        <v>-3.3878096863750247</v>
      </c>
      <c r="FO65" s="178">
        <f t="shared" si="385"/>
        <v>-3.1068574456278113</v>
      </c>
      <c r="FP65" s="178">
        <f t="shared" si="385"/>
        <v>-2.8483813841570047</v>
      </c>
      <c r="FQ65" s="178">
        <f t="shared" si="385"/>
        <v>-2.6105834075946235</v>
      </c>
      <c r="FR65" s="178">
        <f t="shared" si="385"/>
        <v>-2.3918092691350603</v>
      </c>
      <c r="FS65" s="178">
        <f t="shared" si="385"/>
        <v>-2.1905370617393278</v>
      </c>
      <c r="FT65" s="178">
        <f t="shared" si="385"/>
        <v>-2.0053666309315585</v>
      </c>
      <c r="FU65" s="178">
        <f t="shared" si="385"/>
        <v>-1.835009834601345</v>
      </c>
      <c r="FV65" s="178">
        <f t="shared" si="385"/>
        <v>-1.6782815819997214</v>
      </c>
      <c r="FW65" s="178">
        <f t="shared" si="385"/>
        <v>-1.5340915896136189</v>
      </c>
      <c r="FX65" s="178">
        <f t="shared" si="385"/>
        <v>-1.4014367966387293</v>
      </c>
      <c r="FY65" s="178">
        <f t="shared" si="385"/>
        <v>-1.2793943871129179</v>
      </c>
      <c r="FZ65" s="178">
        <f t="shared" ref="FZ65:HA65" si="386">+FZ61*FZ63</f>
        <v>-1.1671153703454755</v>
      </c>
      <c r="GA65" s="178">
        <f t="shared" si="386"/>
        <v>-1.0638186749268197</v>
      </c>
      <c r="GB65" s="178">
        <f t="shared" si="386"/>
        <v>-0.96878571516013379</v>
      </c>
      <c r="GC65" s="178">
        <f t="shared" si="386"/>
        <v>-0.88135539217478276</v>
      </c>
      <c r="GD65" s="178">
        <f t="shared" si="386"/>
        <v>-0.8009194950301074</v>
      </c>
      <c r="GE65" s="178">
        <f t="shared" si="386"/>
        <v>-0.72691846965885398</v>
      </c>
      <c r="GF65" s="178">
        <f t="shared" si="386"/>
        <v>-0.65883752631730075</v>
      </c>
      <c r="GG65" s="178">
        <f t="shared" si="386"/>
        <v>-0.59620305842644217</v>
      </c>
      <c r="GH65" s="178">
        <f t="shared" si="386"/>
        <v>-0.53857934795207019</v>
      </c>
      <c r="GI65" s="178">
        <f t="shared" si="386"/>
        <v>-0.48556553431934357</v>
      </c>
      <c r="GJ65" s="178">
        <f t="shared" si="386"/>
        <v>-0.43679282579756024</v>
      </c>
      <c r="GK65" s="178">
        <f t="shared" si="386"/>
        <v>-0.39192193395382408</v>
      </c>
      <c r="GL65" s="178">
        <f t="shared" si="386"/>
        <v>-0.35064071343726161</v>
      </c>
      <c r="GM65" s="178">
        <f t="shared" si="386"/>
        <v>-0.31266199055648092</v>
      </c>
      <c r="GN65" s="178">
        <f t="shared" si="386"/>
        <v>-0.27772156549877175</v>
      </c>
      <c r="GO65" s="178">
        <f t="shared" si="386"/>
        <v>-0.24557637442535404</v>
      </c>
      <c r="GP65" s="178">
        <f t="shared" si="386"/>
        <v>-0.21600279864704852</v>
      </c>
      <c r="GQ65" s="178">
        <f t="shared" si="386"/>
        <v>-0.1887951089162255</v>
      </c>
      <c r="GR65" s="178">
        <f t="shared" si="386"/>
        <v>-0.16376403434908635</v>
      </c>
      <c r="GS65" s="178">
        <f t="shared" si="386"/>
        <v>-0.14073544576949126</v>
      </c>
      <c r="GT65" s="178">
        <f t="shared" si="386"/>
        <v>-0.11954914428180702</v>
      </c>
      <c r="GU65" s="178">
        <f t="shared" si="386"/>
        <v>-0.1000577468965078</v>
      </c>
      <c r="GV65" s="178">
        <f t="shared" si="386"/>
        <v>-8.2125661309423517E-2</v>
      </c>
      <c r="GW65" s="178">
        <f t="shared" si="386"/>
        <v>-6.5628142582240173E-2</v>
      </c>
      <c r="GX65" s="178">
        <f t="shared" si="386"/>
        <v>-5.0450425349536011E-2</v>
      </c>
      <c r="GY65" s="178">
        <f t="shared" si="386"/>
        <v>-3.6486925500991411E-2</v>
      </c>
      <c r="GZ65" s="178">
        <f t="shared" si="386"/>
        <v>-2.3640505656960079E-2</v>
      </c>
      <c r="HA65" s="178">
        <f t="shared" si="386"/>
        <v>-1.1821799402298995E-2</v>
      </c>
    </row>
    <row r="66" spans="1:209" x14ac:dyDescent="0.2">
      <c r="G66" s="181"/>
    </row>
    <row r="67" spans="1:209" x14ac:dyDescent="0.2">
      <c r="K67" s="177"/>
    </row>
    <row r="68" spans="1:209" x14ac:dyDescent="0.2">
      <c r="A68" s="222" t="s">
        <v>181</v>
      </c>
      <c r="B68" s="223"/>
      <c r="C68" s="224"/>
      <c r="D68" s="111" t="s">
        <v>171</v>
      </c>
      <c r="E68" s="111" t="s">
        <v>174</v>
      </c>
      <c r="F68" s="225" t="s">
        <v>167</v>
      </c>
      <c r="K68" s="241"/>
    </row>
    <row r="69" spans="1:209" x14ac:dyDescent="0.2">
      <c r="A69" s="226"/>
      <c r="B69" s="227"/>
      <c r="C69" s="117" t="s">
        <v>178</v>
      </c>
      <c r="D69" s="117" t="s">
        <v>172</v>
      </c>
      <c r="E69" s="117" t="s">
        <v>175</v>
      </c>
      <c r="F69" s="119" t="s">
        <v>171</v>
      </c>
      <c r="K69" s="181"/>
    </row>
    <row r="70" spans="1:209" x14ac:dyDescent="0.2">
      <c r="A70" s="226"/>
      <c r="B70" s="218" t="s">
        <v>179</v>
      </c>
      <c r="C70" s="219">
        <v>44196</v>
      </c>
      <c r="D70" s="220" t="s">
        <v>173</v>
      </c>
      <c r="E70" s="220" t="s">
        <v>176</v>
      </c>
      <c r="F70" s="228" t="s">
        <v>177</v>
      </c>
      <c r="K70" s="240"/>
    </row>
    <row r="71" spans="1:209" x14ac:dyDescent="0.2">
      <c r="A71" s="229">
        <v>364</v>
      </c>
      <c r="B71" s="181" t="s">
        <v>169</v>
      </c>
      <c r="C71" s="181">
        <v>79149678.579999998</v>
      </c>
      <c r="D71" s="181">
        <v>2899253</v>
      </c>
      <c r="E71" s="181">
        <v>142877</v>
      </c>
      <c r="F71" s="230">
        <f>+D71+E71</f>
        <v>3042130</v>
      </c>
      <c r="G71" s="181"/>
      <c r="H71" s="181"/>
      <c r="I71" s="181"/>
      <c r="J71" s="181"/>
      <c r="K71" s="181"/>
    </row>
    <row r="72" spans="1:209" x14ac:dyDescent="0.2">
      <c r="A72" s="229">
        <v>365</v>
      </c>
      <c r="B72" s="181" t="s">
        <v>170</v>
      </c>
      <c r="C72" s="181">
        <v>115298396.09</v>
      </c>
      <c r="D72" s="181">
        <v>3804847</v>
      </c>
      <c r="E72" s="181">
        <v>248899</v>
      </c>
      <c r="F72" s="230">
        <f>+D72+E72</f>
        <v>4053746</v>
      </c>
      <c r="G72" s="181"/>
      <c r="H72" s="181"/>
      <c r="I72" s="181"/>
      <c r="J72" s="181"/>
      <c r="K72" s="181"/>
    </row>
    <row r="73" spans="1:209" ht="12" x14ac:dyDescent="0.35">
      <c r="A73" s="229">
        <v>368</v>
      </c>
      <c r="B73" s="181" t="s">
        <v>203</v>
      </c>
      <c r="C73" s="231">
        <v>92265753.289999992</v>
      </c>
      <c r="D73" s="231">
        <v>3232184</v>
      </c>
      <c r="E73" s="231">
        <v>464204</v>
      </c>
      <c r="F73" s="232">
        <f>+D73+E73</f>
        <v>3696388</v>
      </c>
      <c r="G73" s="181"/>
      <c r="H73" s="181"/>
      <c r="I73" s="181"/>
      <c r="J73" s="181"/>
      <c r="K73" s="181"/>
    </row>
    <row r="74" spans="1:209" ht="12" x14ac:dyDescent="0.35">
      <c r="A74" s="226"/>
      <c r="B74" s="227" t="s">
        <v>167</v>
      </c>
      <c r="C74" s="233">
        <f>SUM(C71:C73)</f>
        <v>286713827.96000004</v>
      </c>
      <c r="D74" s="233">
        <f t="shared" ref="D74:E74" si="387">SUM(D71:D73)</f>
        <v>9936284</v>
      </c>
      <c r="E74" s="233">
        <f t="shared" si="387"/>
        <v>855980</v>
      </c>
      <c r="F74" s="234">
        <f>SUM(F71:F73)</f>
        <v>10792264</v>
      </c>
    </row>
    <row r="75" spans="1:209" x14ac:dyDescent="0.2">
      <c r="A75" s="235" t="s">
        <v>180</v>
      </c>
      <c r="B75" s="236"/>
      <c r="C75" s="237"/>
      <c r="D75" s="237"/>
      <c r="E75" s="237"/>
      <c r="F75" s="238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26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5" t="s">
        <v>128</v>
      </c>
      <c r="D1" s="305"/>
      <c r="E1" s="305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234</v>
      </c>
      <c r="D4" s="64" t="s">
        <v>204</v>
      </c>
      <c r="E4" s="86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224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281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14755.81936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282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228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231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7"/>
    </row>
    <row r="35" spans="1:5" x14ac:dyDescent="0.3">
      <c r="A35" s="2"/>
      <c r="B35" s="1"/>
      <c r="C35" s="45"/>
      <c r="D35" s="60"/>
      <c r="E35" s="279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20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5" t="s">
        <v>128</v>
      </c>
      <c r="D1" s="305"/>
      <c r="E1" s="305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207</v>
      </c>
      <c r="D4" s="64" t="s">
        <v>204</v>
      </c>
      <c r="E4" s="86">
        <f>('Total Annual Impact'!E4)/1000</f>
        <v>21947.472000000002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21947.472000000002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233</v>
      </c>
      <c r="D8" s="64" t="s">
        <v>87</v>
      </c>
      <c r="E8" s="29">
        <v>0.2</v>
      </c>
    </row>
    <row r="9" spans="1:5" x14ac:dyDescent="0.3">
      <c r="A9" s="2" t="s">
        <v>6</v>
      </c>
      <c r="B9" s="4"/>
      <c r="C9" s="25" t="s">
        <v>291</v>
      </c>
      <c r="D9" s="64" t="s">
        <v>88</v>
      </c>
      <c r="E9" s="28">
        <f>E6*E8*8/12</f>
        <v>2926.3296000000005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21947.472000000002</v>
      </c>
    </row>
    <row r="13" spans="1:5" ht="15.6" x14ac:dyDescent="0.4">
      <c r="A13" s="2" t="s">
        <v>10</v>
      </c>
      <c r="B13" s="4"/>
      <c r="C13" s="25" t="s">
        <v>230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21947.472000000002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237</v>
      </c>
      <c r="D18" s="64" t="s">
        <v>92</v>
      </c>
      <c r="E18" s="27">
        <f>+E9</f>
        <v>2926.3296000000005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2926.3296000000005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19021.142400000001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232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236</v>
      </c>
      <c r="D33" s="63" t="s">
        <v>112</v>
      </c>
      <c r="E33" s="33">
        <f>E9+E29</f>
        <v>2926.3296000000005</v>
      </c>
    </row>
    <row r="34" spans="1:6" x14ac:dyDescent="0.3">
      <c r="A34" s="2"/>
      <c r="B34" s="4"/>
      <c r="C34" s="18"/>
      <c r="D34" s="70"/>
      <c r="E34" s="87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1"/>
      <c r="D36" s="82"/>
      <c r="E36" s="83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2"/>
      <c r="D40" s="93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7" zoomScaleNormal="100" workbookViewId="0">
      <selection activeCell="E33" sqref="E3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06" t="s">
        <v>128</v>
      </c>
      <c r="D1" s="306"/>
      <c r="E1" s="306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277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9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182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183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184</v>
      </c>
      <c r="E19" s="34">
        <f>'Rate Base &amp; Cost Capital'!E12</f>
        <v>2431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227</v>
      </c>
      <c r="D21" s="62" t="s">
        <v>185</v>
      </c>
      <c r="E21" s="36">
        <f>(+'Rate Base &amp; Cost Capital'!E11)/(1-'Income Taxes'!E15)*E15</f>
        <v>620.57142857142867</v>
      </c>
    </row>
    <row r="22" spans="1:6" ht="15.6" x14ac:dyDescent="0.4">
      <c r="A22" s="2" t="s">
        <v>30</v>
      </c>
      <c r="B22" s="4"/>
      <c r="C22" s="71" t="s">
        <v>62</v>
      </c>
      <c r="D22" s="62" t="s">
        <v>186</v>
      </c>
      <c r="E22" s="35">
        <f>-'Rate Base &amp; Cost Capital'!E10</f>
        <v>-983</v>
      </c>
    </row>
    <row r="23" spans="1:6" x14ac:dyDescent="0.3">
      <c r="A23" s="2" t="s">
        <v>31</v>
      </c>
      <c r="B23" s="4"/>
      <c r="C23" s="45"/>
      <c r="D23" s="60" t="s">
        <v>187</v>
      </c>
      <c r="E23" s="77">
        <f>+E19+E21+E22</f>
        <v>2068.5714285714284</v>
      </c>
    </row>
    <row r="24" spans="1:6" x14ac:dyDescent="0.3">
      <c r="A24" s="2" t="s">
        <v>32</v>
      </c>
      <c r="B24" s="4"/>
      <c r="C24" s="16"/>
      <c r="D24" s="66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192</v>
      </c>
      <c r="E26" s="34">
        <f>E23</f>
        <v>2068.5714285714284</v>
      </c>
      <c r="F26" s="171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1"/>
    </row>
    <row r="28" spans="1:6" ht="15.6" x14ac:dyDescent="0.4">
      <c r="A28" s="2" t="s">
        <v>43</v>
      </c>
      <c r="B28" s="2"/>
      <c r="C28" s="13" t="s">
        <v>70</v>
      </c>
      <c r="D28" s="62" t="s">
        <v>188</v>
      </c>
      <c r="E28" s="35">
        <f>-'Annual Depreciation and CCA'!D52/1000</f>
        <v>-1616.9620204770681</v>
      </c>
      <c r="F28" s="171"/>
    </row>
    <row r="29" spans="1:6" x14ac:dyDescent="0.3">
      <c r="A29" s="2" t="s">
        <v>44</v>
      </c>
      <c r="C29" s="13"/>
      <c r="D29" s="62" t="s">
        <v>189</v>
      </c>
      <c r="E29" s="36">
        <f>SUM(E26:E28)</f>
        <v>958.81320334220436</v>
      </c>
    </row>
    <row r="30" spans="1:6" x14ac:dyDescent="0.3">
      <c r="A30" s="2" t="s">
        <v>45</v>
      </c>
      <c r="C30" s="13" t="s">
        <v>52</v>
      </c>
      <c r="D30" s="62" t="s">
        <v>190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191</v>
      </c>
      <c r="E31" s="36">
        <f>E29*E30</f>
        <v>287.64396100266129</v>
      </c>
    </row>
    <row r="32" spans="1:6" ht="15.6" x14ac:dyDescent="0.4">
      <c r="A32" s="2" t="s">
        <v>47</v>
      </c>
      <c r="C32" s="13" t="s">
        <v>145</v>
      </c>
      <c r="D32" s="62" t="s">
        <v>193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194</v>
      </c>
      <c r="E33" s="52">
        <f>SUM(E31:E32)</f>
        <v>620.57142857142856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1" zoomScaleNormal="100" workbookViewId="0">
      <selection activeCell="E17" sqref="E17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06" t="s">
        <v>128</v>
      </c>
      <c r="D1" s="306"/>
      <c r="E1" s="306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</row>
    <row r="4" spans="1:5" x14ac:dyDescent="0.3">
      <c r="A4" s="2"/>
      <c r="B4" s="4"/>
      <c r="C4" s="13" t="s">
        <v>206</v>
      </c>
      <c r="D4" s="62" t="s">
        <v>208</v>
      </c>
      <c r="E4" s="46">
        <f>+Amortization!E21</f>
        <v>19021.142400000001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34821.142399999997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274</v>
      </c>
      <c r="D8" s="63" t="s">
        <v>124</v>
      </c>
      <c r="E8" s="42">
        <f>E6/$E28</f>
        <v>5.8336404466120757E-5</v>
      </c>
    </row>
    <row r="9" spans="1:5" x14ac:dyDescent="0.3">
      <c r="A9" s="2" t="s">
        <v>6</v>
      </c>
      <c r="B9" s="4"/>
      <c r="C9" s="16"/>
      <c r="D9" s="66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983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1448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2431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88">
        <f>100%-E16</f>
        <v>0.6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88">
        <v>0.4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290</v>
      </c>
      <c r="D18" s="62" t="s">
        <v>94</v>
      </c>
      <c r="E18" s="288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278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279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2.8217420471226756E-2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4.1581226383919659E-2</v>
      </c>
    </row>
    <row r="26" spans="1:5" x14ac:dyDescent="0.3">
      <c r="A26" s="2"/>
      <c r="B26" s="1"/>
      <c r="C26" s="13" t="s">
        <v>289</v>
      </c>
      <c r="D26" s="62" t="s">
        <v>122</v>
      </c>
      <c r="E26" s="43">
        <f>SUM(E24:E25)</f>
        <v>6.9798646855146418E-2</v>
      </c>
    </row>
    <row r="27" spans="1:5" x14ac:dyDescent="0.3">
      <c r="A27" s="2"/>
      <c r="B27" s="1"/>
      <c r="C27" s="71"/>
      <c r="D27" s="66"/>
      <c r="E27" s="17"/>
    </row>
    <row r="28" spans="1:5" x14ac:dyDescent="0.3">
      <c r="A28" s="2"/>
      <c r="B28" s="1"/>
      <c r="C28" s="23" t="s">
        <v>273</v>
      </c>
      <c r="D28" s="63" t="s">
        <v>121</v>
      </c>
      <c r="E28" s="52">
        <v>596902444</v>
      </c>
    </row>
    <row r="29" spans="1:5" x14ac:dyDescent="0.3">
      <c r="A29" s="2"/>
      <c r="B29" s="1"/>
      <c r="C29" s="90" t="s">
        <v>235</v>
      </c>
      <c r="D29" s="75"/>
      <c r="E29" s="76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2" zoomScaleNormal="100" workbookViewId="0">
      <selection activeCell="F34" sqref="F33:G34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06" t="s">
        <v>128</v>
      </c>
      <c r="D1" s="306"/>
      <c r="E1" s="306"/>
    </row>
    <row r="2" spans="1:11" ht="25.2" customHeight="1" x14ac:dyDescent="0.3">
      <c r="A2" s="2"/>
      <c r="B2" s="5" t="s">
        <v>0</v>
      </c>
      <c r="C2" s="57" t="s">
        <v>238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205</v>
      </c>
      <c r="D4" s="62" t="s">
        <v>209</v>
      </c>
      <c r="E4" s="36">
        <f>+Amortization!E9</f>
        <v>2926.3296000000005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210</v>
      </c>
      <c r="E5" s="46">
        <f>'Rate Base &amp; Cost Capital'!E10</f>
        <v>983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211</v>
      </c>
      <c r="E6" s="46">
        <f>'Rate Base &amp; Cost Capital'!E11</f>
        <v>1448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212</v>
      </c>
      <c r="E7" s="35">
        <f>'Income Taxes'!E33</f>
        <v>620.57142857142856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213</v>
      </c>
      <c r="E8" s="52">
        <f>SUM(E3:E7)</f>
        <v>6485.1048238192725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239</v>
      </c>
      <c r="D10" s="70" t="s">
        <v>214</v>
      </c>
      <c r="E10" s="253">
        <f>E8/$E12</f>
        <v>2.171821150676102E-2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269</v>
      </c>
      <c r="D12" s="70" t="s">
        <v>215</v>
      </c>
      <c r="E12" s="41">
        <f>298602158/1000</f>
        <v>298602.158</v>
      </c>
    </row>
    <row r="13" spans="1:11" x14ac:dyDescent="0.3">
      <c r="A13" s="2"/>
      <c r="C13" s="73"/>
      <c r="D13" s="74"/>
      <c r="E13" s="81"/>
    </row>
    <row r="14" spans="1:11" x14ac:dyDescent="0.3">
      <c r="C14" s="84"/>
      <c r="D14" s="85"/>
      <c r="E14" s="84"/>
    </row>
    <row r="15" spans="1:11" s="172" customFormat="1" ht="27.6" x14ac:dyDescent="0.25">
      <c r="C15" s="175" t="s">
        <v>150</v>
      </c>
      <c r="D15" s="173">
        <v>1</v>
      </c>
      <c r="E15" s="174">
        <f>+E8*D15</f>
        <v>6485.1048238192725</v>
      </c>
    </row>
    <row r="17" spans="3:3" x14ac:dyDescent="0.3">
      <c r="C17" s="176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3"/>
  <sheetViews>
    <sheetView workbookViewId="0">
      <selection sqref="A1:J32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44140625" style="11" customWidth="1"/>
    <col min="9" max="10" width="17.88671875" style="11" customWidth="1"/>
    <col min="11" max="16384" width="9.109375" style="11"/>
  </cols>
  <sheetData>
    <row r="1" spans="1:10" x14ac:dyDescent="0.25">
      <c r="A1" s="307" t="s">
        <v>292</v>
      </c>
      <c r="B1" s="308"/>
      <c r="C1" s="308"/>
      <c r="D1" s="308"/>
      <c r="E1" s="308"/>
      <c r="F1" s="308"/>
      <c r="G1" s="308"/>
      <c r="H1" s="308"/>
      <c r="I1" s="308"/>
      <c r="J1" s="309"/>
    </row>
    <row r="2" spans="1:10" ht="27.75" customHeight="1" x14ac:dyDescent="0.25">
      <c r="A2" s="310" t="s">
        <v>293</v>
      </c>
      <c r="B2" s="311"/>
      <c r="C2" s="311"/>
      <c r="D2" s="311"/>
      <c r="E2" s="311"/>
      <c r="F2" s="311"/>
      <c r="G2" s="311"/>
      <c r="H2" s="311"/>
      <c r="I2" s="311"/>
      <c r="J2" s="312"/>
    </row>
    <row r="3" spans="1:10" ht="15" customHeight="1" x14ac:dyDescent="0.25">
      <c r="A3" s="295"/>
      <c r="B3" s="296"/>
      <c r="C3" s="296"/>
      <c r="D3" s="296"/>
      <c r="E3" s="296"/>
      <c r="F3" s="296"/>
      <c r="G3" s="297"/>
      <c r="H3" s="322"/>
      <c r="I3" s="322"/>
      <c r="J3" s="17"/>
    </row>
    <row r="4" spans="1:10" x14ac:dyDescent="0.25">
      <c r="A4" s="319" t="s">
        <v>243</v>
      </c>
      <c r="B4" s="320"/>
      <c r="C4" s="320"/>
      <c r="D4" s="320"/>
      <c r="E4" s="320"/>
      <c r="F4" s="320"/>
      <c r="G4" s="321"/>
      <c r="H4" s="322"/>
      <c r="I4" s="319" t="s">
        <v>244</v>
      </c>
      <c r="J4" s="321"/>
    </row>
    <row r="5" spans="1:10" ht="55.2" x14ac:dyDescent="0.25">
      <c r="A5" s="261"/>
      <c r="B5" s="262">
        <v>2022</v>
      </c>
      <c r="C5" s="262">
        <v>2023</v>
      </c>
      <c r="D5" s="262">
        <v>2024</v>
      </c>
      <c r="E5" s="293" t="s">
        <v>294</v>
      </c>
      <c r="F5" s="263" t="s">
        <v>245</v>
      </c>
      <c r="G5" s="263" t="s">
        <v>246</v>
      </c>
      <c r="H5" s="322"/>
      <c r="I5" s="264" t="s">
        <v>247</v>
      </c>
      <c r="J5" s="264" t="s">
        <v>295</v>
      </c>
    </row>
    <row r="6" spans="1:10" x14ac:dyDescent="0.25">
      <c r="A6" s="265" t="s">
        <v>248</v>
      </c>
      <c r="B6" s="266">
        <v>0.14499999999999999</v>
      </c>
      <c r="C6" s="266">
        <v>0.15540000000000001</v>
      </c>
      <c r="D6" s="266">
        <v>0.16020000000000001</v>
      </c>
      <c r="E6" s="266">
        <v>0.1663</v>
      </c>
      <c r="F6" s="267">
        <f>+(E6-B6)/B6</f>
        <v>0.14689655172413804</v>
      </c>
      <c r="G6" s="268">
        <f>+F6/3</f>
        <v>4.8965517241379347E-2</v>
      </c>
      <c r="H6" s="322"/>
      <c r="I6" s="266">
        <v>7.0000000000000062E-3</v>
      </c>
      <c r="J6" s="269">
        <f>+E6+I6</f>
        <v>0.17330000000000001</v>
      </c>
    </row>
    <row r="7" spans="1:10" x14ac:dyDescent="0.25">
      <c r="A7" s="270" t="s">
        <v>249</v>
      </c>
      <c r="B7" s="266">
        <v>0.11459999999999999</v>
      </c>
      <c r="C7" s="266">
        <v>0.1229</v>
      </c>
      <c r="D7" s="266">
        <v>0.12670000000000001</v>
      </c>
      <c r="E7" s="266">
        <v>0.13150000000000001</v>
      </c>
      <c r="F7" s="267">
        <f t="shared" ref="F7:F12" si="0">+(E7-B7)/B7</f>
        <v>0.14746945898778371</v>
      </c>
      <c r="G7" s="268">
        <f t="shared" ref="G7:G12" si="1">+F7/3</f>
        <v>4.9156486329261236E-2</v>
      </c>
      <c r="H7" s="322"/>
      <c r="I7" s="266">
        <v>5.5999999999999939E-3</v>
      </c>
      <c r="J7" s="269">
        <f t="shared" ref="J7:J12" si="2">+E7+$I7</f>
        <v>0.1371</v>
      </c>
    </row>
    <row r="8" spans="1:10" x14ac:dyDescent="0.25">
      <c r="A8" s="265" t="s">
        <v>250</v>
      </c>
      <c r="B8" s="266">
        <v>0.1789</v>
      </c>
      <c r="C8" s="266">
        <v>0.19189999999999999</v>
      </c>
      <c r="D8" s="266">
        <v>0.1978</v>
      </c>
      <c r="E8" s="266">
        <v>0.20530000000000001</v>
      </c>
      <c r="F8" s="267">
        <f t="shared" si="0"/>
        <v>0.14756847400782563</v>
      </c>
      <c r="G8" s="268">
        <f t="shared" si="1"/>
        <v>4.918949133594188E-2</v>
      </c>
      <c r="H8" s="322"/>
      <c r="I8" s="266">
        <v>8.5999999999999965E-3</v>
      </c>
      <c r="J8" s="269">
        <f t="shared" si="2"/>
        <v>0.21390000000000001</v>
      </c>
    </row>
    <row r="9" spans="1:10" x14ac:dyDescent="0.25">
      <c r="A9" s="270" t="s">
        <v>251</v>
      </c>
      <c r="B9" s="266">
        <v>0.1159</v>
      </c>
      <c r="C9" s="266">
        <v>0.12429999999999999</v>
      </c>
      <c r="D9" s="266">
        <v>0.12809999999999999</v>
      </c>
      <c r="E9" s="266">
        <v>0.13289999999999999</v>
      </c>
      <c r="F9" s="267">
        <f t="shared" si="0"/>
        <v>0.14667817083692827</v>
      </c>
      <c r="G9" s="268">
        <f t="shared" si="1"/>
        <v>4.8892723612309424E-2</v>
      </c>
      <c r="H9" s="322"/>
      <c r="I9" s="266">
        <v>5.5000000000000326E-3</v>
      </c>
      <c r="J9" s="269">
        <f t="shared" si="2"/>
        <v>0.13840000000000002</v>
      </c>
    </row>
    <row r="10" spans="1:10" x14ac:dyDescent="0.25">
      <c r="A10" s="265" t="s">
        <v>252</v>
      </c>
      <c r="B10" s="266">
        <v>0.17519999999999999</v>
      </c>
      <c r="C10" s="266">
        <v>0.18779999999999999</v>
      </c>
      <c r="D10" s="266">
        <v>0.19359999999999999</v>
      </c>
      <c r="E10" s="266">
        <v>0.2009</v>
      </c>
      <c r="F10" s="267">
        <f t="shared" si="0"/>
        <v>0.14668949771689499</v>
      </c>
      <c r="G10" s="268">
        <f t="shared" si="1"/>
        <v>4.8896499238964997E-2</v>
      </c>
      <c r="H10" s="322"/>
      <c r="I10" s="266">
        <v>8.3000000000000296E-3</v>
      </c>
      <c r="J10" s="269">
        <f t="shared" si="2"/>
        <v>0.20920000000000002</v>
      </c>
    </row>
    <row r="11" spans="1:10" x14ac:dyDescent="0.25">
      <c r="A11" s="270" t="s">
        <v>253</v>
      </c>
      <c r="B11" s="266">
        <v>8.6800000000000002E-2</v>
      </c>
      <c r="C11" s="266">
        <v>9.3100000000000002E-2</v>
      </c>
      <c r="D11" s="266">
        <v>9.5899999999999999E-2</v>
      </c>
      <c r="E11" s="266">
        <v>9.9500000000000005E-2</v>
      </c>
      <c r="F11" s="267">
        <f t="shared" si="0"/>
        <v>0.14631336405529957</v>
      </c>
      <c r="G11" s="268">
        <f t="shared" si="1"/>
        <v>4.8771121351766526E-2</v>
      </c>
      <c r="H11" s="322"/>
      <c r="I11" s="266">
        <v>4.0999999999999925E-3</v>
      </c>
      <c r="J11" s="269">
        <f t="shared" si="2"/>
        <v>0.1036</v>
      </c>
    </row>
    <row r="12" spans="1:10" x14ac:dyDescent="0.25">
      <c r="A12" s="270" t="s">
        <v>254</v>
      </c>
      <c r="B12" s="266">
        <v>6.9800000000000001E-2</v>
      </c>
      <c r="C12" s="266">
        <v>7.6999999999999999E-2</v>
      </c>
      <c r="D12" s="266">
        <v>7.9699999999999993E-2</v>
      </c>
      <c r="E12" s="266">
        <v>8.3000000000000004E-2</v>
      </c>
      <c r="F12" s="267">
        <f t="shared" si="0"/>
        <v>0.1891117478510029</v>
      </c>
      <c r="G12" s="268">
        <f t="shared" si="1"/>
        <v>6.3037249283667635E-2</v>
      </c>
      <c r="H12" s="322"/>
      <c r="I12" s="266">
        <v>3.3999999999999864E-3</v>
      </c>
      <c r="J12" s="269">
        <f t="shared" si="2"/>
        <v>8.6399999999999991E-2</v>
      </c>
    </row>
    <row r="13" spans="1:10" x14ac:dyDescent="0.25">
      <c r="A13" s="16"/>
      <c r="B13" s="322"/>
      <c r="C13" s="322"/>
      <c r="D13" s="322"/>
      <c r="E13" s="322"/>
      <c r="F13" s="322"/>
      <c r="G13" s="322"/>
      <c r="H13" s="322"/>
      <c r="I13" s="322"/>
      <c r="J13" s="17"/>
    </row>
    <row r="14" spans="1:10" x14ac:dyDescent="0.25">
      <c r="A14" s="313" t="s">
        <v>255</v>
      </c>
      <c r="B14" s="314"/>
      <c r="C14" s="314"/>
      <c r="D14" s="314"/>
      <c r="E14" s="314"/>
      <c r="F14" s="314"/>
      <c r="G14" s="314"/>
      <c r="H14" s="314"/>
      <c r="I14" s="314"/>
      <c r="J14" s="315"/>
    </row>
    <row r="15" spans="1:10" ht="55.2" x14ac:dyDescent="0.25">
      <c r="A15" s="298"/>
      <c r="B15" s="299">
        <f>+B5</f>
        <v>2022</v>
      </c>
      <c r="C15" s="299">
        <f t="shared" ref="C15:E15" si="3">+C5</f>
        <v>2023</v>
      </c>
      <c r="D15" s="299">
        <f t="shared" si="3"/>
        <v>2024</v>
      </c>
      <c r="E15" s="292" t="str">
        <f t="shared" si="3"/>
        <v>March 1, 2025</v>
      </c>
      <c r="F15" s="292" t="str">
        <f>+F5</f>
        <v>Cumulative Change over 2022 Rates</v>
      </c>
      <c r="G15" s="322"/>
      <c r="H15" s="322"/>
      <c r="I15" s="322"/>
      <c r="J15" s="292" t="s">
        <v>275</v>
      </c>
    </row>
    <row r="16" spans="1:10" x14ac:dyDescent="0.25">
      <c r="A16" s="270" t="s">
        <v>256</v>
      </c>
      <c r="B16" s="266">
        <v>4.0200000000000001E-3</v>
      </c>
      <c r="C16" s="266">
        <v>5.8900000000000003E-3</v>
      </c>
      <c r="D16" s="266">
        <v>2.8700000000000002E-3</v>
      </c>
      <c r="E16" s="266">
        <v>1.4499999999999999E-3</v>
      </c>
      <c r="F16" s="271">
        <f t="shared" ref="F16:F22" si="4">+(E16-B16)/B16</f>
        <v>-0.63930348258706471</v>
      </c>
      <c r="G16" s="322"/>
      <c r="H16" s="322"/>
      <c r="I16" s="323"/>
      <c r="J16" s="269">
        <f>+E16</f>
        <v>1.4499999999999999E-3</v>
      </c>
    </row>
    <row r="17" spans="1:10" x14ac:dyDescent="0.25">
      <c r="A17" s="270" t="s">
        <v>257</v>
      </c>
      <c r="B17" s="266"/>
      <c r="C17" s="266">
        <v>3.3E-3</v>
      </c>
      <c r="D17" s="266">
        <f>+C17</f>
        <v>3.3E-3</v>
      </c>
      <c r="E17" s="266">
        <f>+D17</f>
        <v>3.3E-3</v>
      </c>
      <c r="F17" s="271"/>
      <c r="G17" s="322"/>
      <c r="H17" s="322"/>
      <c r="I17" s="322"/>
      <c r="J17" s="269">
        <f>+E17</f>
        <v>3.3E-3</v>
      </c>
    </row>
    <row r="18" spans="1:10" x14ac:dyDescent="0.25">
      <c r="A18" s="270" t="s">
        <v>258</v>
      </c>
      <c r="B18" s="266">
        <f t="shared" ref="B18:C18" si="5">SUM(B16:B17)</f>
        <v>4.0200000000000001E-3</v>
      </c>
      <c r="C18" s="266">
        <f t="shared" si="5"/>
        <v>9.1900000000000003E-3</v>
      </c>
      <c r="D18" s="266">
        <f>SUM(D16:D17)</f>
        <v>6.1700000000000001E-3</v>
      </c>
      <c r="E18" s="266">
        <f>SUM(E16:E17)</f>
        <v>4.7499999999999999E-3</v>
      </c>
      <c r="F18" s="271"/>
      <c r="G18" s="322"/>
      <c r="H18" s="322"/>
      <c r="I18" s="322"/>
      <c r="J18" s="272">
        <f>SUM(J16:J17)</f>
        <v>4.7499999999999999E-3</v>
      </c>
    </row>
    <row r="19" spans="1:10" hidden="1" x14ac:dyDescent="0.25">
      <c r="A19" s="270" t="s">
        <v>259</v>
      </c>
      <c r="B19" s="266">
        <v>-6.9999999999999999E-4</v>
      </c>
      <c r="C19" s="266">
        <v>-1.9499999999999999E-3</v>
      </c>
      <c r="D19" s="266">
        <v>0</v>
      </c>
      <c r="E19" s="266">
        <v>0</v>
      </c>
      <c r="F19" s="273" t="s">
        <v>260</v>
      </c>
      <c r="G19" s="322"/>
      <c r="H19" s="322"/>
      <c r="I19" s="322"/>
      <c r="J19" s="269">
        <f>+E19</f>
        <v>0</v>
      </c>
    </row>
    <row r="20" spans="1:10" hidden="1" x14ac:dyDescent="0.25">
      <c r="A20" s="270" t="s">
        <v>261</v>
      </c>
      <c r="B20" s="266">
        <v>3.5999999999999999E-3</v>
      </c>
      <c r="C20" s="266">
        <v>0</v>
      </c>
      <c r="D20" s="266">
        <v>0</v>
      </c>
      <c r="E20" s="266">
        <v>0</v>
      </c>
      <c r="F20" s="273" t="s">
        <v>260</v>
      </c>
      <c r="G20" s="322"/>
      <c r="H20" s="322"/>
      <c r="I20" s="322"/>
      <c r="J20" s="269">
        <f>+E20</f>
        <v>0</v>
      </c>
    </row>
    <row r="21" spans="1:10" x14ac:dyDescent="0.25">
      <c r="A21" s="270" t="s">
        <v>262</v>
      </c>
      <c r="B21" s="266">
        <v>1.2999999999999999E-3</v>
      </c>
      <c r="C21" s="266">
        <v>0</v>
      </c>
      <c r="D21" s="266">
        <v>3.3E-4</v>
      </c>
      <c r="E21" s="266">
        <v>1.2099999999999999E-3</v>
      </c>
      <c r="F21" s="271">
        <f t="shared" si="4"/>
        <v>-6.9230769230769248E-2</v>
      </c>
      <c r="G21" s="322"/>
      <c r="H21" s="322"/>
      <c r="I21" s="322"/>
      <c r="J21" s="269">
        <f>+E21</f>
        <v>1.2099999999999999E-3</v>
      </c>
    </row>
    <row r="22" spans="1:10" x14ac:dyDescent="0.25">
      <c r="A22" s="274" t="s">
        <v>263</v>
      </c>
      <c r="B22" s="272">
        <f t="shared" ref="B22:C22" si="6">ROUND(SUM(B18:B21),4)</f>
        <v>8.2000000000000007E-3</v>
      </c>
      <c r="C22" s="272">
        <f t="shared" si="6"/>
        <v>7.1999999999999998E-3</v>
      </c>
      <c r="D22" s="272">
        <f>ROUND(SUM(D18:D21),4)</f>
        <v>6.4999999999999997E-3</v>
      </c>
      <c r="E22" s="272">
        <f>ROUND(SUM(E18:E21),4)</f>
        <v>6.0000000000000001E-3</v>
      </c>
      <c r="F22" s="275">
        <f t="shared" si="4"/>
        <v>-0.26829268292682934</v>
      </c>
      <c r="G22" s="322"/>
      <c r="H22" s="322"/>
      <c r="I22" s="322"/>
      <c r="J22" s="272">
        <f>SUM(J18:J21)</f>
        <v>5.96E-3</v>
      </c>
    </row>
    <row r="23" spans="1:10" x14ac:dyDescent="0.25">
      <c r="A23" s="16"/>
      <c r="B23" s="322"/>
      <c r="C23" s="322"/>
      <c r="D23" s="322"/>
      <c r="E23" s="322"/>
      <c r="F23" s="322"/>
      <c r="G23" s="322"/>
      <c r="H23" s="322"/>
      <c r="I23" s="322"/>
      <c r="J23" s="17"/>
    </row>
    <row r="24" spans="1:10" ht="15" customHeight="1" x14ac:dyDescent="0.25">
      <c r="A24" s="316" t="s">
        <v>296</v>
      </c>
      <c r="B24" s="317"/>
      <c r="C24" s="317"/>
      <c r="D24" s="317"/>
      <c r="E24" s="317"/>
      <c r="F24" s="317"/>
      <c r="G24" s="317"/>
      <c r="H24" s="317"/>
      <c r="I24" s="317"/>
      <c r="J24" s="318"/>
    </row>
    <row r="25" spans="1:10" x14ac:dyDescent="0.25">
      <c r="A25" s="276"/>
      <c r="B25" s="299">
        <f>+B15</f>
        <v>2022</v>
      </c>
      <c r="C25" s="299">
        <f t="shared" ref="C25:F25" si="7">+C15</f>
        <v>2023</v>
      </c>
      <c r="D25" s="299">
        <f t="shared" si="7"/>
        <v>2024</v>
      </c>
      <c r="E25" s="292" t="str">
        <f t="shared" si="7"/>
        <v>March 1, 2025</v>
      </c>
      <c r="F25" s="292" t="str">
        <f t="shared" si="7"/>
        <v>Cumulative Change over 2022 Rates</v>
      </c>
      <c r="G25" s="300" t="str">
        <f>+G5</f>
        <v>Average Annual Variance</v>
      </c>
      <c r="H25" s="322"/>
      <c r="I25" s="322"/>
      <c r="J25" s="292" t="str">
        <f t="shared" ref="J25" si="8">+J15</f>
        <v>Revised 2026F B4 ECAM Update</v>
      </c>
    </row>
    <row r="26" spans="1:10" x14ac:dyDescent="0.25">
      <c r="A26" s="265" t="s">
        <v>248</v>
      </c>
      <c r="B26" s="266">
        <f t="shared" ref="B26:E32" si="9">B6+B$22</f>
        <v>0.1532</v>
      </c>
      <c r="C26" s="266">
        <f t="shared" si="9"/>
        <v>0.16260000000000002</v>
      </c>
      <c r="D26" s="266">
        <f t="shared" si="9"/>
        <v>0.16670000000000001</v>
      </c>
      <c r="E26" s="266">
        <f t="shared" si="9"/>
        <v>0.17230000000000001</v>
      </c>
      <c r="F26" s="267">
        <f>+(E26-B26)/B26</f>
        <v>0.12467362924281988</v>
      </c>
      <c r="G26" s="268">
        <f>+F26/3</f>
        <v>4.1557876414273297E-2</v>
      </c>
      <c r="H26" s="322"/>
      <c r="I26" s="322"/>
      <c r="J26" s="266">
        <f t="shared" ref="J26:J32" si="10">J6+J$22</f>
        <v>0.17926</v>
      </c>
    </row>
    <row r="27" spans="1:10" x14ac:dyDescent="0.25">
      <c r="A27" s="270" t="s">
        <v>249</v>
      </c>
      <c r="B27" s="266">
        <f t="shared" si="9"/>
        <v>0.12279999999999999</v>
      </c>
      <c r="C27" s="266">
        <f t="shared" si="9"/>
        <v>0.13009999999999999</v>
      </c>
      <c r="D27" s="266">
        <f t="shared" si="9"/>
        <v>0.13320000000000001</v>
      </c>
      <c r="E27" s="266">
        <f t="shared" si="9"/>
        <v>0.13750000000000001</v>
      </c>
      <c r="F27" s="267">
        <f t="shared" ref="F27:F32" si="11">+(E27-B27)/B27</f>
        <v>0.11970684039087964</v>
      </c>
      <c r="G27" s="268">
        <f t="shared" ref="G27:G32" si="12">+F27/3</f>
        <v>3.9902280130293212E-2</v>
      </c>
      <c r="H27" s="322"/>
      <c r="I27" s="322"/>
      <c r="J27" s="266">
        <f t="shared" si="10"/>
        <v>0.14305999999999999</v>
      </c>
    </row>
    <row r="28" spans="1:10" x14ac:dyDescent="0.25">
      <c r="A28" s="265" t="s">
        <v>250</v>
      </c>
      <c r="B28" s="266">
        <f t="shared" si="9"/>
        <v>0.18710000000000002</v>
      </c>
      <c r="C28" s="266">
        <f t="shared" si="9"/>
        <v>0.1991</v>
      </c>
      <c r="D28" s="266">
        <f t="shared" si="9"/>
        <v>0.20430000000000001</v>
      </c>
      <c r="E28" s="266">
        <f t="shared" si="9"/>
        <v>0.21130000000000002</v>
      </c>
      <c r="F28" s="267">
        <f t="shared" si="11"/>
        <v>0.12934259754142169</v>
      </c>
      <c r="G28" s="268">
        <f t="shared" si="12"/>
        <v>4.3114199180473899E-2</v>
      </c>
      <c r="H28" s="322"/>
      <c r="I28" s="322"/>
      <c r="J28" s="266">
        <f t="shared" si="10"/>
        <v>0.21986</v>
      </c>
    </row>
    <row r="29" spans="1:10" x14ac:dyDescent="0.25">
      <c r="A29" s="270" t="s">
        <v>251</v>
      </c>
      <c r="B29" s="266">
        <f t="shared" si="9"/>
        <v>0.1241</v>
      </c>
      <c r="C29" s="266">
        <f t="shared" si="9"/>
        <v>0.13150000000000001</v>
      </c>
      <c r="D29" s="266">
        <f t="shared" si="9"/>
        <v>0.1346</v>
      </c>
      <c r="E29" s="266">
        <f t="shared" si="9"/>
        <v>0.1389</v>
      </c>
      <c r="F29" s="267">
        <f t="shared" si="11"/>
        <v>0.11925866236905716</v>
      </c>
      <c r="G29" s="268">
        <f t="shared" si="12"/>
        <v>3.9752887456352387E-2</v>
      </c>
      <c r="H29" s="322"/>
      <c r="I29" s="322"/>
      <c r="J29" s="266">
        <f t="shared" si="10"/>
        <v>0.14436000000000002</v>
      </c>
    </row>
    <row r="30" spans="1:10" x14ac:dyDescent="0.25">
      <c r="A30" s="265" t="s">
        <v>252</v>
      </c>
      <c r="B30" s="266">
        <f t="shared" si="9"/>
        <v>0.18340000000000001</v>
      </c>
      <c r="C30" s="266">
        <f t="shared" si="9"/>
        <v>0.19500000000000001</v>
      </c>
      <c r="D30" s="266">
        <f t="shared" si="9"/>
        <v>0.2001</v>
      </c>
      <c r="E30" s="266">
        <f t="shared" si="9"/>
        <v>0.2069</v>
      </c>
      <c r="F30" s="267">
        <f t="shared" si="11"/>
        <v>0.12813522355507084</v>
      </c>
      <c r="G30" s="268">
        <f t="shared" si="12"/>
        <v>4.2711741185023612E-2</v>
      </c>
      <c r="H30" s="322"/>
      <c r="I30" s="322"/>
      <c r="J30" s="266">
        <f t="shared" si="10"/>
        <v>0.21516000000000002</v>
      </c>
    </row>
    <row r="31" spans="1:10" x14ac:dyDescent="0.25">
      <c r="A31" s="270" t="s">
        <v>253</v>
      </c>
      <c r="B31" s="266">
        <f t="shared" si="9"/>
        <v>9.5000000000000001E-2</v>
      </c>
      <c r="C31" s="266">
        <f t="shared" si="9"/>
        <v>0.1003</v>
      </c>
      <c r="D31" s="266">
        <f t="shared" si="9"/>
        <v>0.1024</v>
      </c>
      <c r="E31" s="266">
        <f t="shared" si="9"/>
        <v>0.10550000000000001</v>
      </c>
      <c r="F31" s="267">
        <f t="shared" si="11"/>
        <v>0.11052631578947378</v>
      </c>
      <c r="G31" s="268">
        <f t="shared" si="12"/>
        <v>3.6842105263157926E-2</v>
      </c>
      <c r="H31" s="322"/>
      <c r="I31" s="322"/>
      <c r="J31" s="266">
        <f t="shared" si="10"/>
        <v>0.10955999999999999</v>
      </c>
    </row>
    <row r="32" spans="1:10" x14ac:dyDescent="0.25">
      <c r="A32" s="270" t="s">
        <v>254</v>
      </c>
      <c r="B32" s="277">
        <f t="shared" si="9"/>
        <v>7.8E-2</v>
      </c>
      <c r="C32" s="277">
        <f t="shared" si="9"/>
        <v>8.4199999999999997E-2</v>
      </c>
      <c r="D32" s="277">
        <f t="shared" si="9"/>
        <v>8.6199999999999999E-2</v>
      </c>
      <c r="E32" s="277">
        <f t="shared" si="9"/>
        <v>8.900000000000001E-2</v>
      </c>
      <c r="F32" s="267">
        <f t="shared" si="11"/>
        <v>0.14102564102564116</v>
      </c>
      <c r="G32" s="268">
        <f t="shared" si="12"/>
        <v>4.7008547008547057E-2</v>
      </c>
      <c r="H32" s="294"/>
      <c r="I32" s="294"/>
      <c r="J32" s="277">
        <f t="shared" si="10"/>
        <v>9.2359999999999998E-2</v>
      </c>
    </row>
    <row r="33" spans="1:1" x14ac:dyDescent="0.25">
      <c r="A33" s="278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" zoomScaleNormal="100" workbookViewId="0">
      <selection activeCell="F19" sqref="F19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24" t="s">
        <v>128</v>
      </c>
      <c r="D1" s="325"/>
      <c r="E1" s="326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27"/>
      <c r="E3" s="12"/>
    </row>
    <row r="4" spans="1:11" ht="26.4" x14ac:dyDescent="0.25">
      <c r="A4" s="10">
        <v>6</v>
      </c>
      <c r="C4" s="53" t="s">
        <v>287</v>
      </c>
      <c r="D4" s="328" t="s">
        <v>288</v>
      </c>
      <c r="E4" s="54">
        <f>'Proposed Distribution Rates'!I6*1000*12</f>
        <v>84.000000000000071</v>
      </c>
    </row>
    <row r="5" spans="1:11" x14ac:dyDescent="0.25">
      <c r="A5" s="10">
        <v>7</v>
      </c>
      <c r="C5" s="49"/>
      <c r="D5" s="329"/>
      <c r="E5" s="50"/>
    </row>
    <row r="6" spans="1:11" ht="26.4" x14ac:dyDescent="0.25">
      <c r="A6" s="10">
        <v>8</v>
      </c>
      <c r="C6" s="49" t="s">
        <v>270</v>
      </c>
      <c r="D6" s="329" t="s">
        <v>267</v>
      </c>
      <c r="E6" s="254">
        <f>E4/$E13</f>
        <v>3.514409077216591E-2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271</v>
      </c>
      <c r="D7" s="329" t="s">
        <v>268</v>
      </c>
      <c r="E7" s="254">
        <f>E4/$E15</f>
        <v>3.5563684397703632E-2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27"/>
      <c r="E8" s="255"/>
    </row>
    <row r="9" spans="1:11" ht="26.4" x14ac:dyDescent="0.25">
      <c r="A9" s="10">
        <v>11</v>
      </c>
      <c r="C9" s="53" t="s">
        <v>127</v>
      </c>
      <c r="D9" s="328" t="s">
        <v>264</v>
      </c>
      <c r="E9" s="54">
        <f>'Proposed Distribution Rates'!I8*5000*12+'Proposed Distribution Rates'!I9*5000*12</f>
        <v>846.00000000000171</v>
      </c>
    </row>
    <row r="10" spans="1:11" ht="9.75" customHeight="1" x14ac:dyDescent="0.25">
      <c r="C10" s="89"/>
      <c r="D10" s="330"/>
      <c r="E10" s="256"/>
    </row>
    <row r="11" spans="1:11" ht="26.4" x14ac:dyDescent="0.25">
      <c r="A11" s="10">
        <v>12</v>
      </c>
      <c r="C11" s="49" t="s">
        <v>272</v>
      </c>
      <c r="D11" s="329" t="s">
        <v>266</v>
      </c>
      <c r="E11" s="254">
        <f>E9/$E17</f>
        <v>3.2368105708264719E-2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27"/>
      <c r="E12" s="12"/>
    </row>
    <row r="13" spans="1:11" ht="26.4" x14ac:dyDescent="0.25">
      <c r="A13" s="10">
        <v>14</v>
      </c>
      <c r="C13" s="49" t="s">
        <v>285</v>
      </c>
      <c r="D13" s="329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27"/>
      <c r="E14" s="12"/>
    </row>
    <row r="15" spans="1:11" ht="26.4" x14ac:dyDescent="0.25">
      <c r="A15" s="10">
        <v>16</v>
      </c>
      <c r="C15" s="49" t="s">
        <v>286</v>
      </c>
      <c r="D15" s="329" t="s">
        <v>265</v>
      </c>
      <c r="E15" s="50">
        <v>2361.96</v>
      </c>
    </row>
    <row r="16" spans="1:11" ht="7.5" customHeight="1" x14ac:dyDescent="0.25">
      <c r="A16" s="10">
        <v>17</v>
      </c>
      <c r="C16" s="13"/>
      <c r="D16" s="327"/>
      <c r="E16" s="12"/>
    </row>
    <row r="17" spans="1:5" ht="26.4" x14ac:dyDescent="0.25">
      <c r="A17" s="10">
        <v>18</v>
      </c>
      <c r="C17" s="49" t="s">
        <v>276</v>
      </c>
      <c r="D17" s="329" t="s">
        <v>215</v>
      </c>
      <c r="E17" s="50">
        <v>26136.84</v>
      </c>
    </row>
    <row r="18" spans="1:5" x14ac:dyDescent="0.25">
      <c r="C18" s="280"/>
      <c r="D18" s="281"/>
      <c r="E18" s="331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2026-02-03T19:18:51Z</cp:lastPrinted>
  <dcterms:created xsi:type="dcterms:W3CDTF">2011-08-08T16:27:12Z</dcterms:created>
  <dcterms:modified xsi:type="dcterms:W3CDTF">2026-02-12T09:30:14Z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