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8244C64A-F9C1-4606-ADAC-04D40635F7BA}" xr6:coauthVersionLast="47" xr6:coauthVersionMax="47" xr10:uidLastSave="{00000000-0000-0000-0000-000000000000}"/>
  <bookViews>
    <workbookView xWindow="-108" yWindow="-108" windowWidth="23256" windowHeight="12456" firstSheet="5" activeTab="8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9" l="1"/>
  <c r="K43" i="9"/>
  <c r="L43" i="9"/>
  <c r="M43" i="9"/>
  <c r="N43" i="9"/>
  <c r="J43" i="9"/>
  <c r="E48" i="9"/>
  <c r="F63" i="7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M59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61" i="7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J31" i="13"/>
  <c r="J12" i="13"/>
  <c r="J30" i="13" l="1"/>
  <c r="J32" i="13"/>
  <c r="J8" i="13" l="1"/>
  <c r="J28" i="13" l="1"/>
  <c r="J9" i="13" l="1"/>
  <c r="E9" i="6"/>
  <c r="E11" i="6" s="1"/>
  <c r="J29" i="13" l="1"/>
  <c r="J7" i="13" l="1"/>
  <c r="E4" i="6"/>
  <c r="J6" i="13"/>
  <c r="J27" i="13" l="1"/>
  <c r="J26" i="13"/>
  <c r="E6" i="6"/>
  <c r="E7" i="6"/>
  <c r="E24" i="2" l="1"/>
  <c r="E25" i="2"/>
  <c r="H47" i="9" l="1"/>
  <c r="E11" i="2"/>
  <c r="H82" i="9"/>
  <c r="H80" i="9"/>
  <c r="H81" i="9"/>
  <c r="H49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E26" i="2"/>
  <c r="E10" i="2"/>
  <c r="I79" i="9" l="1"/>
  <c r="J79" i="9" s="1"/>
  <c r="L36" i="9" s="1"/>
  <c r="I78" i="9"/>
  <c r="J78" i="9" s="1"/>
  <c r="L35" i="9" s="1"/>
  <c r="I77" i="9"/>
  <c r="J77" i="9" s="1"/>
  <c r="L34" i="9" s="1"/>
  <c r="I76" i="9"/>
  <c r="J76" i="9" s="1"/>
  <c r="L33" i="9" s="1"/>
  <c r="I75" i="9"/>
  <c r="J75" i="9" s="1"/>
  <c r="L32" i="9" s="1"/>
  <c r="I74" i="9"/>
  <c r="J74" i="9" s="1"/>
  <c r="L31" i="9" s="1"/>
  <c r="I73" i="9"/>
  <c r="J73" i="9" s="1"/>
  <c r="L30" i="9" s="1"/>
  <c r="I72" i="9"/>
  <c r="J72" i="9" s="1"/>
  <c r="L29" i="9" s="1"/>
  <c r="I71" i="9"/>
  <c r="J71" i="9" s="1"/>
  <c r="L28" i="9" s="1"/>
  <c r="I70" i="9"/>
  <c r="J70" i="9" s="1"/>
  <c r="L27" i="9" s="1"/>
  <c r="I69" i="9"/>
  <c r="J69" i="9" s="1"/>
  <c r="L26" i="9" s="1"/>
  <c r="I68" i="9"/>
  <c r="J68" i="9" s="1"/>
  <c r="L25" i="9" s="1"/>
  <c r="I67" i="9"/>
  <c r="J67" i="9" s="1"/>
  <c r="L24" i="9" s="1"/>
  <c r="I66" i="9"/>
  <c r="J66" i="9" s="1"/>
  <c r="L23" i="9" s="1"/>
  <c r="I65" i="9"/>
  <c r="J65" i="9" s="1"/>
  <c r="L22" i="9" s="1"/>
  <c r="I64" i="9"/>
  <c r="J64" i="9" s="1"/>
  <c r="L21" i="9" s="1"/>
  <c r="I63" i="9"/>
  <c r="J63" i="9" s="1"/>
  <c r="L20" i="9" s="1"/>
  <c r="I62" i="9"/>
  <c r="J62" i="9" s="1"/>
  <c r="L19" i="9" s="1"/>
  <c r="I61" i="9"/>
  <c r="J61" i="9" s="1"/>
  <c r="L18" i="9" s="1"/>
  <c r="I60" i="9"/>
  <c r="J60" i="9" s="1"/>
  <c r="L17" i="9" s="1"/>
  <c r="I59" i="9"/>
  <c r="J59" i="9" s="1"/>
  <c r="L16" i="9" s="1"/>
  <c r="I58" i="9"/>
  <c r="J58" i="9" s="1"/>
  <c r="L15" i="9" s="1"/>
  <c r="I57" i="9"/>
  <c r="J57" i="9" s="1"/>
  <c r="L14" i="9" s="1"/>
  <c r="I56" i="9"/>
  <c r="J56" i="9" s="1"/>
  <c r="L13" i="9" s="1"/>
  <c r="I55" i="9"/>
  <c r="J55" i="9" s="1"/>
  <c r="L12" i="9" s="1"/>
  <c r="I54" i="9"/>
  <c r="J54" i="9" s="1"/>
  <c r="L11" i="9" s="1"/>
  <c r="I53" i="9"/>
  <c r="J53" i="9" s="1"/>
  <c r="L10" i="9" s="1"/>
  <c r="I52" i="9"/>
  <c r="J52" i="9" s="1"/>
  <c r="L9" i="9" s="1"/>
  <c r="I51" i="9"/>
  <c r="J51" i="9" s="1"/>
  <c r="L8" i="9" s="1"/>
  <c r="I50" i="9"/>
  <c r="J50" i="9" s="1"/>
  <c r="L7" i="9" s="1"/>
  <c r="I48" i="9"/>
  <c r="J48" i="9" s="1"/>
  <c r="L5" i="9" s="1"/>
  <c r="I49" i="9"/>
  <c r="J49" i="9" s="1"/>
  <c r="L6" i="9" s="1"/>
  <c r="I81" i="9"/>
  <c r="J81" i="9" s="1"/>
  <c r="L38" i="9" s="1"/>
  <c r="I80" i="9"/>
  <c r="J80" i="9" s="1"/>
  <c r="L37" i="9" s="1"/>
  <c r="I82" i="9"/>
  <c r="J82" i="9" s="1"/>
  <c r="L39" i="9" s="1"/>
  <c r="I47" i="9"/>
  <c r="J47" i="9" s="1"/>
  <c r="L4" i="9" s="1"/>
  <c r="D48" i="9"/>
  <c r="F48" i="9" s="1"/>
  <c r="J4" i="9"/>
  <c r="E5" i="5"/>
  <c r="E22" i="3"/>
  <c r="E12" i="2"/>
  <c r="E19" i="3" s="1"/>
  <c r="J36" i="9"/>
  <c r="M36" i="9" s="1"/>
  <c r="J37" i="9"/>
  <c r="M37" i="9" s="1"/>
  <c r="J38" i="9"/>
  <c r="M38" i="9" s="1"/>
  <c r="J39" i="9"/>
  <c r="M39" i="9" s="1"/>
  <c r="J6" i="9"/>
  <c r="J5" i="9"/>
  <c r="J7" i="9"/>
  <c r="M7" i="9" s="1"/>
  <c r="J8" i="9"/>
  <c r="J9" i="9"/>
  <c r="J10" i="9"/>
  <c r="M10" i="9" s="1"/>
  <c r="J11" i="9"/>
  <c r="M11" i="9" s="1"/>
  <c r="J12" i="9"/>
  <c r="M12" i="9" s="1"/>
  <c r="J13" i="9"/>
  <c r="J14" i="9"/>
  <c r="M14" i="9" s="1"/>
  <c r="J15" i="9"/>
  <c r="M15" i="9" s="1"/>
  <c r="J16" i="9"/>
  <c r="J17" i="9"/>
  <c r="M17" i="9" s="1"/>
  <c r="J18" i="9"/>
  <c r="M18" i="9" s="1"/>
  <c r="J19" i="9"/>
  <c r="M19" i="9" s="1"/>
  <c r="J20" i="9"/>
  <c r="M20" i="9" s="1"/>
  <c r="J21" i="9"/>
  <c r="J22" i="9"/>
  <c r="M22" i="9" s="1"/>
  <c r="J23" i="9"/>
  <c r="M23" i="9" s="1"/>
  <c r="J24" i="9"/>
  <c r="J25" i="9"/>
  <c r="M25" i="9" s="1"/>
  <c r="J26" i="9"/>
  <c r="M26" i="9" s="1"/>
  <c r="J27" i="9"/>
  <c r="M27" i="9" s="1"/>
  <c r="J28" i="9"/>
  <c r="M28" i="9" s="1"/>
  <c r="J29" i="9"/>
  <c r="J30" i="9"/>
  <c r="M30" i="9" s="1"/>
  <c r="J31" i="9"/>
  <c r="M31" i="9" s="1"/>
  <c r="J32" i="9"/>
  <c r="J33" i="9"/>
  <c r="M33" i="9" s="1"/>
  <c r="J34" i="9"/>
  <c r="M34" i="9" s="1"/>
  <c r="J35" i="9"/>
  <c r="M35" i="9" s="1"/>
  <c r="E21" i="3"/>
  <c r="E6" i="5"/>
  <c r="M4" i="9" l="1"/>
  <c r="M32" i="9"/>
  <c r="N32" i="9" s="1"/>
  <c r="M24" i="9"/>
  <c r="N24" i="9" s="1"/>
  <c r="M16" i="9"/>
  <c r="N16" i="9" s="1"/>
  <c r="M8" i="9"/>
  <c r="N8" i="9" s="1"/>
  <c r="M21" i="9"/>
  <c r="N21" i="9" s="1"/>
  <c r="M5" i="9"/>
  <c r="N5" i="9" s="1"/>
  <c r="M29" i="9"/>
  <c r="M6" i="9"/>
  <c r="M9" i="9"/>
  <c r="N9" i="9" s="1"/>
  <c r="M13" i="9"/>
  <c r="N4" i="9"/>
  <c r="N35" i="9"/>
  <c r="N34" i="9"/>
  <c r="N33" i="9"/>
  <c r="N31" i="9"/>
  <c r="N30" i="9"/>
  <c r="N29" i="9"/>
  <c r="N28" i="9"/>
  <c r="N27" i="9"/>
  <c r="N26" i="9"/>
  <c r="N25" i="9"/>
  <c r="N23" i="9"/>
  <c r="N22" i="9"/>
  <c r="N20" i="9"/>
  <c r="N19" i="9"/>
  <c r="N18" i="9"/>
  <c r="N17" i="9"/>
  <c r="N15" i="9"/>
  <c r="N14" i="9"/>
  <c r="N13" i="9"/>
  <c r="N12" i="9"/>
  <c r="N11" i="9"/>
  <c r="N10" i="9"/>
  <c r="N7" i="9"/>
  <c r="N6" i="9"/>
  <c r="N39" i="9"/>
  <c r="N38" i="9"/>
  <c r="N37" i="9"/>
  <c r="N36" i="9"/>
  <c r="E23" i="3"/>
  <c r="E26" i="3" s="1"/>
  <c r="E29" i="3" s="1"/>
  <c r="E31" i="3" s="1"/>
  <c r="E33" i="3" s="1"/>
  <c r="E7" i="5" s="1"/>
  <c r="E8" i="5" s="1"/>
  <c r="D47" i="9" l="1"/>
  <c r="E15" i="5"/>
  <c r="E10" i="5"/>
  <c r="D4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<sst xmlns="http://schemas.openxmlformats.org/spreadsheetml/2006/main" count="470" uniqueCount="298">
  <si>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</si>
  <si>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</si>
  <si>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</si>
  <si>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</si>
  <si>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</si>
  <si>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</si>
  <si>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</si>
  <si>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</si>
  <si>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</si>
  <si>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</si>
  <si>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</si>
  <si>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</si>
  <si>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</si>
  <si>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</si>
  <si>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</si>
  <si>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</si>
  <si>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</si>
  <si>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</si>
  <si>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</si>
  <si>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</si>
  <si>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</si>
  <si>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</si>
  <si>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</si>
  <si>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</si>
  <si>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</si>
  <si>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</si>
  <si>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</si>
  <si>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</si>
  <si>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</si>
  <si>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</si>
  <si>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</si>
  <si>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</si>
  <si>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</si>
  <si>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</si>
  <si>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</si>
  <si>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</si>
  <si>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</si>
  <si>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</si>
  <si>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</si>
  <si>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</si>
  <si>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</si>
  <si>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</si>
  <si>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</si>
  <si>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</si>
  <si>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</si>
  <si>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</si>
  <si>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</si>
  <si>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</si>
  <si>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</si>
  <si>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</si>
  <si>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</si>
  <si>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</si>
  <si>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</si>
  <si>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</si>
  <si>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</si>
  <si>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</si>
  <si>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</si>
  <si>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</si>
  <si>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</si>
  <si>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</si>
  <si>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</si>
  <si>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</si>
  <si>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</si>
  <si>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</si>
  <si>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</si>
  <si>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</si>
  <si>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</si>
  <si>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</si>
  <si>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</si>
  <si>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</si>
  <si>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</si>
  <si>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</si>
  <si>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</si>
  <si>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</si>
  <si>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</si>
  <si>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</si>
  <si>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</si>
  <si>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</si>
  <si>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</si>
  <si>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</si>
  <si>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</si>
  <si>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</si>
  <si>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</si>
  <si>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</si>
  <si>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</si>
  <si>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</si>
  <si>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</si>
  <si>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</si>
  <si>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</si>
  <si>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</si>
  <si>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</si>
  <si>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</si>
  <si>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</si>
  <si>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</si>
  <si>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</si>
  <si>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</si>
  <si>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</si>
  <si>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</si>
  <si>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</si>
  <si>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</si>
  <si>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</si>
  <si>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</si>
  <si>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</si>
  <si>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</si>
  <si>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</si>
  <si>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</si>
  <si>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</si>
  <si>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</si>
  <si>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</si>
  <si>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</si>
  <si>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</si>
  <si>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</si>
  <si>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</si>
  <si>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</si>
  <si>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</si>
  <si>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</si>
  <si>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</si>
  <si>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</si>
  <si>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</si>
  <si>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</si>
  <si>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</si>
  <si>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</si>
  <si>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</si>
  <si>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</si>
  <si>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</si>
  <si>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</si>
  <si>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</si>
  <si>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</si>
  <si>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</si>
  <si>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</si>
  <si>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</si>
  <si>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</si>
  <si>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</si>
  <si>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</si>
  <si>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</si>
  <si>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</si>
  <si>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</si>
  <si>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</si>
  <si>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</si>
  <si>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</si>
  <si>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</si>
  <si>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</si>
  <si>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</si>
  <si>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</si>
  <si>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</si>
  <si>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</si>
  <si>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</si>
  <si>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</si>
  <si>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</si>
  <si>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</si>
  <si>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</si>
  <si>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</si>
  <si>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</si>
  <si>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</si>
  <si>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</si>
  <si>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</si>
  <si>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</si>
  <si>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</si>
  <si>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</si>
  <si>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</si>
  <si>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</si>
  <si>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</si>
  <si>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</si>
  <si>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</si>
  <si>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</si>
  <si>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</si>
  <si>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</si>
  <si>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</si>
  <si>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</si>
  <si>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</si>
  <si>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</si>
  <si>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</si>
  <si>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</si>
  <si>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</si>
  <si>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</si>
  <si>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</si>
  <si>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</si>
  <si>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</si>
  <si>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</si>
  <si>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</si>
  <si>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</si>
  <si>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</si>
  <si>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</si>
  <si>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</si>
  <si>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</si>
  <si>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</si>
  <si>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</si>
  <si>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</si>
  <si>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</si>
  <si>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</si>
  <si>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</si>
  <si>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</si>
  <si>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</si>
  <si>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</si>
  <si>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</si>
  <si>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</si>
  <si>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</si>
  <si>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</si>
  <si>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</si>
  <si>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</si>
  <si>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</si>
  <si>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</si>
  <si>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</si>
  <si>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</si>
  <si>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</si>
  <si>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</si>
  <si>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</si>
  <si>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</si>
  <si>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</si>
  <si>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</si>
  <si>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</si>
  <si>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</si>
  <si>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</si>
  <si>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</si>
  <si>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</si>
  <si>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</si>
  <si>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</si>
  <si>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</si>
  <si>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</si>
  <si>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</si>
  <si>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</si>
  <si>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</si>
  <si>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</si>
  <si>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</si>
  <si>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</si>
  <si>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</si>
  <si>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</si>
  <si>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</si>
  <si>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</si>
  <si>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</si>
  <si>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</si>
  <si>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</si>
  <si>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</si>
  <si>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</si>
  <si>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</si>
  <si>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</si>
  <si>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</si>
  <si>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</si>
  <si>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</si>
  <si>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</si>
  <si>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</si>
  <si>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</si>
  <si>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</si>
  <si>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</si>
  <si>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</si>
  <si>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</si>
  <si>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</si>
  <si>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</si>
  <si>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</si>
  <si>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</si>
  <si>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</si>
  <si>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</si>
  <si>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</si>
  <si>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</si>
  <si>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</si>
  <si>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</si>
  <si>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</si>
  <si>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</si>
  <si>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</si>
  <si>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</si>
  <si>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</si>
  <si>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</si>
  <si>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</si>
  <si>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</si>
  <si>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</si>
  <si>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</si>
  <si>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</si>
  <si>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</si>
  <si>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</si>
  <si>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</si>
  <si>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</si>
  <si>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</si>
  <si>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</si>
  <si>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</si>
  <si>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</si>
  <si>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</si>
  <si>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</si>
  <si>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</si>
  <si>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</si>
  <si>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</si>
  <si>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</si>
  <si>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</si>
  <si>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</si>
  <si>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</si>
  <si>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</si>
  <si>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</si>
  <si>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</si>
  <si>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</si>
  <si>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</si>
  <si>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</si>
  <si>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 xml:space="preserve">100% to MECL Customers </t>
  </si>
  <si>
    <t>Approved and Proposed Rates</t>
  </si>
  <si>
    <t>Composition of Total Energy Charge per kWh by Rate Class</t>
  </si>
  <si>
    <t>May 1, 2026F</t>
  </si>
  <si>
    <t>March 1, 2025</t>
  </si>
  <si>
    <t>Total Energy Charge per kWh (A+B)</t>
  </si>
  <si>
    <t>2026 Adjustment for Non-compounding Interest</t>
  </si>
  <si>
    <t>Adjusted Equity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</si>
</sst>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0" fontId="6" fillId="0" borderId="6" xfId="0" applyFont="1" applyBorder="1"/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164" fontId="10" fillId="0" borderId="8" xfId="1" applyNumberFormat="1" applyFont="1" applyBorder="1" applyAlignment="1">
      <alignment horizontal="center" wrapText="1"/>
    </xf>
    <xf numFmtId="164" fontId="10" fillId="0" borderId="2" xfId="1" applyNumberFormat="1" applyFont="1" applyBorder="1" applyAlignment="1">
      <alignment horizontal="center" wrapText="1"/>
    </xf>
    <xf numFmtId="165" fontId="10" fillId="0" borderId="4" xfId="0" applyNumberFormat="1" applyFont="1" applyBorder="1"/>
    <xf numFmtId="164" fontId="43" fillId="0" borderId="4" xfId="0" applyNumberFormat="1" applyFont="1" applyBorder="1"/>
    <xf numFmtId="164" fontId="42" fillId="0" borderId="4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opLeftCell="A75" workbookViewId="0">
      <selection activeCell="F49" sqref="F49"/>
    </sheetView>
  </sheetViews>
  <sheetFormatPr defaultColWidth="9.109375" defaultRowHeight="13.8" x14ac:dyDescent="0.3"/>
  <cols>
    <col min="1" max="1" width="8.109375" style="1" customWidth="1"/>
    <col min="2" max="2" width="11.6640625" style="1" bestFit="1" customWidth="1"/>
    <col min="3" max="3" width="13.5546875" style="1" customWidth="1"/>
    <col min="4" max="4" width="12.44140625" style="1" customWidth="1"/>
    <col min="5" max="5" width="12.33203125" style="1" customWidth="1"/>
    <col min="6" max="6" width="14" style="1" bestFit="1" customWidth="1"/>
    <col min="7" max="7" width="13.109375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194</v>
      </c>
      <c r="F2" s="183" t="s">
        <v>154</v>
      </c>
      <c r="G2" s="187" t="s">
        <v>153</v>
      </c>
      <c r="H2" s="184" t="s">
        <v>156</v>
      </c>
      <c r="I2" s="184" t="s">
        <v>282</v>
      </c>
      <c r="J2" s="185" t="s">
        <v>162</v>
      </c>
      <c r="K2" s="185" t="s">
        <v>197</v>
      </c>
      <c r="L2" s="185" t="s">
        <v>161</v>
      </c>
      <c r="M2" s="186" t="s">
        <v>157</v>
      </c>
      <c r="N2" s="185" t="s">
        <v>290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1">
        <v>14755819.359999999</v>
      </c>
      <c r="C4" s="291">
        <f>-Retirements!D7</f>
        <v>-1281135.8560244311</v>
      </c>
      <c r="D4" s="291">
        <v>4522970.7300000004</v>
      </c>
      <c r="E4" s="291">
        <v>21385456</v>
      </c>
      <c r="F4" s="291">
        <f>+F3+B4+C4+D4+E4-'Annual Depreciation and CCA'!D45</f>
        <v>37450209.372061059</v>
      </c>
      <c r="G4" s="190">
        <f>(+'Annual Depreciation and CCA'!D65)*-1</f>
        <v>-1689818.6865687673</v>
      </c>
      <c r="H4" s="212">
        <f>ROUND(+F4+G4,-3)</f>
        <v>35760000</v>
      </c>
      <c r="I4" s="193">
        <f>+H4/('Rate Base &amp; Cost Capital'!E$28)</f>
        <v>5.9909287287153411E-2</v>
      </c>
      <c r="J4" s="292">
        <f>ROUND((+H4+H3)*'Rate Base &amp; Cost Capital'!E$26,0)</f>
        <v>2496000</v>
      </c>
      <c r="K4" s="292">
        <f>ROUND('Annual Depreciation and CCA'!D45,0)</f>
        <v>1932901</v>
      </c>
      <c r="L4" s="292">
        <f t="shared" ref="L4:L39" si="0">ROUND(+J47*0.3,0)</f>
        <v>637262</v>
      </c>
      <c r="M4" s="192">
        <f>ROUND(+J4+K4+L4,-3)</f>
        <v>5066000</v>
      </c>
      <c r="N4" s="291">
        <f t="shared" ref="N4:N35" si="1">ROUND(+M4*1,-3)</f>
        <v>5066000</v>
      </c>
    </row>
    <row r="5" spans="1:14" x14ac:dyDescent="0.3">
      <c r="A5" s="188">
        <f t="shared" ref="A5:A42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34804459.976813212</v>
      </c>
      <c r="G5" s="190">
        <f>(+'Annual Depreciation and CCA'!E65)*-1</f>
        <v>-1852990.1241429646</v>
      </c>
      <c r="H5" s="212">
        <f t="shared" ref="H5:H39" si="3">ROUND(+F5+G5,-3)</f>
        <v>32951000</v>
      </c>
      <c r="I5" s="193">
        <f>+H5/('Rate Base &amp; Cost Capital'!E$28)</f>
        <v>5.520332565433423E-2</v>
      </c>
      <c r="J5" s="191">
        <f>ROUND((+H5+H4)/2*'Rate Base &amp; Cost Capital'!E$26,0)</f>
        <v>2397967</v>
      </c>
      <c r="K5" s="191">
        <f>ROUND('Annual Depreciation and CCA'!E45,0)</f>
        <v>2645749</v>
      </c>
      <c r="L5" s="191">
        <f t="shared" si="0"/>
        <v>612233</v>
      </c>
      <c r="M5" s="192">
        <f t="shared" ref="M5:M35" si="4">ROUND(+J5+K5+L5,-3)</f>
        <v>5656000</v>
      </c>
      <c r="N5" s="189">
        <f t="shared" si="1"/>
        <v>5656000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32158710.581565369</v>
      </c>
      <c r="G6" s="190">
        <f>(+'Annual Depreciation and CCA'!F65)*-1</f>
        <v>-1990934.9556252777</v>
      </c>
      <c r="H6" s="212">
        <f t="shared" si="3"/>
        <v>30168000</v>
      </c>
      <c r="I6" s="193">
        <f>+H6/('Rate Base &amp; Cost Capital'!E$28)</f>
        <v>5.0540922228155594E-2</v>
      </c>
      <c r="J6" s="191">
        <f>ROUND((+H6+H5)/2*'Rate Base &amp; Cost Capital'!E$26,0)</f>
        <v>2202810</v>
      </c>
      <c r="K6" s="191">
        <f>ROUND('Annual Depreciation and CCA'!F45,0)</f>
        <v>2645749</v>
      </c>
      <c r="L6" s="191">
        <f t="shared" si="0"/>
        <v>562407</v>
      </c>
      <c r="M6" s="192">
        <f t="shared" si="4"/>
        <v>5411000</v>
      </c>
      <c r="N6" s="189">
        <f t="shared" si="1"/>
        <v>5411000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29512961.186317526</v>
      </c>
      <c r="G7" s="190">
        <f>(+'Annual Depreciation and CCA'!G65)*-1</f>
        <v>-2074924.0489584713</v>
      </c>
      <c r="H7" s="212">
        <f t="shared" si="3"/>
        <v>27438000</v>
      </c>
      <c r="I7" s="193">
        <f>+H7/('Rate Base &amp; Cost Capital'!E$28)</f>
        <v>4.596731053089808E-2</v>
      </c>
      <c r="J7" s="191">
        <f>ROUND((+H7+H6)/2*'Rate Base &amp; Cost Capital'!E$26,0)</f>
        <v>2010410</v>
      </c>
      <c r="K7" s="191">
        <f>ROUND('Annual Depreciation and CCA'!G45,0)</f>
        <v>2645749</v>
      </c>
      <c r="L7" s="191">
        <f t="shared" si="0"/>
        <v>513285</v>
      </c>
      <c r="M7" s="192">
        <f t="shared" si="4"/>
        <v>5169000</v>
      </c>
      <c r="N7" s="189">
        <f t="shared" si="1"/>
        <v>5169000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26867211.791069683</v>
      </c>
      <c r="G8" s="190">
        <f>(+'Annual Depreciation and CCA'!H65)*-1</f>
        <v>-2140021.1237390609</v>
      </c>
      <c r="H8" s="212">
        <f t="shared" si="3"/>
        <v>24727000</v>
      </c>
      <c r="I8" s="193">
        <f>+H8/('Rate Base &amp; Cost Capital'!E$28)</f>
        <v>4.1425529830800958E-2</v>
      </c>
      <c r="J8" s="191">
        <f>ROUND((+H8+H7)/2*'Rate Base &amp; Cost Capital'!E$26,0)</f>
        <v>1820523</v>
      </c>
      <c r="K8" s="191">
        <f>ROUND('Annual Depreciation and CCA'!H45,0)</f>
        <v>2645749</v>
      </c>
      <c r="L8" s="191">
        <f t="shared" si="0"/>
        <v>464804</v>
      </c>
      <c r="M8" s="192">
        <f t="shared" si="4"/>
        <v>4931000</v>
      </c>
      <c r="N8" s="189">
        <f t="shared" si="1"/>
        <v>4931000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24221462.39582184</v>
      </c>
      <c r="G9" s="190">
        <f>(+'Annual Depreciation and CCA'!I65)*-1</f>
        <v>-2187737.5414512553</v>
      </c>
      <c r="H9" s="212">
        <f t="shared" si="3"/>
        <v>22034000</v>
      </c>
      <c r="I9" s="193">
        <f>+H9/('Rate Base &amp; Cost Capital'!E$28)</f>
        <v>3.6913904812224223E-2</v>
      </c>
      <c r="J9" s="191">
        <f>ROUND((+H9+H8)/2*'Rate Base &amp; Cost Capital'!E$26,0)</f>
        <v>1631927</v>
      </c>
      <c r="K9" s="191">
        <f>ROUND('Annual Depreciation and CCA'!I45,0)</f>
        <v>2645749</v>
      </c>
      <c r="L9" s="191">
        <f t="shared" si="0"/>
        <v>416653</v>
      </c>
      <c r="M9" s="192">
        <f t="shared" si="4"/>
        <v>4694000</v>
      </c>
      <c r="N9" s="189">
        <f t="shared" si="1"/>
        <v>4694000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21575713.000573996</v>
      </c>
      <c r="G10" s="190">
        <f>(+'Annual Depreciation and CCA'!J65)*-1</f>
        <v>-2219463.7546605263</v>
      </c>
      <c r="H10" s="212">
        <f t="shared" si="3"/>
        <v>19356000</v>
      </c>
      <c r="I10" s="193">
        <f>+H10/('Rate Base &amp; Cost Capital'!E$28)</f>
        <v>3.2427409528247804E-2</v>
      </c>
      <c r="J10" s="191">
        <f>ROUND((+H10+H9)/2*'Rate Base &amp; Cost Capital'!E$26,0)</f>
        <v>1444483</v>
      </c>
      <c r="K10" s="191">
        <f>ROUND('Annual Depreciation and CCA'!J45,0)</f>
        <v>2645749</v>
      </c>
      <c r="L10" s="191">
        <f t="shared" si="0"/>
        <v>368796</v>
      </c>
      <c r="M10" s="192">
        <f t="shared" si="4"/>
        <v>4459000</v>
      </c>
      <c r="N10" s="189">
        <f t="shared" si="1"/>
        <v>4459000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18929963.605326153</v>
      </c>
      <c r="G11" s="194">
        <f>-'Annual Depreciation and CCA'!K65</f>
        <v>-2236478.9797271066</v>
      </c>
      <c r="H11" s="212">
        <f t="shared" si="3"/>
        <v>16693000</v>
      </c>
      <c r="I11" s="193">
        <f>+H11/('Rate Base &amp; Cost Capital'!E$28)</f>
        <v>2.7966043978871695E-2</v>
      </c>
      <c r="J11" s="191">
        <f>ROUND((+H11+H10)/2*'Rate Base &amp; Cost Capital'!E$26,0)</f>
        <v>1258086</v>
      </c>
      <c r="K11" s="191">
        <f>ROUND('Annual Depreciation and CCA'!K45,0)</f>
        <v>2645749</v>
      </c>
      <c r="L11" s="191">
        <f t="shared" si="0"/>
        <v>321206</v>
      </c>
      <c r="M11" s="192">
        <f t="shared" si="4"/>
        <v>4225000</v>
      </c>
      <c r="N11" s="189">
        <f t="shared" si="1"/>
        <v>4225000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16284214.21007831</v>
      </c>
      <c r="G12" s="194">
        <f>-'Annual Depreciation and CCA'!L65</f>
        <v>-2239960.0957024125</v>
      </c>
      <c r="H12" s="212">
        <f t="shared" si="3"/>
        <v>14044000</v>
      </c>
      <c r="I12" s="193">
        <f>+H12/('Rate Base &amp; Cost Capital'!E$28)</f>
        <v>2.3528132848455886E-2</v>
      </c>
      <c r="J12" s="191">
        <f>ROUND((+H12+H11)/2*'Rate Base &amp; Cost Capital'!E$26,0)</f>
        <v>1072701</v>
      </c>
      <c r="K12" s="191">
        <f>ROUND('Annual Depreciation and CCA'!L45,0)</f>
        <v>2645749</v>
      </c>
      <c r="L12" s="191">
        <f t="shared" si="0"/>
        <v>273875</v>
      </c>
      <c r="M12" s="192">
        <f t="shared" si="4"/>
        <v>3992000</v>
      </c>
      <c r="N12" s="189">
        <f t="shared" si="1"/>
        <v>3992000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13638464.814830467</v>
      </c>
      <c r="G13" s="194">
        <f>-'Annual Depreciation and CCA'!M65</f>
        <v>-2230989.8313137461</v>
      </c>
      <c r="H13" s="212">
        <f t="shared" si="3"/>
        <v>11407000</v>
      </c>
      <c r="I13" s="193">
        <f>+H13/('Rate Base &amp; Cost Capital'!E$28)</f>
        <v>1.9110325505720328E-2</v>
      </c>
      <c r="J13" s="191">
        <f>ROUND((+H13+H12)/2*'Rate Base &amp; Cost Capital'!E$26,0)</f>
        <v>888223</v>
      </c>
      <c r="K13" s="191">
        <f>ROUND('Annual Depreciation and CCA'!M45,0)</f>
        <v>2645749</v>
      </c>
      <c r="L13" s="191">
        <f t="shared" si="0"/>
        <v>226775</v>
      </c>
      <c r="M13" s="192">
        <f t="shared" si="4"/>
        <v>3761000</v>
      </c>
      <c r="N13" s="189">
        <f t="shared" si="1"/>
        <v>3761000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12418412.48624929</v>
      </c>
      <c r="G14" s="194">
        <f>-'Annual Depreciation and CCA'!N65</f>
        <v>-2210564.2969902242</v>
      </c>
      <c r="H14" s="212">
        <f t="shared" si="3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754349</v>
      </c>
      <c r="K14" s="191">
        <f>ROUND('Annual Depreciation and CCA'!N45,0)</f>
        <v>1220052</v>
      </c>
      <c r="L14" s="191">
        <f t="shared" si="0"/>
        <v>192595</v>
      </c>
      <c r="M14" s="192">
        <f t="shared" si="4"/>
        <v>2167000</v>
      </c>
      <c r="N14" s="189">
        <f t="shared" si="1"/>
        <v>2167000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11911208.691001447</v>
      </c>
      <c r="G15" s="194">
        <f>-'Annual Depreciation and CCA'!O65</f>
        <v>-2179599.9143266361</v>
      </c>
      <c r="H15" s="212">
        <f t="shared" si="3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695893</v>
      </c>
      <c r="K15" s="191">
        <f>ROUND('Annual Depreciation and CCA'!O45,0)</f>
        <v>507204</v>
      </c>
      <c r="L15" s="191">
        <f t="shared" si="0"/>
        <v>177671</v>
      </c>
      <c r="M15" s="192">
        <f t="shared" si="4"/>
        <v>1381000</v>
      </c>
      <c r="N15" s="189">
        <f t="shared" si="1"/>
        <v>1381000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11404004.895753603</v>
      </c>
      <c r="G16" s="194">
        <f>-'Annual Depreciation and CCA'!P65</f>
        <v>-2138939.7911901865</v>
      </c>
      <c r="H16" s="212">
        <f t="shared" si="3"/>
        <v>9265000</v>
      </c>
      <c r="I16" s="193">
        <f>+H16/('Rate Base &amp; Cost Capital'!E$28)</f>
        <v>1.55217994047952E-2</v>
      </c>
      <c r="J16" s="191">
        <f>ROUND((+H16+H15)/2*'Rate Base &amp; Cost Capital'!E$26,0)</f>
        <v>662982</v>
      </c>
      <c r="K16" s="191">
        <f>ROUND('Annual Depreciation and CCA'!P45,0)</f>
        <v>507204</v>
      </c>
      <c r="L16" s="191">
        <f t="shared" si="0"/>
        <v>169268</v>
      </c>
      <c r="M16" s="192">
        <f t="shared" si="4"/>
        <v>1339000</v>
      </c>
      <c r="N16" s="189">
        <f t="shared" si="1"/>
        <v>1339000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10896801.10050576</v>
      </c>
      <c r="G17" s="194">
        <f>-'Annual Depreciation and CCA'!Q65</f>
        <v>-2089359.5868187048</v>
      </c>
      <c r="H17" s="212">
        <f t="shared" si="3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630701</v>
      </c>
      <c r="K17" s="191">
        <f>ROUND('Annual Depreciation and CCA'!Q45,0)</f>
        <v>507204</v>
      </c>
      <c r="L17" s="191">
        <f t="shared" si="0"/>
        <v>161026</v>
      </c>
      <c r="M17" s="192">
        <f t="shared" si="4"/>
        <v>1299000</v>
      </c>
      <c r="N17" s="189">
        <f t="shared" si="1"/>
        <v>1299000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10389597.305257916</v>
      </c>
      <c r="G18" s="194">
        <f>-'Annual Depreciation and CCA'!R65</f>
        <v>-2031572.9077109932</v>
      </c>
      <c r="H18" s="212">
        <f t="shared" si="3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599047</v>
      </c>
      <c r="K18" s="191">
        <f>ROUND('Annual Depreciation and CCA'!R45,0)</f>
        <v>507204</v>
      </c>
      <c r="L18" s="191">
        <f t="shared" si="0"/>
        <v>152945</v>
      </c>
      <c r="M18" s="192">
        <f t="shared" si="4"/>
        <v>1259000</v>
      </c>
      <c r="N18" s="189">
        <f t="shared" si="1"/>
        <v>1259000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9882393.510010073</v>
      </c>
      <c r="G19" s="194">
        <f>-'Annual Depreciation and CCA'!S65</f>
        <v>-1966236.2718459505</v>
      </c>
      <c r="H19" s="212">
        <f t="shared" si="3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567952</v>
      </c>
      <c r="K19" s="191">
        <f>ROUND('Annual Depreciation and CCA'!S45,0)</f>
        <v>507204</v>
      </c>
      <c r="L19" s="191">
        <f t="shared" si="0"/>
        <v>145006</v>
      </c>
      <c r="M19" s="192">
        <f t="shared" si="4"/>
        <v>1220000</v>
      </c>
      <c r="N19" s="189">
        <f t="shared" si="1"/>
        <v>1220000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9375189.7147622295</v>
      </c>
      <c r="G20" s="194">
        <f>-'Annual Depreciation and CCA'!T65</f>
        <v>-1893953.6757641628</v>
      </c>
      <c r="H20" s="212">
        <f t="shared" si="3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537345</v>
      </c>
      <c r="K20" s="191">
        <f>ROUND('Annual Depreciation and CCA'!T45,0)</f>
        <v>507204</v>
      </c>
      <c r="L20" s="191">
        <f t="shared" si="0"/>
        <v>137191</v>
      </c>
      <c r="M20" s="192">
        <f t="shared" si="4"/>
        <v>1182000</v>
      </c>
      <c r="N20" s="189">
        <f t="shared" si="1"/>
        <v>1182000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8867985.919514386</v>
      </c>
      <c r="G21" s="194">
        <f>-'Annual Depreciation and CCA'!U65</f>
        <v>-1815280.7962829701</v>
      </c>
      <c r="H21" s="212">
        <f t="shared" si="3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507227</v>
      </c>
      <c r="K21" s="191">
        <f>ROUND('Annual Depreciation and CCA'!U45,0)</f>
        <v>507204</v>
      </c>
      <c r="L21" s="191">
        <f t="shared" si="0"/>
        <v>129502</v>
      </c>
      <c r="M21" s="192">
        <f t="shared" si="4"/>
        <v>1144000</v>
      </c>
      <c r="N21" s="189">
        <f t="shared" si="1"/>
        <v>1144000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8360782.1242665425</v>
      </c>
      <c r="G22" s="194">
        <f>-'Annual Depreciation and CCA'!V65</f>
        <v>-1730728.8560743246</v>
      </c>
      <c r="H22" s="212">
        <f t="shared" si="3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477527</v>
      </c>
      <c r="K22" s="191">
        <f>ROUND('Annual Depreciation and CCA'!V45,0)</f>
        <v>507204</v>
      </c>
      <c r="L22" s="191">
        <f t="shared" si="0"/>
        <v>121919</v>
      </c>
      <c r="M22" s="192">
        <f t="shared" si="4"/>
        <v>1107000</v>
      </c>
      <c r="N22" s="189">
        <f t="shared" si="1"/>
        <v>1107000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7853578.329018699</v>
      </c>
      <c r="G23" s="194">
        <f>-'Annual Depreciation and CCA'!W65</f>
        <v>-1640768.1799964223</v>
      </c>
      <c r="H23" s="212">
        <f t="shared" si="3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448212</v>
      </c>
      <c r="K23" s="191">
        <f>ROUND('Annual Depreciation and CCA'!W45,0)</f>
        <v>507204</v>
      </c>
      <c r="L23" s="191">
        <f t="shared" si="0"/>
        <v>114435</v>
      </c>
      <c r="M23" s="192">
        <f t="shared" si="4"/>
        <v>1070000</v>
      </c>
      <c r="N23" s="189">
        <f t="shared" si="1"/>
        <v>1070000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7346374.5337708555</v>
      </c>
      <c r="G24" s="194">
        <f>-'Annual Depreciation and CCA'!X65</f>
        <v>-1545831.466918804</v>
      </c>
      <c r="H24" s="212">
        <f t="shared" si="3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419280</v>
      </c>
      <c r="K24" s="191">
        <f>ROUND('Annual Depreciation and CCA'!X45,0)</f>
        <v>507204</v>
      </c>
      <c r="L24" s="191">
        <f t="shared" si="0"/>
        <v>107048</v>
      </c>
      <c r="M24" s="192">
        <f t="shared" si="4"/>
        <v>1034000</v>
      </c>
      <c r="N24" s="189">
        <f t="shared" si="1"/>
        <v>1034000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6839170.738523012</v>
      </c>
      <c r="G25" s="194">
        <f>-'Annual Depreciation and CCA'!Y65</f>
        <v>-1446316.7998014467</v>
      </c>
      <c r="H25" s="212">
        <f t="shared" si="3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390663</v>
      </c>
      <c r="K25" s="191">
        <f>ROUND('Annual Depreciation and CCA'!Y45,0)</f>
        <v>507204</v>
      </c>
      <c r="L25" s="191">
        <f t="shared" si="0"/>
        <v>99741</v>
      </c>
      <c r="M25" s="192">
        <f t="shared" si="4"/>
        <v>998000</v>
      </c>
      <c r="N25" s="189">
        <f t="shared" si="1"/>
        <v>998000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6331966.9432751685</v>
      </c>
      <c r="G26" s="194">
        <f>-'Annual Depreciation and CCA'!Z65</f>
        <v>-1342590.4149675299</v>
      </c>
      <c r="H26" s="212">
        <f t="shared" si="3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362325</v>
      </c>
      <c r="K26" s="191">
        <f>ROUND('Annual Depreciation and CCA'!Z45,0)</f>
        <v>507204</v>
      </c>
      <c r="L26" s="191">
        <f t="shared" si="0"/>
        <v>92506</v>
      </c>
      <c r="M26" s="192">
        <f t="shared" si="4"/>
        <v>962000</v>
      </c>
      <c r="N26" s="189">
        <f t="shared" si="1"/>
        <v>962000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5824763.148027325</v>
      </c>
      <c r="G27" s="194">
        <f>-'Annual Depreciation and CCA'!AA65</f>
        <v>-1234989.2498343782</v>
      </c>
      <c r="H27" s="212">
        <f t="shared" si="3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334301</v>
      </c>
      <c r="K27" s="191">
        <f>ROUND('Annual Depreciation and CCA'!AA45,0)</f>
        <v>507204</v>
      </c>
      <c r="L27" s="191">
        <f t="shared" si="0"/>
        <v>85351</v>
      </c>
      <c r="M27" s="192">
        <f t="shared" si="4"/>
        <v>927000</v>
      </c>
      <c r="N27" s="189">
        <f t="shared" si="1"/>
        <v>927000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5317559.3527794816</v>
      </c>
      <c r="G28" s="194">
        <f>-'Annual Depreciation and CCA'!AB65</f>
        <v>-1123823.2868259305</v>
      </c>
      <c r="H28" s="212">
        <f t="shared" si="3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306556</v>
      </c>
      <c r="K28" s="191">
        <f>ROUND('Annual Depreciation and CCA'!AB45,0)-1</f>
        <v>507203</v>
      </c>
      <c r="L28" s="191">
        <f t="shared" si="0"/>
        <v>78268</v>
      </c>
      <c r="M28" s="192">
        <f t="shared" si="4"/>
        <v>892000</v>
      </c>
      <c r="N28" s="189">
        <f t="shared" si="1"/>
        <v>892000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4810355.5575316381</v>
      </c>
      <c r="G29" s="194">
        <f>-'Annual Depreciation and CCA'!AC65</f>
        <v>-1009377.7097722103</v>
      </c>
      <c r="H29" s="212">
        <f t="shared" si="3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279020</v>
      </c>
      <c r="K29" s="191">
        <f>ROUND('Annual Depreciation and CCA'!AC45,0)-1</f>
        <v>507203</v>
      </c>
      <c r="L29" s="191">
        <f t="shared" si="0"/>
        <v>71238</v>
      </c>
      <c r="M29" s="192">
        <f t="shared" si="4"/>
        <v>857000</v>
      </c>
      <c r="N29" s="189">
        <f t="shared" si="1"/>
        <v>857000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4303151.7622837946</v>
      </c>
      <c r="G30" s="194">
        <f>-'Annual Depreciation and CCA'!AD65</f>
        <v>-891914.88779683947</v>
      </c>
      <c r="H30" s="212">
        <f t="shared" si="3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251694</v>
      </c>
      <c r="K30" s="191">
        <f>ROUND('Annual Depreciation and CCA'!AD45,0)-1</f>
        <v>507203</v>
      </c>
      <c r="L30" s="191">
        <f t="shared" si="0"/>
        <v>64261</v>
      </c>
      <c r="M30" s="192">
        <f t="shared" si="4"/>
        <v>823000</v>
      </c>
      <c r="N30" s="189">
        <f t="shared" si="1"/>
        <v>823000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3795947.9670359506</v>
      </c>
      <c r="G31" s="194">
        <f>-'Annual Depreciation and CCA'!AE65</f>
        <v>-771676.20049355004</v>
      </c>
      <c r="H31" s="212">
        <f t="shared" si="3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224577</v>
      </c>
      <c r="K31" s="191">
        <f>ROUND('Annual Depreciation and CCA'!AE45,0)-1</f>
        <v>507203</v>
      </c>
      <c r="L31" s="191">
        <f t="shared" si="0"/>
        <v>57338</v>
      </c>
      <c r="M31" s="192">
        <f t="shared" si="4"/>
        <v>789000</v>
      </c>
      <c r="N31" s="189">
        <f t="shared" si="1"/>
        <v>789000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3288744.1717881067</v>
      </c>
      <c r="G32" s="194">
        <f>-'Annual Depreciation and CCA'!AF65</f>
        <v>-648883.71708857559</v>
      </c>
      <c r="H32" s="212">
        <f t="shared" si="3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197670</v>
      </c>
      <c r="K32" s="191">
        <f>ROUND('Annual Depreciation and CCA'!AF45,0)-1</f>
        <v>507203</v>
      </c>
      <c r="L32" s="191">
        <f t="shared" si="0"/>
        <v>50468</v>
      </c>
      <c r="M32" s="192">
        <f t="shared" si="4"/>
        <v>755000</v>
      </c>
      <c r="N32" s="189">
        <f t="shared" si="1"/>
        <v>755000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2781540.3765402627</v>
      </c>
      <c r="G33" s="194">
        <f>-'Annual Depreciation and CCA'!AG65</f>
        <v>-523741.74127005076</v>
      </c>
      <c r="H33" s="212">
        <f t="shared" si="3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170937</v>
      </c>
      <c r="K33" s="191">
        <f>ROUND('Annual Depreciation and CCA'!AG45,0)-1</f>
        <v>507203</v>
      </c>
      <c r="L33" s="191">
        <f t="shared" si="0"/>
        <v>43642</v>
      </c>
      <c r="M33" s="192">
        <f t="shared" si="4"/>
        <v>722000</v>
      </c>
      <c r="N33" s="189">
        <f t="shared" si="1"/>
        <v>722000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2274336.5812924188</v>
      </c>
      <c r="G34" s="194">
        <f>-'Annual Depreciation and CCA'!AH65</f>
        <v>-396438.23243105965</v>
      </c>
      <c r="H34" s="212">
        <f t="shared" si="3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144344</v>
      </c>
      <c r="K34" s="191">
        <f>ROUND('Annual Depreciation and CCA'!AH45,0)</f>
        <v>507204</v>
      </c>
      <c r="L34" s="191">
        <f t="shared" si="0"/>
        <v>36853</v>
      </c>
      <c r="M34" s="192">
        <f t="shared" si="4"/>
        <v>688000</v>
      </c>
      <c r="N34" s="189">
        <f t="shared" si="1"/>
        <v>688000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1767132.7860445748</v>
      </c>
      <c r="G35" s="194">
        <f>-'Annual Depreciation and CCA'!AI65</f>
        <v>-267146.11321323965</v>
      </c>
      <c r="H35" s="212">
        <f t="shared" si="3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117890</v>
      </c>
      <c r="K35" s="191">
        <f>ROUND('Annual Depreciation and CCA'!AI45,0)</f>
        <v>507204</v>
      </c>
      <c r="L35" s="191">
        <f t="shared" si="0"/>
        <v>30099</v>
      </c>
      <c r="M35" s="192">
        <f t="shared" si="4"/>
        <v>655000</v>
      </c>
      <c r="N35" s="189">
        <f t="shared" si="1"/>
        <v>655000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1259928.9907967309</v>
      </c>
      <c r="G36" s="194">
        <f>-'Annual Depreciation and CCA'!AJ65</f>
        <v>-136024.47244689695</v>
      </c>
      <c r="H36" s="212">
        <f t="shared" si="3"/>
        <v>1124000</v>
      </c>
      <c r="I36" s="193">
        <f>+H36/('Rate Base &amp; Cost Capital'!E$28)</f>
        <v>1.883054779383681E-3</v>
      </c>
      <c r="J36" s="191">
        <f>ROUND((+H36+H35)/2*'Rate Base &amp; Cost Capital'!E$26,0)</f>
        <v>91576</v>
      </c>
      <c r="K36" s="191">
        <f>ROUND('Annual Depreciation and CCA'!AJ45,0)</f>
        <v>507204</v>
      </c>
      <c r="L36" s="191">
        <f t="shared" si="0"/>
        <v>23381</v>
      </c>
      <c r="M36" s="192">
        <f t="shared" ref="M36:M39" si="7">ROUND(+J36+K36+L36,-3)</f>
        <v>622000</v>
      </c>
      <c r="N36" s="189">
        <f t="shared" ref="N36:N39" si="8">ROUND(+M36*1,-3)</f>
        <v>622000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752725.19554888702</v>
      </c>
      <c r="G37" s="194">
        <f>-'Annual Depreciation and CCA'!AK65</f>
        <v>-3219.6718559134574</v>
      </c>
      <c r="H37" s="212">
        <f t="shared" si="3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65401</v>
      </c>
      <c r="K37" s="191">
        <f>ROUND('Annual Depreciation and CCA'!AK45,0)</f>
        <v>507204</v>
      </c>
      <c r="L37" s="191">
        <f t="shared" si="0"/>
        <v>16698</v>
      </c>
      <c r="M37" s="192">
        <f t="shared" si="7"/>
        <v>589000</v>
      </c>
      <c r="N37" s="189">
        <f t="shared" si="8"/>
        <v>589000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245521.40030104318</v>
      </c>
      <c r="G38" s="194">
        <f>-'Annual Depreciation and CCA'!AL65</f>
        <v>131133.63577373963</v>
      </c>
      <c r="H38" s="212">
        <f t="shared" si="3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39332</v>
      </c>
      <c r="K38" s="191">
        <f>ROUND('Annual Depreciation and CCA'!AL45,0)</f>
        <v>507204</v>
      </c>
      <c r="L38" s="191">
        <f t="shared" si="0"/>
        <v>10042</v>
      </c>
      <c r="M38" s="192">
        <f t="shared" si="7"/>
        <v>557000</v>
      </c>
      <c r="N38" s="189">
        <f t="shared" si="8"/>
        <v>557000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0.40030104317702353</v>
      </c>
      <c r="G39" s="194">
        <f>-'Annual Depreciation and CCA'!AM65</f>
        <v>188406.73130461556</v>
      </c>
      <c r="H39" s="212">
        <f t="shared" si="3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19718</v>
      </c>
      <c r="K39" s="191">
        <f>ROUND('Annual Depreciation and CCA'!AM45,0)</f>
        <v>245521</v>
      </c>
      <c r="L39" s="191">
        <f t="shared" si="0"/>
        <v>5034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>
        <f t="shared" si="2"/>
        <v>37</v>
      </c>
      <c r="B40" s="189"/>
      <c r="C40" s="189"/>
      <c r="D40" s="189"/>
      <c r="E40" s="285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>
        <f t="shared" si="2"/>
        <v>38</v>
      </c>
      <c r="B41" s="189"/>
      <c r="C41" s="189"/>
      <c r="D41" s="189"/>
      <c r="E41" s="285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>
        <f t="shared" si="2"/>
        <v>39</v>
      </c>
      <c r="B42" s="189">
        <v>0</v>
      </c>
      <c r="C42" s="189"/>
      <c r="D42" s="285"/>
      <c r="E42" s="285"/>
      <c r="F42" s="189">
        <f>+F41-'Annual Depreciation and CCA'!AP$45</f>
        <v>0</v>
      </c>
      <c r="G42" s="189"/>
      <c r="H42" s="212"/>
      <c r="I42" s="286"/>
      <c r="J42" s="287"/>
      <c r="K42" s="191">
        <f>ROUND('Annual Depreciation and CCA'!AP45,0)</f>
        <v>0</v>
      </c>
      <c r="L42" s="287"/>
      <c r="M42" s="288"/>
      <c r="N42" s="285"/>
    </row>
    <row r="43" spans="1:14" x14ac:dyDescent="0.3">
      <c r="A43" s="213" t="s">
        <v>167</v>
      </c>
      <c r="B43" s="217">
        <f>SUM(B3:B35)</f>
        <v>14755819.359999999</v>
      </c>
      <c r="C43" s="217">
        <f>SUM(C3:C35)</f>
        <v>-1281135.8560244311</v>
      </c>
      <c r="D43" s="284">
        <f>SUM(D3:D36)</f>
        <v>4522970.7300000004</v>
      </c>
      <c r="E43" s="217">
        <f>SUM(E3:E35)</f>
        <v>21385456</v>
      </c>
      <c r="F43" s="217"/>
      <c r="G43" s="214"/>
      <c r="H43" s="215"/>
      <c r="I43" s="216"/>
      <c r="J43" s="246">
        <f>SUM(J3:J42)</f>
        <v>26519649</v>
      </c>
      <c r="K43" s="246">
        <f t="shared" ref="K43:N43" si="9">SUM(K3:K42)</f>
        <v>39383105</v>
      </c>
      <c r="L43" s="246">
        <f t="shared" si="9"/>
        <v>6770822</v>
      </c>
      <c r="M43" s="246">
        <f t="shared" si="9"/>
        <v>72672000</v>
      </c>
      <c r="N43" s="246">
        <f t="shared" si="9"/>
        <v>72672000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6" t="s">
        <v>163</v>
      </c>
      <c r="H45" s="307"/>
      <c r="I45" s="307"/>
      <c r="J45" s="308"/>
      <c r="K45" s="200"/>
      <c r="L45" s="201"/>
      <c r="M45" s="196"/>
      <c r="N45" s="196"/>
    </row>
    <row r="46" spans="1:14" ht="66.599999999999994" x14ac:dyDescent="0.3">
      <c r="A46" s="202"/>
      <c r="B46" s="196"/>
      <c r="C46" s="196"/>
      <c r="D46" s="196"/>
      <c r="E46" s="301" t="s">
        <v>296</v>
      </c>
      <c r="F46" s="302" t="s">
        <v>297</v>
      </c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238</v>
      </c>
      <c r="B47" s="196"/>
      <c r="D47" s="258">
        <f>+J43-D48</f>
        <v>10721069.941561645</v>
      </c>
      <c r="E47" s="202"/>
      <c r="F47" s="303"/>
      <c r="G47" s="206">
        <f t="shared" ref="G47:G82" si="10">A4</f>
        <v>1</v>
      </c>
      <c r="H47" s="207">
        <f>(H4)*'Rate Base &amp; Cost Capital'!E$25</f>
        <v>1486944.655488967</v>
      </c>
      <c r="I47" s="207">
        <f>H47/(1-30%)</f>
        <v>2124206.6506985244</v>
      </c>
      <c r="J47" s="208">
        <f t="shared" ref="J47:J79" si="11">SUM(I47:I47)</f>
        <v>2124206.6506985244</v>
      </c>
      <c r="K47" s="202"/>
      <c r="L47" s="202"/>
      <c r="M47" s="202"/>
      <c r="N47" s="202"/>
    </row>
    <row r="48" spans="1:14" ht="15" x14ac:dyDescent="0.4">
      <c r="A48" s="257" t="s">
        <v>239</v>
      </c>
      <c r="B48" s="196"/>
      <c r="D48" s="259">
        <f>SUM(H47:H83)</f>
        <v>15798579.058438355</v>
      </c>
      <c r="E48" s="207">
        <f>-562016*0.698</f>
        <v>-392287.16799999995</v>
      </c>
      <c r="F48" s="305">
        <f>SUM(D48:E48)</f>
        <v>15406291.890438356</v>
      </c>
      <c r="G48" s="206">
        <f t="shared" si="10"/>
        <v>2</v>
      </c>
      <c r="H48" s="207">
        <f>(H4+H5)/2*'Rate Base &amp; Cost Capital'!E$25</f>
        <v>1428543.8230327519</v>
      </c>
      <c r="I48" s="207">
        <f t="shared" ref="I48:I82" si="12">H48/(1-30%)</f>
        <v>2040776.8900467886</v>
      </c>
      <c r="J48" s="208">
        <f t="shared" si="11"/>
        <v>2040776.8900467886</v>
      </c>
      <c r="K48" s="202"/>
      <c r="L48" s="202"/>
      <c r="M48" s="202"/>
      <c r="N48" s="202"/>
    </row>
    <row r="49" spans="1:14" ht="15" x14ac:dyDescent="0.4">
      <c r="A49" s="257" t="s">
        <v>240</v>
      </c>
      <c r="B49" s="196"/>
      <c r="D49" s="260">
        <f>SUM(D47:D48)</f>
        <v>26519649</v>
      </c>
      <c r="E49" s="202"/>
      <c r="F49" s="304">
        <f>+D47+F48</f>
        <v>26127361.832000002</v>
      </c>
      <c r="G49" s="206">
        <f t="shared" si="10"/>
        <v>3</v>
      </c>
      <c r="H49" s="207">
        <f>(H5+H6)/2*'Rate Base &amp; Cost Capital'!E$25</f>
        <v>1312282.7140633124</v>
      </c>
      <c r="I49" s="207">
        <f t="shared" si="12"/>
        <v>1874689.5915190179</v>
      </c>
      <c r="J49" s="208">
        <f t="shared" si="11"/>
        <v>1874689.5915190179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1197664.0635360379</v>
      </c>
      <c r="I50" s="207">
        <f t="shared" si="12"/>
        <v>1710948.66219434</v>
      </c>
      <c r="J50" s="208">
        <f t="shared" si="11"/>
        <v>1710948.66219434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1084542.3371585845</v>
      </c>
      <c r="I51" s="207">
        <f t="shared" si="12"/>
        <v>1549346.1959408352</v>
      </c>
      <c r="J51" s="208">
        <f t="shared" si="11"/>
        <v>1549346.1959408352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972189.86346923362</v>
      </c>
      <c r="I52" s="207">
        <f t="shared" si="12"/>
        <v>1388842.6620989053</v>
      </c>
      <c r="J52" s="208">
        <f t="shared" si="11"/>
        <v>1388842.6620989053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860523.48001521733</v>
      </c>
      <c r="I53" s="207">
        <f t="shared" si="12"/>
        <v>1229319.2571645963</v>
      </c>
      <c r="J53" s="208">
        <f t="shared" si="11"/>
        <v>1229319.2571645963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749480.81495695992</v>
      </c>
      <c r="I54" s="207">
        <f t="shared" si="12"/>
        <v>1070686.8785099429</v>
      </c>
      <c r="J54" s="208">
        <f t="shared" si="11"/>
        <v>1070686.8785099429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639041.07768126926</v>
      </c>
      <c r="I55" s="207">
        <f t="shared" si="12"/>
        <v>912915.82525895617</v>
      </c>
      <c r="J55" s="208">
        <f t="shared" si="11"/>
        <v>912915.82525895617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529141.89634856966</v>
      </c>
      <c r="I56" s="207">
        <f t="shared" si="12"/>
        <v>755916.99478367099</v>
      </c>
      <c r="J56" s="208">
        <f t="shared" si="11"/>
        <v>755916.99478367099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449389.10414421174</v>
      </c>
      <c r="I57" s="207">
        <f t="shared" si="12"/>
        <v>641984.43449173111</v>
      </c>
      <c r="J57" s="208">
        <f t="shared" si="11"/>
        <v>641984.43449173111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414564.82704767899</v>
      </c>
      <c r="I58" s="207">
        <f t="shared" si="12"/>
        <v>592235.46721097</v>
      </c>
      <c r="J58" s="208">
        <f t="shared" si="11"/>
        <v>592235.46721097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394959.27880766086</v>
      </c>
      <c r="I59" s="207">
        <f t="shared" si="12"/>
        <v>564227.54115380126</v>
      </c>
      <c r="J59" s="208">
        <f t="shared" si="11"/>
        <v>564227.54115380126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375727.96160509804</v>
      </c>
      <c r="I60" s="207">
        <f t="shared" si="12"/>
        <v>536754.23086442577</v>
      </c>
      <c r="J60" s="208">
        <f t="shared" si="11"/>
        <v>536754.23086442577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356870.87543999049</v>
      </c>
      <c r="I61" s="207">
        <f t="shared" si="12"/>
        <v>509815.53634284361</v>
      </c>
      <c r="J61" s="208">
        <f t="shared" si="11"/>
        <v>509815.53634284361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338346.43908595428</v>
      </c>
      <c r="I62" s="207">
        <f t="shared" si="12"/>
        <v>483352.05583707755</v>
      </c>
      <c r="J62" s="208">
        <f t="shared" si="11"/>
        <v>483352.05583707755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320113.07131660549</v>
      </c>
      <c r="I63" s="207">
        <f t="shared" si="12"/>
        <v>457304.38759515074</v>
      </c>
      <c r="J63" s="208">
        <f t="shared" si="11"/>
        <v>457304.38759515074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302170.77213194413</v>
      </c>
      <c r="I64" s="207">
        <f t="shared" si="12"/>
        <v>431672.5316170631</v>
      </c>
      <c r="J64" s="208">
        <f t="shared" si="11"/>
        <v>431672.5316170631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284477.96030558634</v>
      </c>
      <c r="I65" s="207">
        <f t="shared" si="12"/>
        <v>406397.08615083765</v>
      </c>
      <c r="J65" s="208">
        <f t="shared" si="11"/>
        <v>406397.08615083765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267013.8452243401</v>
      </c>
      <c r="I66" s="207">
        <f t="shared" si="12"/>
        <v>381448.35032048589</v>
      </c>
      <c r="J66" s="208">
        <f t="shared" si="11"/>
        <v>381448.35032048589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249778.4268882054</v>
      </c>
      <c r="I67" s="207">
        <f t="shared" si="12"/>
        <v>356826.32412600773</v>
      </c>
      <c r="J67" s="208">
        <f t="shared" si="11"/>
        <v>356826.32412600773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232730.12407079834</v>
      </c>
      <c r="I68" s="207">
        <f t="shared" si="12"/>
        <v>332471.60581542621</v>
      </c>
      <c r="J68" s="208">
        <f t="shared" si="11"/>
        <v>332471.60581542621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215848.14615892695</v>
      </c>
      <c r="I69" s="207">
        <f t="shared" si="12"/>
        <v>308354.4945127528</v>
      </c>
      <c r="J69" s="208">
        <f t="shared" si="11"/>
        <v>308354.4945127528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199153.28376578321</v>
      </c>
      <c r="I70" s="207">
        <f t="shared" si="12"/>
        <v>284504.69109397603</v>
      </c>
      <c r="J70" s="208">
        <f t="shared" si="11"/>
        <v>284504.69109397603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182624.74627817515</v>
      </c>
      <c r="I71" s="207">
        <f t="shared" si="12"/>
        <v>260892.49468310739</v>
      </c>
      <c r="J71" s="208">
        <f t="shared" si="11"/>
        <v>260892.49468310739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166220.95246971885</v>
      </c>
      <c r="I72" s="207">
        <f t="shared" si="12"/>
        <v>237458.50352816979</v>
      </c>
      <c r="J72" s="208">
        <f t="shared" si="11"/>
        <v>237458.50352816979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149941.90234041429</v>
      </c>
      <c r="I73" s="207">
        <f t="shared" si="12"/>
        <v>214202.71762916329</v>
      </c>
      <c r="J73" s="208">
        <f t="shared" si="11"/>
        <v>214202.71762916329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133787.59589026149</v>
      </c>
      <c r="I74" s="207">
        <f t="shared" si="12"/>
        <v>191125.13698608786</v>
      </c>
      <c r="J74" s="208">
        <f t="shared" si="11"/>
        <v>191125.13698608786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117758.03311926048</v>
      </c>
      <c r="I75" s="207">
        <f t="shared" si="12"/>
        <v>168225.76159894356</v>
      </c>
      <c r="J75" s="208">
        <f t="shared" si="11"/>
        <v>168225.76159894356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101832.42341421924</v>
      </c>
      <c r="I76" s="207">
        <f t="shared" si="12"/>
        <v>145474.89059174177</v>
      </c>
      <c r="J76" s="208">
        <f t="shared" si="11"/>
        <v>145474.89059174177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85989.976161945859</v>
      </c>
      <c r="I77" s="207">
        <f t="shared" si="12"/>
        <v>122842.82308849409</v>
      </c>
      <c r="J77" s="208">
        <f t="shared" si="11"/>
        <v>122842.82308849409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70230.69136244031</v>
      </c>
      <c r="I78" s="207">
        <f t="shared" si="12"/>
        <v>100329.55908920045</v>
      </c>
      <c r="J78" s="208">
        <f t="shared" si="11"/>
        <v>100329.55908920045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54554.569015702589</v>
      </c>
      <c r="I79" s="207">
        <f t="shared" si="12"/>
        <v>77935.09859386085</v>
      </c>
      <c r="J79" s="208">
        <f t="shared" si="11"/>
        <v>77935.09859386085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38961.609121732719</v>
      </c>
      <c r="I80" s="207">
        <f t="shared" si="12"/>
        <v>55659.441602475315</v>
      </c>
      <c r="J80" s="208">
        <f t="shared" ref="J80:J81" si="13">SUM(I80:I80)</f>
        <v>55659.441602475315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23431.021067338726</v>
      </c>
      <c r="I81" s="207">
        <f t="shared" si="12"/>
        <v>33472.887239055322</v>
      </c>
      <c r="J81" s="208">
        <f t="shared" si="13"/>
        <v>33472.887239055322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11746.696453457304</v>
      </c>
      <c r="I82" s="207">
        <f t="shared" si="12"/>
        <v>16780.994933510436</v>
      </c>
      <c r="J82" s="208">
        <f t="shared" ref="J82" si="14">SUM(I82:I82)</f>
        <v>16780.994933510436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197"/>
      <c r="L88" s="202"/>
      <c r="M88" s="202"/>
      <c r="N88" s="202"/>
    </row>
    <row r="90" spans="1:14" x14ac:dyDescent="0.3">
      <c r="A90" s="19"/>
    </row>
    <row r="92" spans="1:14" x14ac:dyDescent="0.3">
      <c r="A92" s="106"/>
    </row>
  </sheetData>
  <mergeCells count="1">
    <mergeCell ref="G45:J45"/>
  </mergeCells>
  <pageMargins left="0.7" right="0.7" top="0.75" bottom="0.75" header="0.3" footer="0.3"/>
  <pageSetup paperSize="5" scale="41" orientation="landscape" r:id="rId1"/>
  <ignoredErrors>
    <ignoredError sqref="J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214</v>
      </c>
      <c r="B2" t="s">
        <v>215</v>
      </c>
      <c r="C2" t="s">
        <v>216</v>
      </c>
      <c r="D2" t="s">
        <v>217</v>
      </c>
    </row>
    <row r="3" spans="1:4" x14ac:dyDescent="0.3">
      <c r="A3" t="s">
        <v>218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219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220</v>
      </c>
      <c r="B5" s="248"/>
      <c r="C5" s="247"/>
      <c r="D5" s="248">
        <v>72319.156024430864</v>
      </c>
    </row>
    <row r="6" spans="1:4" x14ac:dyDescent="0.3">
      <c r="A6" t="s">
        <v>221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223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40" workbookViewId="0">
      <selection activeCell="F87" sqref="F87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195</v>
      </c>
      <c r="C20" s="139"/>
      <c r="D20" s="135">
        <f>+'Total Annual Impact'!E4</f>
        <v>21385456</v>
      </c>
      <c r="E20" s="138"/>
      <c r="F20" s="138"/>
      <c r="G20" s="124">
        <f t="shared" ref="G20" si="20">SUM(C20+D20-E20)</f>
        <v>21385456</v>
      </c>
      <c r="H20" s="128">
        <v>0</v>
      </c>
      <c r="I20" s="127">
        <v>0</v>
      </c>
      <c r="J20" s="126"/>
      <c r="K20" s="124">
        <f t="shared" ref="K20" si="21">SUM(G20+H20-I20)</f>
        <v>21385456</v>
      </c>
      <c r="L20" s="125">
        <v>0</v>
      </c>
      <c r="M20" s="127"/>
      <c r="N20" s="127"/>
      <c r="O20" s="124">
        <f t="shared" ref="O20" si="22">SUM(K20+L20-M20)</f>
        <v>21385456</v>
      </c>
      <c r="P20" s="128">
        <v>0</v>
      </c>
      <c r="Q20" s="127"/>
      <c r="R20" s="126"/>
      <c r="S20" s="124">
        <f t="shared" ref="S20" si="23">SUM(O20+P20-Q20)</f>
        <v>21385456</v>
      </c>
      <c r="T20" s="125">
        <v>0</v>
      </c>
      <c r="U20" s="127"/>
      <c r="V20" s="127"/>
      <c r="W20" s="124">
        <f t="shared" ref="W20" si="24">SUM(S20+T20-U20)</f>
        <v>21385456</v>
      </c>
      <c r="X20" s="128"/>
      <c r="Y20" s="127"/>
      <c r="Z20" s="126"/>
      <c r="AA20" s="124">
        <f t="shared" ref="AA20" si="25">SUM(W20+X20-Y20)</f>
        <v>21385456</v>
      </c>
      <c r="AB20" s="125"/>
      <c r="AC20" s="127"/>
      <c r="AD20" s="127"/>
      <c r="AE20" s="124">
        <f t="shared" ref="AE20" si="26">SUM(AA20+AB20-AC20)</f>
        <v>21385456</v>
      </c>
      <c r="AF20" s="125">
        <v>0</v>
      </c>
      <c r="AG20" s="127"/>
      <c r="AH20" s="127"/>
      <c r="AI20" s="124">
        <f t="shared" ref="AI20" si="27">SUM(AE20+AF20-AG20)</f>
        <v>21385456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34860139.50397557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0.1</v>
      </c>
      <c r="D38" s="157">
        <f>SUM(C20*$C38)+((D20-E20-F20)*$C38)*8/12</f>
        <v>1425697.0666666667</v>
      </c>
      <c r="E38" s="157">
        <f>SUM(G20-F20)*$C38+((H20+F20-I20-J20)*$C38*0.5)</f>
        <v>2138545.6</v>
      </c>
      <c r="F38" s="157">
        <f>SUM(K20-J20)*$C38+((L20+J20-M20-N20)*$C38*10/12)</f>
        <v>2138545.6</v>
      </c>
      <c r="G38" s="157">
        <f>+F38</f>
        <v>2138545.6</v>
      </c>
      <c r="H38" s="157">
        <f t="shared" ref="H38" si="175">+G38</f>
        <v>2138545.6</v>
      </c>
      <c r="I38" s="157">
        <f t="shared" ref="I38" si="176">+H38</f>
        <v>2138545.6</v>
      </c>
      <c r="J38" s="157">
        <f t="shared" ref="J38" si="177">+I38</f>
        <v>2138545.6</v>
      </c>
      <c r="K38" s="157">
        <f t="shared" ref="K38" si="178">+J38</f>
        <v>2138545.6</v>
      </c>
      <c r="L38" s="157">
        <f t="shared" ref="L38" si="179">+K38</f>
        <v>2138545.6</v>
      </c>
      <c r="M38" s="157">
        <f t="shared" ref="M38" si="180">+L38</f>
        <v>2138545.6</v>
      </c>
      <c r="N38" s="157">
        <f>+M38*4/12</f>
        <v>712848.53333333333</v>
      </c>
      <c r="O38" s="157">
        <v>0</v>
      </c>
      <c r="P38" s="157">
        <f t="shared" ref="P38:AR38" si="181">+O38</f>
        <v>0</v>
      </c>
      <c r="Q38" s="157">
        <f t="shared" si="181"/>
        <v>0</v>
      </c>
      <c r="R38" s="157">
        <f t="shared" si="181"/>
        <v>0</v>
      </c>
      <c r="S38" s="157">
        <f t="shared" si="181"/>
        <v>0</v>
      </c>
      <c r="T38" s="157">
        <f t="shared" si="181"/>
        <v>0</v>
      </c>
      <c r="U38" s="157">
        <f t="shared" si="181"/>
        <v>0</v>
      </c>
      <c r="V38" s="157">
        <f t="shared" si="181"/>
        <v>0</v>
      </c>
      <c r="W38" s="157">
        <f t="shared" si="181"/>
        <v>0</v>
      </c>
      <c r="X38" s="157">
        <f t="shared" si="181"/>
        <v>0</v>
      </c>
      <c r="Y38" s="157">
        <f t="shared" si="181"/>
        <v>0</v>
      </c>
      <c r="Z38" s="157">
        <f t="shared" si="181"/>
        <v>0</v>
      </c>
      <c r="AA38" s="157">
        <f t="shared" si="181"/>
        <v>0</v>
      </c>
      <c r="AB38" s="157">
        <f t="shared" si="181"/>
        <v>0</v>
      </c>
      <c r="AC38" s="157">
        <f t="shared" si="181"/>
        <v>0</v>
      </c>
      <c r="AD38" s="157">
        <f t="shared" si="181"/>
        <v>0</v>
      </c>
      <c r="AE38" s="157">
        <f t="shared" si="181"/>
        <v>0</v>
      </c>
      <c r="AF38" s="157">
        <f t="shared" si="181"/>
        <v>0</v>
      </c>
      <c r="AG38" s="157">
        <f t="shared" si="181"/>
        <v>0</v>
      </c>
      <c r="AH38" s="157">
        <f t="shared" si="181"/>
        <v>0</v>
      </c>
      <c r="AI38" s="157">
        <f t="shared" si="181"/>
        <v>0</v>
      </c>
      <c r="AJ38" s="157">
        <f t="shared" si="181"/>
        <v>0</v>
      </c>
      <c r="AK38" s="157">
        <f t="shared" si="181"/>
        <v>0</v>
      </c>
      <c r="AL38" s="157">
        <f t="shared" si="181"/>
        <v>0</v>
      </c>
      <c r="AM38" s="157">
        <f t="shared" si="181"/>
        <v>0</v>
      </c>
      <c r="AN38" s="157">
        <f t="shared" si="181"/>
        <v>0</v>
      </c>
      <c r="AO38" s="157">
        <f t="shared" si="181"/>
        <v>0</v>
      </c>
      <c r="AP38" s="157">
        <f t="shared" si="181"/>
        <v>0</v>
      </c>
      <c r="AQ38" s="157">
        <f t="shared" si="181"/>
        <v>0</v>
      </c>
      <c r="AR38" s="157">
        <f t="shared" si="181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200</v>
      </c>
      <c r="C40" s="158"/>
      <c r="D40" s="159">
        <f t="shared" ref="D40:E40" si="182">SUM(D36+D38)</f>
        <v>1932900.8619145104</v>
      </c>
      <c r="E40" s="159">
        <f t="shared" si="182"/>
        <v>2645749.395247844</v>
      </c>
      <c r="F40" s="159">
        <f>SUM(F36+F38)</f>
        <v>2645749.395247844</v>
      </c>
      <c r="G40" s="159">
        <f t="shared" ref="G40:J40" si="183">SUM(G36+G38)</f>
        <v>2645749.395247844</v>
      </c>
      <c r="H40" s="159">
        <f t="shared" si="183"/>
        <v>2645749.395247844</v>
      </c>
      <c r="I40" s="159">
        <f t="shared" si="183"/>
        <v>2645749.395247844</v>
      </c>
      <c r="J40" s="159">
        <f t="shared" si="183"/>
        <v>2645749.395247844</v>
      </c>
      <c r="K40" s="159">
        <f t="shared" ref="K40:L40" si="184">SUM(K36+K38)</f>
        <v>2645749.395247844</v>
      </c>
      <c r="L40" s="159">
        <f t="shared" si="184"/>
        <v>2645749.395247844</v>
      </c>
      <c r="M40" s="159">
        <f t="shared" ref="M40:S40" si="185">SUM(M36+M38)</f>
        <v>2645749.395247844</v>
      </c>
      <c r="N40" s="159">
        <f t="shared" si="185"/>
        <v>1220052.3285811772</v>
      </c>
      <c r="O40" s="159">
        <f t="shared" si="185"/>
        <v>507203.79524784384</v>
      </c>
      <c r="P40" s="159">
        <f t="shared" si="185"/>
        <v>507203.79524784384</v>
      </c>
      <c r="Q40" s="159">
        <f t="shared" si="185"/>
        <v>507203.79524784384</v>
      </c>
      <c r="R40" s="159">
        <f t="shared" si="185"/>
        <v>507203.79524784384</v>
      </c>
      <c r="S40" s="159">
        <f t="shared" si="185"/>
        <v>507203.79524784384</v>
      </c>
      <c r="T40" s="159">
        <f t="shared" ref="T40:AN40" si="186">SUM(T36+T38)</f>
        <v>507203.79524784384</v>
      </c>
      <c r="U40" s="159">
        <f t="shared" si="186"/>
        <v>507203.79524784384</v>
      </c>
      <c r="V40" s="159">
        <f t="shared" si="186"/>
        <v>507203.79524784384</v>
      </c>
      <c r="W40" s="159">
        <f t="shared" si="186"/>
        <v>507203.79524784384</v>
      </c>
      <c r="X40" s="159">
        <f t="shared" si="186"/>
        <v>507203.79524784384</v>
      </c>
      <c r="Y40" s="159">
        <f t="shared" si="186"/>
        <v>507203.79524784384</v>
      </c>
      <c r="Z40" s="159">
        <f t="shared" si="186"/>
        <v>507203.79524784384</v>
      </c>
      <c r="AA40" s="159">
        <f t="shared" si="186"/>
        <v>507203.79524784384</v>
      </c>
      <c r="AB40" s="159">
        <f t="shared" si="186"/>
        <v>507203.79524784384</v>
      </c>
      <c r="AC40" s="159">
        <f t="shared" si="186"/>
        <v>507203.79524784384</v>
      </c>
      <c r="AD40" s="159">
        <f t="shared" si="186"/>
        <v>507203.79524784384</v>
      </c>
      <c r="AE40" s="159">
        <f t="shared" si="186"/>
        <v>507203.79524784384</v>
      </c>
      <c r="AF40" s="159">
        <f t="shared" si="186"/>
        <v>507203.79524784384</v>
      </c>
      <c r="AG40" s="159">
        <f t="shared" si="186"/>
        <v>507203.79524784384</v>
      </c>
      <c r="AH40" s="159">
        <f t="shared" si="186"/>
        <v>507203.79524784384</v>
      </c>
      <c r="AI40" s="159">
        <f t="shared" si="186"/>
        <v>507203.79524784384</v>
      </c>
      <c r="AJ40" s="159">
        <f t="shared" si="186"/>
        <v>507203.79524784384</v>
      </c>
      <c r="AK40" s="159">
        <f t="shared" si="186"/>
        <v>507203.79524784384</v>
      </c>
      <c r="AL40" s="159">
        <f t="shared" si="186"/>
        <v>507203.79524784384</v>
      </c>
      <c r="AM40" s="159">
        <f t="shared" si="186"/>
        <v>245521</v>
      </c>
      <c r="AN40" s="159">
        <f t="shared" si="186"/>
        <v>0</v>
      </c>
      <c r="AO40" s="159">
        <f t="shared" ref="AO40:AQ40" si="187">SUM(AO36+AO38)</f>
        <v>0</v>
      </c>
      <c r="AP40" s="159">
        <f t="shared" si="187"/>
        <v>0</v>
      </c>
      <c r="AQ40" s="159">
        <f t="shared" si="187"/>
        <v>0</v>
      </c>
      <c r="AR40" s="159">
        <f t="shared" ref="AR40" si="188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9">SUM(N36/SUM($AI$8:$AI$16))</f>
        <v>3.764123996665291E-2</v>
      </c>
      <c r="O42" s="161">
        <f t="shared" si="189"/>
        <v>3.764123996665291E-2</v>
      </c>
      <c r="P42" s="161">
        <f t="shared" si="189"/>
        <v>3.764123996665291E-2</v>
      </c>
      <c r="Q42" s="161">
        <f t="shared" si="189"/>
        <v>3.764123996665291E-2</v>
      </c>
      <c r="R42" s="161">
        <f t="shared" si="189"/>
        <v>3.764123996665291E-2</v>
      </c>
      <c r="S42" s="161">
        <f t="shared" si="189"/>
        <v>3.764123996665291E-2</v>
      </c>
      <c r="T42" s="161">
        <f t="shared" ref="T42:AN42" si="190">SUM(T36/SUM($AI$8:$AI$16))</f>
        <v>3.764123996665291E-2</v>
      </c>
      <c r="U42" s="161">
        <f t="shared" si="190"/>
        <v>3.764123996665291E-2</v>
      </c>
      <c r="V42" s="161">
        <f t="shared" si="190"/>
        <v>3.764123996665291E-2</v>
      </c>
      <c r="W42" s="161">
        <f t="shared" si="190"/>
        <v>3.764123996665291E-2</v>
      </c>
      <c r="X42" s="161">
        <f t="shared" si="190"/>
        <v>3.764123996665291E-2</v>
      </c>
      <c r="Y42" s="161">
        <f t="shared" si="190"/>
        <v>3.764123996665291E-2</v>
      </c>
      <c r="Z42" s="161">
        <f t="shared" si="190"/>
        <v>3.764123996665291E-2</v>
      </c>
      <c r="AA42" s="161">
        <f t="shared" si="190"/>
        <v>3.764123996665291E-2</v>
      </c>
      <c r="AB42" s="161">
        <f t="shared" si="190"/>
        <v>3.764123996665291E-2</v>
      </c>
      <c r="AC42" s="161">
        <f t="shared" si="190"/>
        <v>3.764123996665291E-2</v>
      </c>
      <c r="AD42" s="161">
        <f t="shared" si="190"/>
        <v>3.764123996665291E-2</v>
      </c>
      <c r="AE42" s="161">
        <f t="shared" si="190"/>
        <v>3.764123996665291E-2</v>
      </c>
      <c r="AF42" s="161">
        <f t="shared" si="190"/>
        <v>3.764123996665291E-2</v>
      </c>
      <c r="AG42" s="161">
        <f t="shared" si="190"/>
        <v>3.764123996665291E-2</v>
      </c>
      <c r="AH42" s="161">
        <f t="shared" si="190"/>
        <v>3.764123996665291E-2</v>
      </c>
      <c r="AI42" s="161">
        <f t="shared" si="190"/>
        <v>3.764123996665291E-2</v>
      </c>
      <c r="AJ42" s="161">
        <f t="shared" si="190"/>
        <v>3.764123996665291E-2</v>
      </c>
      <c r="AK42" s="161">
        <f t="shared" si="190"/>
        <v>3.764123996665291E-2</v>
      </c>
      <c r="AL42" s="161">
        <f t="shared" si="190"/>
        <v>3.764123996665291E-2</v>
      </c>
      <c r="AM42" s="161">
        <f t="shared" si="190"/>
        <v>1.8220910341052651E-2</v>
      </c>
      <c r="AN42" s="161">
        <f t="shared" si="190"/>
        <v>0</v>
      </c>
      <c r="AO42" s="161">
        <f t="shared" ref="AO42:AQ42" si="191">SUM(AO36/SUM($AI$8:$AI$16))</f>
        <v>0</v>
      </c>
      <c r="AP42" s="161">
        <f t="shared" si="191"/>
        <v>0</v>
      </c>
      <c r="AQ42" s="161">
        <f t="shared" si="191"/>
        <v>0</v>
      </c>
      <c r="AR42" s="161">
        <f t="shared" ref="AR42" si="192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90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199</v>
      </c>
      <c r="B45" s="163"/>
      <c r="C45" s="164"/>
      <c r="D45" s="165">
        <f>D40</f>
        <v>1932900.8619145104</v>
      </c>
      <c r="E45" s="165">
        <f t="shared" ref="E45:F45" si="193">E40</f>
        <v>2645749.395247844</v>
      </c>
      <c r="F45" s="165">
        <f t="shared" si="193"/>
        <v>2645749.395247844</v>
      </c>
      <c r="G45" s="165">
        <f t="shared" ref="G45:J45" si="194">G40</f>
        <v>2645749.395247844</v>
      </c>
      <c r="H45" s="165">
        <f t="shared" si="194"/>
        <v>2645749.395247844</v>
      </c>
      <c r="I45" s="165">
        <f t="shared" si="194"/>
        <v>2645749.395247844</v>
      </c>
      <c r="J45" s="165">
        <f t="shared" si="194"/>
        <v>2645749.395247844</v>
      </c>
      <c r="K45" s="165">
        <f t="shared" ref="K45" si="195">K40</f>
        <v>2645749.395247844</v>
      </c>
      <c r="L45" s="165">
        <f>L40</f>
        <v>2645749.395247844</v>
      </c>
      <c r="M45" s="165">
        <f>M40</f>
        <v>2645749.395247844</v>
      </c>
      <c r="N45" s="165">
        <f t="shared" ref="N45:S45" si="196">N40</f>
        <v>1220052.3285811772</v>
      </c>
      <c r="O45" s="165">
        <f t="shared" si="196"/>
        <v>507203.79524784384</v>
      </c>
      <c r="P45" s="165">
        <f t="shared" si="196"/>
        <v>507203.79524784384</v>
      </c>
      <c r="Q45" s="165">
        <f t="shared" si="196"/>
        <v>507203.79524784384</v>
      </c>
      <c r="R45" s="165">
        <f t="shared" si="196"/>
        <v>507203.79524784384</v>
      </c>
      <c r="S45" s="165">
        <f t="shared" si="196"/>
        <v>507203.79524784384</v>
      </c>
      <c r="T45" s="165">
        <f t="shared" ref="T45:AN45" si="197">T40</f>
        <v>507203.79524784384</v>
      </c>
      <c r="U45" s="165">
        <f t="shared" si="197"/>
        <v>507203.79524784384</v>
      </c>
      <c r="V45" s="165">
        <f t="shared" si="197"/>
        <v>507203.79524784384</v>
      </c>
      <c r="W45" s="165">
        <f t="shared" si="197"/>
        <v>507203.79524784384</v>
      </c>
      <c r="X45" s="165">
        <f t="shared" si="197"/>
        <v>507203.79524784384</v>
      </c>
      <c r="Y45" s="165">
        <f t="shared" si="197"/>
        <v>507203.79524784384</v>
      </c>
      <c r="Z45" s="165">
        <f t="shared" si="197"/>
        <v>507203.79524784384</v>
      </c>
      <c r="AA45" s="165">
        <f t="shared" si="197"/>
        <v>507203.79524784384</v>
      </c>
      <c r="AB45" s="165">
        <f t="shared" si="197"/>
        <v>507203.79524784384</v>
      </c>
      <c r="AC45" s="165">
        <f t="shared" si="197"/>
        <v>507203.79524784384</v>
      </c>
      <c r="AD45" s="165">
        <f t="shared" si="197"/>
        <v>507203.79524784384</v>
      </c>
      <c r="AE45" s="165">
        <f t="shared" si="197"/>
        <v>507203.79524784384</v>
      </c>
      <c r="AF45" s="165">
        <f t="shared" si="197"/>
        <v>507203.79524784384</v>
      </c>
      <c r="AG45" s="165">
        <f t="shared" si="197"/>
        <v>507203.79524784384</v>
      </c>
      <c r="AH45" s="165">
        <f t="shared" si="197"/>
        <v>507203.79524784384</v>
      </c>
      <c r="AI45" s="165">
        <f t="shared" si="197"/>
        <v>507203.79524784384</v>
      </c>
      <c r="AJ45" s="165">
        <f t="shared" si="197"/>
        <v>507203.79524784384</v>
      </c>
      <c r="AK45" s="165">
        <f t="shared" si="197"/>
        <v>507203.79524784384</v>
      </c>
      <c r="AL45" s="165">
        <f t="shared" si="197"/>
        <v>507203.79524784384</v>
      </c>
      <c r="AM45" s="165">
        <f t="shared" si="197"/>
        <v>245521</v>
      </c>
      <c r="AN45" s="165">
        <f t="shared" si="197"/>
        <v>0</v>
      </c>
      <c r="AO45" s="165">
        <f t="shared" ref="AO45:AQ45" si="198">AO40</f>
        <v>0</v>
      </c>
      <c r="AP45" s="165">
        <f t="shared" si="198"/>
        <v>0</v>
      </c>
      <c r="AQ45" s="165">
        <f t="shared" si="198"/>
        <v>0</v>
      </c>
      <c r="AR45" s="165">
        <f t="shared" ref="AR45" si="199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196</v>
      </c>
      <c r="D47" s="233">
        <f>-D56+D45</f>
        <v>-2590069.8680854901</v>
      </c>
      <c r="E47" s="233">
        <f>D47+E45</f>
        <v>55679.527162353974</v>
      </c>
      <c r="F47" s="233">
        <f t="shared" ref="F47:AM47" si="200">E47+F45</f>
        <v>2701428.922410198</v>
      </c>
      <c r="G47" s="233">
        <f t="shared" si="200"/>
        <v>5347178.3176580425</v>
      </c>
      <c r="H47" s="233">
        <f t="shared" si="200"/>
        <v>7992927.7129058866</v>
      </c>
      <c r="I47" s="233">
        <f t="shared" si="200"/>
        <v>10638677.108153731</v>
      </c>
      <c r="J47" s="233">
        <f t="shared" si="200"/>
        <v>13284426.503401574</v>
      </c>
      <c r="K47" s="233">
        <f t="shared" si="200"/>
        <v>15930175.898649417</v>
      </c>
      <c r="L47" s="233">
        <f t="shared" si="200"/>
        <v>18575925.29389726</v>
      </c>
      <c r="M47" s="233">
        <f t="shared" si="200"/>
        <v>21221674.689145103</v>
      </c>
      <c r="N47" s="233">
        <f t="shared" si="200"/>
        <v>22441727.01772628</v>
      </c>
      <c r="O47" s="233">
        <f t="shared" si="200"/>
        <v>22948930.812974125</v>
      </c>
      <c r="P47" s="233">
        <f t="shared" si="200"/>
        <v>23456134.60822197</v>
      </c>
      <c r="Q47" s="233">
        <f t="shared" si="200"/>
        <v>23963338.403469816</v>
      </c>
      <c r="R47" s="233">
        <f t="shared" si="200"/>
        <v>24470542.198717661</v>
      </c>
      <c r="S47" s="233">
        <f t="shared" si="200"/>
        <v>24977745.993965507</v>
      </c>
      <c r="T47" s="233">
        <f t="shared" si="200"/>
        <v>25484949.789213352</v>
      </c>
      <c r="U47" s="233">
        <f t="shared" si="200"/>
        <v>25992153.584461197</v>
      </c>
      <c r="V47" s="233">
        <f t="shared" si="200"/>
        <v>26499357.379709043</v>
      </c>
      <c r="W47" s="233">
        <f t="shared" si="200"/>
        <v>27006561.174956888</v>
      </c>
      <c r="X47" s="233">
        <f t="shared" si="200"/>
        <v>27513764.970204733</v>
      </c>
      <c r="Y47" s="233">
        <f t="shared" si="200"/>
        <v>28020968.765452579</v>
      </c>
      <c r="Z47" s="233">
        <f t="shared" si="200"/>
        <v>28528172.560700424</v>
      </c>
      <c r="AA47" s="233">
        <f t="shared" si="200"/>
        <v>29035376.355948269</v>
      </c>
      <c r="AB47" s="233">
        <f t="shared" si="200"/>
        <v>29542580.151196115</v>
      </c>
      <c r="AC47" s="233">
        <f t="shared" si="200"/>
        <v>30049783.94644396</v>
      </c>
      <c r="AD47" s="233">
        <f t="shared" si="200"/>
        <v>30556987.741691805</v>
      </c>
      <c r="AE47" s="233">
        <f t="shared" si="200"/>
        <v>31064191.536939651</v>
      </c>
      <c r="AF47" s="233">
        <f t="shared" si="200"/>
        <v>31571395.332187496</v>
      </c>
      <c r="AG47" s="233">
        <f t="shared" si="200"/>
        <v>32078599.127435341</v>
      </c>
      <c r="AH47" s="233">
        <f t="shared" si="200"/>
        <v>32585802.922683187</v>
      </c>
      <c r="AI47" s="233">
        <f t="shared" si="200"/>
        <v>33093006.717931032</v>
      </c>
      <c r="AJ47" s="233">
        <f t="shared" si="200"/>
        <v>33600210.513178878</v>
      </c>
      <c r="AK47" s="233">
        <f t="shared" si="200"/>
        <v>34107414.308426723</v>
      </c>
      <c r="AL47" s="233">
        <f t="shared" si="200"/>
        <v>34614618.103674568</v>
      </c>
      <c r="AM47" s="233">
        <f t="shared" si="200"/>
        <v>34860139.103674568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37450209.372061059</v>
      </c>
      <c r="E49" s="179">
        <f>+D49-E45</f>
        <v>34804459.976813212</v>
      </c>
      <c r="F49" s="179">
        <f t="shared" ref="F49:AN49" si="201">+E49-F45</f>
        <v>32158710.581565369</v>
      </c>
      <c r="G49" s="179">
        <f t="shared" si="201"/>
        <v>29512961.186317526</v>
      </c>
      <c r="H49" s="179">
        <f t="shared" si="201"/>
        <v>26867211.791069683</v>
      </c>
      <c r="I49" s="179">
        <f t="shared" si="201"/>
        <v>24221462.39582184</v>
      </c>
      <c r="J49" s="179">
        <f t="shared" si="201"/>
        <v>21575713.000573996</v>
      </c>
      <c r="K49" s="179">
        <f t="shared" si="201"/>
        <v>18929963.605326153</v>
      </c>
      <c r="L49" s="179">
        <f t="shared" si="201"/>
        <v>16284214.21007831</v>
      </c>
      <c r="M49" s="179">
        <f t="shared" si="201"/>
        <v>13638464.814830467</v>
      </c>
      <c r="N49" s="179">
        <f t="shared" si="201"/>
        <v>12418412.48624929</v>
      </c>
      <c r="O49" s="179">
        <f t="shared" si="201"/>
        <v>11911208.691001447</v>
      </c>
      <c r="P49" s="179">
        <f t="shared" si="201"/>
        <v>11404004.895753603</v>
      </c>
      <c r="Q49" s="179">
        <f t="shared" si="201"/>
        <v>10896801.10050576</v>
      </c>
      <c r="R49" s="179">
        <f t="shared" si="201"/>
        <v>10389597.305257916</v>
      </c>
      <c r="S49" s="179">
        <f t="shared" si="201"/>
        <v>9882393.510010073</v>
      </c>
      <c r="T49" s="179">
        <f t="shared" si="201"/>
        <v>9375189.7147622295</v>
      </c>
      <c r="U49" s="179">
        <f t="shared" si="201"/>
        <v>8867985.919514386</v>
      </c>
      <c r="V49" s="179">
        <f t="shared" si="201"/>
        <v>8360782.1242665425</v>
      </c>
      <c r="W49" s="179">
        <f t="shared" si="201"/>
        <v>7853578.329018699</v>
      </c>
      <c r="X49" s="179">
        <f t="shared" si="201"/>
        <v>7346374.5337708555</v>
      </c>
      <c r="Y49" s="179">
        <f t="shared" si="201"/>
        <v>6839170.738523012</v>
      </c>
      <c r="Z49" s="179">
        <f t="shared" si="201"/>
        <v>6331966.9432751685</v>
      </c>
      <c r="AA49" s="179">
        <f t="shared" si="201"/>
        <v>5824763.148027325</v>
      </c>
      <c r="AB49" s="179">
        <f t="shared" si="201"/>
        <v>5317559.3527794816</v>
      </c>
      <c r="AC49" s="179">
        <f t="shared" si="201"/>
        <v>4810355.5575316381</v>
      </c>
      <c r="AD49" s="179">
        <f t="shared" si="201"/>
        <v>4303151.7622837946</v>
      </c>
      <c r="AE49" s="179">
        <f t="shared" si="201"/>
        <v>3795947.9670359506</v>
      </c>
      <c r="AF49" s="179">
        <f t="shared" si="201"/>
        <v>3288744.1717881067</v>
      </c>
      <c r="AG49" s="179">
        <f t="shared" si="201"/>
        <v>2781540.3765402627</v>
      </c>
      <c r="AH49" s="179">
        <f t="shared" si="201"/>
        <v>2274336.5812924188</v>
      </c>
      <c r="AI49" s="179">
        <f t="shared" si="201"/>
        <v>1767132.7860445748</v>
      </c>
      <c r="AJ49" s="179">
        <f t="shared" si="201"/>
        <v>1259928.9907967309</v>
      </c>
      <c r="AK49" s="179">
        <f t="shared" si="201"/>
        <v>752725.19554888702</v>
      </c>
      <c r="AL49" s="179">
        <f t="shared" si="201"/>
        <v>245521.40030104318</v>
      </c>
      <c r="AM49" s="179">
        <f t="shared" si="201"/>
        <v>0.40030104317702353</v>
      </c>
      <c r="AN49" s="179">
        <f t="shared" si="201"/>
        <v>0.40030104317702353</v>
      </c>
      <c r="AO49" s="179">
        <f t="shared" ref="AO49:AP49" si="202">+AN49-AO45</f>
        <v>0.40030104317702353</v>
      </c>
      <c r="AP49" s="179">
        <f t="shared" si="202"/>
        <v>0.40030104317702353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203">+M54*$C$52</f>
        <v>439118.6808361049</v>
      </c>
      <c r="O52" s="170">
        <f t="shared" si="203"/>
        <v>403989.18636921648</v>
      </c>
      <c r="P52" s="170">
        <f t="shared" si="203"/>
        <v>371670.05145967915</v>
      </c>
      <c r="Q52" s="170">
        <f t="shared" si="203"/>
        <v>341936.44734290481</v>
      </c>
      <c r="R52" s="170">
        <f t="shared" si="203"/>
        <v>314581.53155547247</v>
      </c>
      <c r="S52" s="170">
        <f t="shared" si="203"/>
        <v>289415.00903103472</v>
      </c>
      <c r="T52" s="170">
        <f t="shared" ref="T52:AN52" si="204">+S54*$C$52</f>
        <v>266261.8083085519</v>
      </c>
      <c r="U52" s="170">
        <f t="shared" si="204"/>
        <v>244960.86364386784</v>
      </c>
      <c r="V52" s="170">
        <f t="shared" si="204"/>
        <v>225363.9945523584</v>
      </c>
      <c r="W52" s="170">
        <f t="shared" si="204"/>
        <v>207334.87498816967</v>
      </c>
      <c r="X52" s="170">
        <f t="shared" si="204"/>
        <v>190748.08498911603</v>
      </c>
      <c r="Y52" s="170">
        <f t="shared" si="204"/>
        <v>175488.23818998679</v>
      </c>
      <c r="Z52" s="170">
        <f t="shared" si="204"/>
        <v>161449.17913478793</v>
      </c>
      <c r="AA52" s="170">
        <f t="shared" si="204"/>
        <v>148533.24480400488</v>
      </c>
      <c r="AB52" s="170">
        <f t="shared" si="204"/>
        <v>136650.58521968455</v>
      </c>
      <c r="AC52" s="170">
        <f t="shared" si="204"/>
        <v>125718.53840210974</v>
      </c>
      <c r="AD52" s="170">
        <f t="shared" si="204"/>
        <v>115661.05532994092</v>
      </c>
      <c r="AE52" s="170">
        <f t="shared" si="204"/>
        <v>106408.17090354562</v>
      </c>
      <c r="AF52" s="170">
        <f t="shared" si="204"/>
        <v>97895.517231262027</v>
      </c>
      <c r="AG52" s="170">
        <f t="shared" si="204"/>
        <v>90063.875852761121</v>
      </c>
      <c r="AH52" s="170">
        <f t="shared" si="204"/>
        <v>82858.765784540185</v>
      </c>
      <c r="AI52" s="170">
        <f t="shared" si="204"/>
        <v>76230.064521777036</v>
      </c>
      <c r="AJ52" s="170">
        <f t="shared" si="204"/>
        <v>70131.659360034915</v>
      </c>
      <c r="AK52" s="170">
        <f t="shared" si="204"/>
        <v>64521.126611232161</v>
      </c>
      <c r="AL52" s="170">
        <f t="shared" si="204"/>
        <v>59359.436482333542</v>
      </c>
      <c r="AM52" s="170">
        <f t="shared" si="204"/>
        <v>54610.681563746934</v>
      </c>
      <c r="AN52" s="170">
        <f t="shared" si="204"/>
        <v>50241.827038647236</v>
      </c>
      <c r="AO52" s="170">
        <f t="shared" ref="AO52:AS52" si="205">+AN54*$C$52</f>
        <v>46222.480875555426</v>
      </c>
      <c r="AP52" s="170">
        <f>+AO54*$C$52</f>
        <v>42524.68240551099</v>
      </c>
      <c r="AQ52" s="170">
        <f t="shared" si="205"/>
        <v>39122.707813070119</v>
      </c>
      <c r="AR52" s="170">
        <f t="shared" si="205"/>
        <v>35992.89118802458</v>
      </c>
      <c r="AS52" s="170">
        <f t="shared" si="205"/>
        <v>33113.459892982544</v>
      </c>
      <c r="AT52" s="170">
        <f t="shared" ref="AT52" si="206">+AS54*$C$52</f>
        <v>30464.383101543935</v>
      </c>
      <c r="AU52" s="170">
        <f t="shared" ref="AU52" si="207">+AT54*$C$52</f>
        <v>28027.23245342046</v>
      </c>
      <c r="AV52" s="170">
        <f t="shared" ref="AV52" si="208">+AU54*$C$52</f>
        <v>25785.053857146799</v>
      </c>
      <c r="AW52" s="170">
        <f t="shared" ref="AW52" si="209">+AV54*$C$52</f>
        <v>23722.249548574986</v>
      </c>
      <c r="AX52" s="170">
        <f t="shared" ref="AX52" si="210">+AW54*$C$52</f>
        <v>21824.469584688992</v>
      </c>
      <c r="AY52" s="170">
        <f t="shared" ref="AY52" si="211">+AX54*$C$52</f>
        <v>20078.512017913908</v>
      </c>
      <c r="AZ52" s="170">
        <f t="shared" ref="AZ52" si="212">+AY54*$C$52</f>
        <v>18472.231056480854</v>
      </c>
      <c r="BA52" s="170">
        <f t="shared" ref="BA52" si="213">+AZ54*$C$52</f>
        <v>16994.452571962327</v>
      </c>
      <c r="BB52" s="170">
        <f t="shared" ref="BB52" si="214">+BA54*$C$52</f>
        <v>15634.896366205365</v>
      </c>
      <c r="BC52" s="170">
        <f t="shared" ref="BC52" si="215">+BB54*$C$52</f>
        <v>14384.104656908959</v>
      </c>
      <c r="BD52" s="170">
        <f t="shared" ref="BD52" si="216">+BC54*$C$52</f>
        <v>13233.376284356267</v>
      </c>
      <c r="BE52" s="170">
        <f t="shared" ref="BE52" si="217">+BD54*$C$52</f>
        <v>12174.706181607693</v>
      </c>
      <c r="BF52" s="170">
        <f t="shared" ref="BF52" si="218">+BE54*$C$52</f>
        <v>11200.729687079043</v>
      </c>
      <c r="BG52" s="170">
        <f t="shared" ref="BG52" si="219">+BF54*$C$52</f>
        <v>10304.67131211266</v>
      </c>
      <c r="BH52" s="170">
        <f t="shared" ref="BH52" si="220">+BG54*$C$52</f>
        <v>9480.2976071436697</v>
      </c>
      <c r="BI52" s="170">
        <f t="shared" ref="BI52" si="221">+BH54*$C$52</f>
        <v>8721.8737985721236</v>
      </c>
      <c r="BJ52" s="170">
        <f t="shared" ref="BJ52" si="222">+BI54*$C$52</f>
        <v>8024.1238946864014</v>
      </c>
      <c r="BK52" s="170">
        <f t="shared" ref="BK52" si="223">+BJ54*$C$52</f>
        <v>7382.1939831115305</v>
      </c>
      <c r="BL52" s="170">
        <f t="shared" ref="BL52" si="224">+BK54*$C$52</f>
        <v>6791.6184644626082</v>
      </c>
      <c r="BM52" s="170">
        <f t="shared" ref="BM52" si="225">+BL54*$C$52</f>
        <v>6248.288987305612</v>
      </c>
      <c r="BN52" s="170">
        <f t="shared" ref="BN52" si="226">+BM54*$C$52</f>
        <v>5748.4258683212101</v>
      </c>
      <c r="BO52" s="170">
        <f t="shared" ref="BO52" si="227">+BN54*$C$52</f>
        <v>5288.5517988555139</v>
      </c>
      <c r="BP52" s="170">
        <f t="shared" ref="BP52" si="228">+BO54*$C$52</f>
        <v>4865.4676549470423</v>
      </c>
      <c r="BQ52" s="170">
        <f t="shared" ref="BQ52" si="229">+BP54*$C$52</f>
        <v>4476.2302425512671</v>
      </c>
      <c r="BR52" s="170">
        <f t="shared" ref="BR52" si="230">+BQ54*$C$52</f>
        <v>4118.1318231472378</v>
      </c>
      <c r="BS52" s="170">
        <f t="shared" ref="BS52" si="231">+BR54*$C$52</f>
        <v>3788.6812772955</v>
      </c>
      <c r="BT52" s="170">
        <f t="shared" ref="BT52" si="232">+BS54*$C$52</f>
        <v>3485.586775111854</v>
      </c>
      <c r="BU52" s="170">
        <f t="shared" ref="BU52" si="233">+BT54*$C$52</f>
        <v>3206.7398331029713</v>
      </c>
      <c r="BV52" s="170">
        <f t="shared" ref="BV52" si="234">+BU54*$C$52</f>
        <v>2950.2006464546921</v>
      </c>
      <c r="BW52" s="170">
        <f t="shared" ref="BW52" si="235">+BV54*$C$52</f>
        <v>2714.1845947383345</v>
      </c>
      <c r="BX52" s="170">
        <f t="shared" ref="BX52" si="236">+BW54*$C$52</f>
        <v>2497.0498271591964</v>
      </c>
      <c r="BY52" s="170">
        <f t="shared" ref="BY52" si="237">+BX54*$C$52</f>
        <v>2297.2858409865203</v>
      </c>
      <c r="BZ52" s="170">
        <f t="shared" ref="BZ52" si="238">+BY54*$C$52</f>
        <v>2113.5029737076165</v>
      </c>
      <c r="CA52" s="170">
        <f t="shared" ref="CA52" si="239">+BZ54*$C$52</f>
        <v>1944.4227358110249</v>
      </c>
      <c r="CB52" s="170">
        <f t="shared" ref="CB52" si="240">+CA54*$C$52</f>
        <v>1788.8689169462025</v>
      </c>
      <c r="CC52" s="170">
        <f t="shared" ref="CC52" si="241">+CB54*$C$52</f>
        <v>1645.7594035905599</v>
      </c>
      <c r="CD52" s="170">
        <f t="shared" ref="CD52" si="242">+CC54*$C$52</f>
        <v>1514.0986513033511</v>
      </c>
      <c r="CE52" s="170">
        <f t="shared" ref="CE52" si="243">+CD54*$C$52</f>
        <v>1392.9707591991128</v>
      </c>
      <c r="CF52" s="170">
        <f t="shared" ref="CF52" si="244">+CE54*$C$52</f>
        <v>1281.533098463118</v>
      </c>
      <c r="CG52" s="170">
        <f t="shared" ref="CG52" si="245">+CF54*$C$52</f>
        <v>1179.0104505860807</v>
      </c>
      <c r="CH52" s="170">
        <f t="shared" ref="CH52" si="246">+CG54*$C$52</f>
        <v>1084.6896145391465</v>
      </c>
      <c r="CI52" s="170">
        <f t="shared" ref="CI52" si="247">+CH54*$C$52</f>
        <v>997.91444537594919</v>
      </c>
      <c r="CJ52" s="170">
        <f t="shared" ref="CJ52" si="248">+CI54*$C$52</f>
        <v>918.08128974586725</v>
      </c>
      <c r="CK52" s="170">
        <f t="shared" ref="CK52" si="249">+CJ54*$C$52</f>
        <v>844.63478656619793</v>
      </c>
      <c r="CL52" s="170">
        <f t="shared" ref="CL52" si="250">+CK54*$C$52</f>
        <v>777.06400364086039</v>
      </c>
      <c r="CM52" s="170">
        <f t="shared" ref="CM52" si="251">+CL54*$C$52</f>
        <v>714.89888334959744</v>
      </c>
      <c r="CN52" s="170">
        <f t="shared" ref="CN52" si="252">+CM54*$C$52</f>
        <v>657.70697268158199</v>
      </c>
      <c r="CO52" s="170">
        <f t="shared" ref="CO52" si="253">+CN54*$C$52</f>
        <v>605.09041486710316</v>
      </c>
      <c r="CP52" s="170">
        <f t="shared" ref="CP52" si="254">+CO54*$C$52</f>
        <v>556.68318167775874</v>
      </c>
      <c r="CQ52" s="170">
        <f t="shared" ref="CQ52" si="255">+CP54*$C$52</f>
        <v>512.14852714359756</v>
      </c>
      <c r="CR52" s="170">
        <f t="shared" ref="CR52" si="256">+CQ54*$C$52</f>
        <v>471.17664497211575</v>
      </c>
      <c r="CS52" s="170">
        <f t="shared" ref="CS52" si="257">+CR54*$C$52</f>
        <v>433.48251337438825</v>
      </c>
      <c r="CT52" s="170">
        <f t="shared" ref="CT52" si="258">+CS54*$C$52</f>
        <v>398.80391230449084</v>
      </c>
      <c r="CU52" s="170">
        <f t="shared" ref="CU52" si="259">+CT54*$C$52</f>
        <v>366.89959932014347</v>
      </c>
      <c r="CV52" s="170">
        <f t="shared" ref="CV52" si="260">+CU54*$C$52</f>
        <v>337.54763137459753</v>
      </c>
      <c r="CW52" s="170">
        <f t="shared" ref="CW52" si="261">+CV54*$C$52</f>
        <v>310.5438208645582</v>
      </c>
      <c r="CX52" s="170">
        <f t="shared" ref="CX52" si="262">+CW54*$C$52</f>
        <v>285.70031519532205</v>
      </c>
      <c r="CY52" s="170">
        <f t="shared" ref="CY52" si="263">+CX54*$C$52</f>
        <v>262.8442899796367</v>
      </c>
      <c r="CZ52" s="170">
        <f t="shared" ref="CZ52" si="264">+CY54*$C$52</f>
        <v>241.81674678131938</v>
      </c>
      <c r="DA52" s="170">
        <f t="shared" ref="DA52" si="265">+CZ54*$C$52</f>
        <v>222.47140703886748</v>
      </c>
      <c r="DB52" s="170">
        <f t="shared" ref="DB52" si="266">+DA54*$C$52</f>
        <v>204.67369447574021</v>
      </c>
      <c r="DC52" s="170">
        <f t="shared" ref="DC52" si="267">+DB54*$C$52</f>
        <v>188.29979891762139</v>
      </c>
      <c r="DD52" s="170">
        <f t="shared" ref="DD52" si="268">+DC54*$C$52</f>
        <v>173.23581500425936</v>
      </c>
      <c r="DE52" s="170">
        <f t="shared" ref="DE52" si="269">+DD54*$C$52</f>
        <v>159.37694980397822</v>
      </c>
      <c r="DF52" s="170">
        <f t="shared" ref="DF52" si="270">+DE54*$C$52</f>
        <v>146.62679381966592</v>
      </c>
      <c r="DG52" s="170">
        <f t="shared" ref="DG52" si="271">+DF54*$C$52</f>
        <v>134.89665031403302</v>
      </c>
      <c r="DH52" s="170">
        <f t="shared" ref="DH52" si="272">+DG54*$C$52</f>
        <v>124.10491828888655</v>
      </c>
      <c r="DI52" s="170">
        <f t="shared" ref="DI52" si="273">+DH54*$C$52</f>
        <v>114.17652482584118</v>
      </c>
      <c r="DJ52" s="170">
        <f t="shared" ref="DJ52" si="274">+DI54*$C$52</f>
        <v>105.04240283980965</v>
      </c>
      <c r="DK52" s="170">
        <f t="shared" ref="DK52" si="275">+DJ54*$C$52</f>
        <v>96.63901061266661</v>
      </c>
      <c r="DL52" s="170">
        <f t="shared" ref="DL52" si="276">+DK54*$C$52</f>
        <v>88.907889763712888</v>
      </c>
      <c r="DM52" s="170">
        <f t="shared" ref="DM52" si="277">+DL54*$C$52</f>
        <v>81.795258582681413</v>
      </c>
      <c r="DN52" s="170">
        <f t="shared" ref="DN52" si="278">+DM54*$C$52</f>
        <v>75.251637896001341</v>
      </c>
      <c r="DO52" s="170">
        <f t="shared" ref="DO52" si="279">+DN54*$C$52</f>
        <v>69.23150686427951</v>
      </c>
      <c r="DP52" s="170">
        <f t="shared" ref="DP52" si="280">+DO54*$C$52</f>
        <v>63.692986315190794</v>
      </c>
      <c r="DQ52" s="170">
        <f t="shared" ref="DQ52" si="281">+DP54*$C$52</f>
        <v>58.597547409981487</v>
      </c>
      <c r="DR52" s="170">
        <f t="shared" ref="DR52" si="282">+DQ54*$C$52</f>
        <v>53.909743617177014</v>
      </c>
      <c r="DS52" s="170">
        <f t="shared" ref="DS52" si="283">+DR54*$C$52</f>
        <v>49.596964127868418</v>
      </c>
      <c r="DT52" s="170">
        <f t="shared" ref="DT52" si="284">+DS54*$C$52</f>
        <v>45.629206997603177</v>
      </c>
      <c r="DU52" s="170">
        <f t="shared" ref="DU52" si="285">+DT54*$C$52</f>
        <v>41.978870437741278</v>
      </c>
      <c r="DV52" s="170">
        <f t="shared" ref="DV52" si="286">+DU54*$C$52</f>
        <v>38.620560802668336</v>
      </c>
      <c r="DW52" s="170">
        <f t="shared" ref="DW52" si="287">+DV54*$C$52</f>
        <v>35.530915938466791</v>
      </c>
      <c r="DX52" s="170">
        <f t="shared" ref="DX52" si="288">+DW54*$C$52</f>
        <v>32.688442663401368</v>
      </c>
      <c r="DY52" s="170">
        <f t="shared" ref="DY52" si="289">+DX54*$C$52</f>
        <v>30.07336725026369</v>
      </c>
      <c r="DZ52" s="170">
        <f t="shared" ref="DZ52" si="290">+DY54*$C$52</f>
        <v>27.66749787017703</v>
      </c>
      <c r="EA52" s="170">
        <f t="shared" ref="EA52" si="291">+DZ54*$C$52</f>
        <v>25.454098040610553</v>
      </c>
      <c r="EB52" s="170">
        <f t="shared" ref="EB52" si="292">+EA54*$C$52</f>
        <v>23.417770197391512</v>
      </c>
      <c r="EC52" s="170">
        <f t="shared" ref="EC52" si="293">+EB54*$C$52</f>
        <v>21.544348581582309</v>
      </c>
      <c r="ED52" s="170">
        <f t="shared" ref="ED52" si="294">+EC54*$C$52</f>
        <v>19.820800695121289</v>
      </c>
      <c r="EE52" s="170">
        <f t="shared" ref="EE52" si="295">+ED54*$C$52</f>
        <v>18.235136639475822</v>
      </c>
      <c r="EF52" s="170">
        <f t="shared" ref="EF52" si="296">+EE54*$C$52</f>
        <v>16.776325708329679</v>
      </c>
      <c r="EG52" s="170">
        <f t="shared" ref="EG52" si="297">+EF54*$C$52</f>
        <v>15.434219651669265</v>
      </c>
      <c r="EH52" s="170">
        <f t="shared" ref="EH52" si="298">+EG54*$C$52</f>
        <v>14.199482079595327</v>
      </c>
      <c r="EI52" s="170">
        <f t="shared" ref="EI52" si="299">+EH54*$C$52</f>
        <v>13.063523513227702</v>
      </c>
      <c r="EJ52" s="170">
        <f t="shared" ref="EJ52" si="300">+EI54*$C$52</f>
        <v>12.018441632241011</v>
      </c>
      <c r="EK52" s="170">
        <f t="shared" ref="EK52" si="301">+EJ54*$C$52</f>
        <v>11.056966301649808</v>
      </c>
      <c r="EL52" s="170">
        <f t="shared" ref="EL52" si="302">+EK54*$C$52</f>
        <v>10.172408997565508</v>
      </c>
      <c r="EM52" s="170">
        <f t="shared" ref="EM52" si="303">+EL54*$C$52</f>
        <v>9.3586162777245043</v>
      </c>
      <c r="EN52" s="170">
        <f t="shared" ref="EN52" si="304">+EM54*$C$52</f>
        <v>8.6099269755184658</v>
      </c>
      <c r="EO52" s="170">
        <f t="shared" ref="EO52" si="305">+EN54*$C$52</f>
        <v>7.9211328174173836</v>
      </c>
      <c r="EP52" s="170">
        <f t="shared" ref="EP52" si="306">+EO54*$C$52</f>
        <v>7.2874421919882302</v>
      </c>
      <c r="EQ52" s="170">
        <f t="shared" ref="EQ52" si="307">+EP54*$C$52</f>
        <v>6.7044468165934088</v>
      </c>
      <c r="ER52" s="170">
        <f t="shared" ref="ER52" si="308">+EQ54*$C$52</f>
        <v>6.168091071248055</v>
      </c>
      <c r="ES52" s="170">
        <f t="shared" ref="ES52" si="309">+ER54*$C$52</f>
        <v>5.6746437855064871</v>
      </c>
      <c r="ET52" s="170">
        <f t="shared" ref="ET52" si="310">+ES54*$C$52</f>
        <v>5.2206722827255723</v>
      </c>
      <c r="EU52" s="170">
        <f t="shared" ref="EU52" si="311">+ET54*$C$52</f>
        <v>4.8030185000598431</v>
      </c>
      <c r="EV52" s="170">
        <f t="shared" ref="EV52" si="312">+EU54*$C$52</f>
        <v>4.4187770201265817</v>
      </c>
      <c r="EW52" s="170">
        <f t="shared" ref="EW52" si="313">+EV54*$C$52</f>
        <v>4.0652748584747318</v>
      </c>
      <c r="EX52" s="170">
        <f t="shared" ref="EX52" si="314">+EW54*$C$52</f>
        <v>3.7400528697669508</v>
      </c>
      <c r="EY52" s="170">
        <f t="shared" ref="EY52" si="315">+EX54*$C$52</f>
        <v>3.4408486402034759</v>
      </c>
      <c r="EZ52" s="170">
        <f t="shared" ref="EZ52" si="316">+EY54*$C$52</f>
        <v>3.1655807489156724</v>
      </c>
      <c r="FA52" s="170">
        <f t="shared" ref="FA52" si="317">+EZ54*$C$52</f>
        <v>2.9123342889547348</v>
      </c>
      <c r="FB52" s="170">
        <f t="shared" ref="FB52" si="318">+FA54*$C$52</f>
        <v>2.6793475458025933</v>
      </c>
      <c r="FC52" s="170">
        <f t="shared" ref="FC52" si="319">+FB54*$C$52</f>
        <v>2.4649997422099115</v>
      </c>
      <c r="FD52" s="170">
        <f t="shared" ref="FD52" si="320">+FC54*$C$52</f>
        <v>2.2677997627854349</v>
      </c>
      <c r="FE52" s="170">
        <f t="shared" ref="FE52" si="321">+FD54*$C$52</f>
        <v>2.0863757817447186</v>
      </c>
      <c r="FF52" s="170">
        <f t="shared" ref="FF52" si="322">+FE54*$C$52</f>
        <v>1.9194657191634179</v>
      </c>
      <c r="FG52" s="170">
        <f t="shared" ref="FG52" si="323">+FF54*$C$52</f>
        <v>1.7659084616601468</v>
      </c>
      <c r="FH52" s="170">
        <f t="shared" ref="FH52" si="324">+FG54*$C$52</f>
        <v>1.6246357847750188</v>
      </c>
      <c r="FI52" s="170">
        <f t="shared" ref="FI52" si="325">+FH54*$C$52</f>
        <v>1.4946649220585824</v>
      </c>
      <c r="FJ52" s="170">
        <f t="shared" ref="FJ52" si="326">+FI54*$C$52</f>
        <v>1.3750917282700539</v>
      </c>
      <c r="FK52" s="170">
        <f t="shared" ref="FK52" si="327">+FJ54*$C$52</f>
        <v>1.2650843900442124</v>
      </c>
      <c r="FL52" s="170">
        <f t="shared" ref="FL52" si="328">+FK54*$C$52</f>
        <v>1.1638776388764382</v>
      </c>
      <c r="FM52" s="170">
        <f t="shared" ref="FM52" si="329">+FL54*$C$52</f>
        <v>1.0707674278318882</v>
      </c>
      <c r="FN52" s="170">
        <f t="shared" ref="FN52" si="330">+FM54*$C$52</f>
        <v>0.98510603353381154</v>
      </c>
      <c r="FO52" s="170">
        <f t="shared" ref="FO52" si="331">+FN54*$C$52</f>
        <v>0.90629755079746244</v>
      </c>
      <c r="FP52" s="170">
        <f t="shared" ref="FP52" si="332">+FO54*$C$52</f>
        <v>0.83379374668002126</v>
      </c>
      <c r="FQ52" s="170">
        <f t="shared" ref="FQ52" si="333">+FP54*$C$52</f>
        <v>0.76709024697542194</v>
      </c>
      <c r="FR52" s="170">
        <f t="shared" ref="FR52" si="334">+FQ54*$C$52</f>
        <v>0.70572302728891378</v>
      </c>
      <c r="FS52" s="170">
        <f t="shared" ref="FS52" si="335">+FR54*$C$52</f>
        <v>0.64926518514752385</v>
      </c>
      <c r="FT52" s="170">
        <f t="shared" ref="FT52" si="336">+FS54*$C$52</f>
        <v>0.59732397034764295</v>
      </c>
      <c r="FU52" s="170">
        <f t="shared" ref="FU52" si="337">+FT54*$C$52</f>
        <v>0.54953805267810818</v>
      </c>
      <c r="FV52" s="170">
        <f t="shared" ref="FV52" si="338">+FU54*$C$52</f>
        <v>0.50557500839233405</v>
      </c>
      <c r="FW52" s="170">
        <f t="shared" ref="FW52" si="339">+FV54*$C$52</f>
        <v>0.46512900769710541</v>
      </c>
      <c r="FX52" s="170">
        <f t="shared" ref="FX52" si="340">+FW54*$C$52</f>
        <v>0.42791868701577185</v>
      </c>
      <c r="FY52" s="170">
        <f t="shared" ref="FY52" si="341">+FX54*$C$52</f>
        <v>0.39368519201874735</v>
      </c>
      <c r="FZ52" s="170">
        <f t="shared" ref="FZ52" si="342">+FY54*$C$52</f>
        <v>0.36219037666916848</v>
      </c>
      <c r="GA52" s="170">
        <f t="shared" ref="GA52" si="343">+FZ54*$C$52</f>
        <v>0.33321514651179313</v>
      </c>
      <c r="GB52" s="170">
        <f t="shared" ref="GB52" si="344">+GA54*$C$52</f>
        <v>0.30655793473124504</v>
      </c>
      <c r="GC52" s="170">
        <f t="shared" ref="GC52" si="345">+GB54*$C$52</f>
        <v>0.28203329995274545</v>
      </c>
      <c r="GD52" s="170">
        <f t="shared" ref="GD52" si="346">+GC54*$C$52</f>
        <v>0.25947063595056535</v>
      </c>
      <c r="GE52" s="170">
        <f t="shared" ref="GE52" si="347">+GD54*$C$52</f>
        <v>0.23871298506855965</v>
      </c>
      <c r="GF52" s="170">
        <f t="shared" ref="GF52" si="348">+GE54*$C$52</f>
        <v>0.21961594626307487</v>
      </c>
      <c r="GG52" s="170">
        <f t="shared" ref="GG52" si="349">+GF54*$C$52</f>
        <v>0.20204667061567308</v>
      </c>
      <c r="GH52" s="170">
        <f t="shared" ref="GH52" si="350">+GG54*$C$52</f>
        <v>0.18588293701410294</v>
      </c>
      <c r="GI52" s="170">
        <f t="shared" ref="GI52" si="351">+GH54*$C$52</f>
        <v>0.17101230204105378</v>
      </c>
      <c r="GJ52" s="170">
        <f t="shared" ref="GJ52" si="352">+GI54*$C$52</f>
        <v>0.15733131781220436</v>
      </c>
      <c r="GK52" s="170">
        <f t="shared" ref="GK52" si="353">+GJ54*$C$52</f>
        <v>0.14474481239914894</v>
      </c>
      <c r="GL52" s="170">
        <f t="shared" ref="GL52" si="354">+GK54*$C$52</f>
        <v>0.13316522747278214</v>
      </c>
      <c r="GM52" s="170">
        <f t="shared" ref="GM52" si="355">+GL54*$C$52</f>
        <v>0.12251200929284096</v>
      </c>
      <c r="GN52" s="170">
        <f t="shared" ref="GN52" si="356">+GM54*$C$52</f>
        <v>0.11271104857325553</v>
      </c>
      <c r="GO52" s="170">
        <f t="shared" ref="GO52" si="357">+GN54*$C$52</f>
        <v>0.10369416475296021</v>
      </c>
      <c r="GP52" s="170">
        <f t="shared" ref="GP52" si="358">+GO54*$C$52</f>
        <v>9.5398631542921067E-2</v>
      </c>
      <c r="GQ52" s="170">
        <f t="shared" ref="GQ52" si="359">+GP54*$C$52</f>
        <v>8.7766741067171097E-2</v>
      </c>
      <c r="GR52" s="170">
        <f t="shared" ref="GR52" si="360">+GQ54*$C$52</f>
        <v>8.0745401829481131E-2</v>
      </c>
      <c r="GS52" s="170">
        <f t="shared" ref="GS52" si="361">+GR54*$C$52</f>
        <v>7.4285769611597066E-2</v>
      </c>
      <c r="GT52" s="170">
        <f t="shared" ref="GT52" si="362">+GS54*$C$52</f>
        <v>6.8342908024787902E-2</v>
      </c>
      <c r="GU52" s="170">
        <f t="shared" ref="GU52" si="363">+GT54*$C$52</f>
        <v>6.2875475436449058E-2</v>
      </c>
      <c r="GV52" s="170">
        <f t="shared" ref="GV52" si="364">+GU54*$C$52</f>
        <v>5.7845437377691267E-2</v>
      </c>
      <c r="GW52" s="170">
        <f t="shared" ref="GW52" si="365">+GV54*$C$52</f>
        <v>5.321780234575272E-2</v>
      </c>
      <c r="GX52" s="170">
        <f t="shared" ref="GX52:GZ52" si="366">+GW54*$C$52</f>
        <v>4.8960378170013426E-2</v>
      </c>
      <c r="GY52" s="170">
        <f t="shared" si="366"/>
        <v>4.5043547898530961E-2</v>
      </c>
      <c r="GZ52" s="170">
        <f t="shared" si="366"/>
        <v>4.1440064013004305E-2</v>
      </c>
      <c r="HA52" s="170">
        <f t="shared" ref="HA52" si="367">+GZ54*$C$52</f>
        <v>3.8124858886003497E-2</v>
      </c>
      <c r="HB52" s="170">
        <f t="shared" ref="HB52" si="368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224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/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198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9">-F30+F52+F56+F57</f>
        <v>459816.10494104389</v>
      </c>
      <c r="G59" s="177">
        <f t="shared" si="369"/>
        <v>279963.64444397844</v>
      </c>
      <c r="H59" s="177">
        <f t="shared" si="369"/>
        <v>216990.24926863261</v>
      </c>
      <c r="I59" s="177">
        <f t="shared" si="369"/>
        <v>159054.72570731444</v>
      </c>
      <c r="J59" s="177">
        <f t="shared" si="369"/>
        <v>105754.04403090174</v>
      </c>
      <c r="K59" s="177">
        <f t="shared" si="369"/>
        <v>56717.416888602078</v>
      </c>
      <c r="L59" s="177">
        <f t="shared" si="369"/>
        <v>11603.71991768654</v>
      </c>
      <c r="M59" s="177">
        <f>-M30+M52+M56+M57</f>
        <v>-29900.881295555853</v>
      </c>
      <c r="N59" s="177">
        <f t="shared" si="369"/>
        <v>-68085.114411738934</v>
      </c>
      <c r="O59" s="177">
        <f t="shared" si="369"/>
        <v>-103214.60887862736</v>
      </c>
      <c r="P59" s="177">
        <f t="shared" si="369"/>
        <v>-135533.74378816469</v>
      </c>
      <c r="Q59" s="177">
        <f t="shared" si="369"/>
        <v>-165267.34790493903</v>
      </c>
      <c r="R59" s="177">
        <f t="shared" si="369"/>
        <v>-192622.26369237137</v>
      </c>
      <c r="S59" s="177">
        <f t="shared" si="369"/>
        <v>-217788.78621680912</v>
      </c>
      <c r="T59" s="177">
        <f t="shared" si="369"/>
        <v>-240941.98693929194</v>
      </c>
      <c r="U59" s="177">
        <f t="shared" si="369"/>
        <v>-262242.931603976</v>
      </c>
      <c r="V59" s="177">
        <f t="shared" si="369"/>
        <v>-281839.80069548544</v>
      </c>
      <c r="W59" s="177">
        <f t="shared" si="369"/>
        <v>-299868.9202596742</v>
      </c>
      <c r="X59" s="177">
        <f t="shared" si="369"/>
        <v>-316455.71025872778</v>
      </c>
      <c r="Y59" s="177">
        <f t="shared" si="369"/>
        <v>-331715.55705785705</v>
      </c>
      <c r="Z59" s="177">
        <f t="shared" si="369"/>
        <v>-345754.6161130559</v>
      </c>
      <c r="AA59" s="177">
        <f t="shared" si="369"/>
        <v>-358670.55044383893</v>
      </c>
      <c r="AB59" s="177">
        <f t="shared" si="369"/>
        <v>-370553.21002815932</v>
      </c>
      <c r="AC59" s="177">
        <f t="shared" si="369"/>
        <v>-381485.25684573408</v>
      </c>
      <c r="AD59" s="177">
        <f t="shared" si="369"/>
        <v>-391542.73991790292</v>
      </c>
      <c r="AE59" s="177">
        <f t="shared" si="369"/>
        <v>-400795.62434429821</v>
      </c>
      <c r="AF59" s="177">
        <f t="shared" si="369"/>
        <v>-409308.27801658178</v>
      </c>
      <c r="AG59" s="177">
        <f t="shared" si="369"/>
        <v>-417139.91939508275</v>
      </c>
      <c r="AH59" s="177">
        <f t="shared" si="369"/>
        <v>-424345.02946330362</v>
      </c>
      <c r="AI59" s="177">
        <f t="shared" si="369"/>
        <v>-430973.7307260668</v>
      </c>
      <c r="AJ59" s="177">
        <f t="shared" si="369"/>
        <v>-437072.13588780892</v>
      </c>
      <c r="AK59" s="177">
        <f t="shared" si="369"/>
        <v>-442682.66863661166</v>
      </c>
      <c r="AL59" s="177">
        <f t="shared" si="369"/>
        <v>-447844.35876551032</v>
      </c>
      <c r="AM59" s="177">
        <f t="shared" si="369"/>
        <v>-190910.31843625306</v>
      </c>
      <c r="AN59" s="177">
        <f t="shared" si="369"/>
        <v>50241.827038647236</v>
      </c>
      <c r="AO59" s="177">
        <f t="shared" si="369"/>
        <v>46222.480875555426</v>
      </c>
      <c r="AP59" s="177">
        <f t="shared" si="369"/>
        <v>42524.68240551099</v>
      </c>
      <c r="AQ59" s="177">
        <f t="shared" si="369"/>
        <v>39122.707813070119</v>
      </c>
      <c r="AR59" s="177">
        <f t="shared" si="369"/>
        <v>35992.89118802458</v>
      </c>
      <c r="AS59" s="177">
        <f t="shared" si="369"/>
        <v>33113.459892982544</v>
      </c>
      <c r="AT59" s="177">
        <f t="shared" si="369"/>
        <v>30464.383101543935</v>
      </c>
      <c r="AU59" s="177">
        <f t="shared" si="369"/>
        <v>28027.23245342046</v>
      </c>
      <c r="AV59" s="177">
        <f t="shared" si="369"/>
        <v>25785.053857146799</v>
      </c>
      <c r="AW59" s="177">
        <f t="shared" si="369"/>
        <v>23722.249548574986</v>
      </c>
      <c r="AX59" s="177">
        <f t="shared" si="369"/>
        <v>21824.469584688992</v>
      </c>
      <c r="AY59" s="177">
        <f t="shared" si="369"/>
        <v>20078.512017913908</v>
      </c>
      <c r="AZ59" s="177">
        <f t="shared" si="369"/>
        <v>18472.231056480854</v>
      </c>
      <c r="BA59" s="177">
        <f t="shared" si="369"/>
        <v>16994.452571962327</v>
      </c>
      <c r="BB59" s="177">
        <f t="shared" si="369"/>
        <v>15634.896366205365</v>
      </c>
      <c r="BC59" s="177">
        <f t="shared" si="369"/>
        <v>14384.104656908959</v>
      </c>
      <c r="BD59" s="177">
        <f t="shared" si="369"/>
        <v>13233.376284356267</v>
      </c>
      <c r="BE59" s="177">
        <f t="shared" si="369"/>
        <v>12174.706181607693</v>
      </c>
      <c r="BF59" s="177">
        <f t="shared" si="369"/>
        <v>11200.729687079043</v>
      </c>
      <c r="BG59" s="177">
        <f t="shared" si="369"/>
        <v>10304.67131211266</v>
      </c>
      <c r="BH59" s="177">
        <f t="shared" si="369"/>
        <v>9480.2976071436697</v>
      </c>
      <c r="BI59" s="177">
        <f t="shared" si="369"/>
        <v>8721.8737985721236</v>
      </c>
      <c r="BJ59" s="177">
        <f t="shared" si="369"/>
        <v>8024.1238946864014</v>
      </c>
      <c r="BK59" s="177">
        <f t="shared" si="369"/>
        <v>7382.1939831115305</v>
      </c>
      <c r="BL59" s="177">
        <f t="shared" si="369"/>
        <v>6791.6184644626082</v>
      </c>
      <c r="BM59" s="177">
        <f t="shared" si="369"/>
        <v>6248.288987305612</v>
      </c>
      <c r="BN59" s="177">
        <f t="shared" si="369"/>
        <v>5748.4258683212101</v>
      </c>
      <c r="BO59" s="177">
        <f t="shared" si="369"/>
        <v>5288.5517988555139</v>
      </c>
      <c r="BP59" s="177">
        <f t="shared" ref="BP59:EA59" si="370">-BP30+BP52+BP56+BP57</f>
        <v>4865.4676549470423</v>
      </c>
      <c r="BQ59" s="177">
        <f t="shared" si="370"/>
        <v>4476.2302425512671</v>
      </c>
      <c r="BR59" s="177">
        <f t="shared" si="370"/>
        <v>4118.1318231472378</v>
      </c>
      <c r="BS59" s="177">
        <f t="shared" si="370"/>
        <v>3788.6812772955</v>
      </c>
      <c r="BT59" s="177">
        <f t="shared" si="370"/>
        <v>3485.586775111854</v>
      </c>
      <c r="BU59" s="177">
        <f t="shared" si="370"/>
        <v>3206.7398331029713</v>
      </c>
      <c r="BV59" s="177">
        <f t="shared" si="370"/>
        <v>2950.2006464546921</v>
      </c>
      <c r="BW59" s="177">
        <f t="shared" si="370"/>
        <v>2714.1845947383345</v>
      </c>
      <c r="BX59" s="177">
        <f t="shared" si="370"/>
        <v>2497.0498271591964</v>
      </c>
      <c r="BY59" s="177">
        <f t="shared" si="370"/>
        <v>2297.2858409865203</v>
      </c>
      <c r="BZ59" s="177">
        <f t="shared" si="370"/>
        <v>2113.5029737076165</v>
      </c>
      <c r="CA59" s="177">
        <f t="shared" si="370"/>
        <v>1944.4227358110249</v>
      </c>
      <c r="CB59" s="177">
        <f t="shared" si="370"/>
        <v>1788.8689169462025</v>
      </c>
      <c r="CC59" s="177">
        <f t="shared" si="370"/>
        <v>1645.7594035905599</v>
      </c>
      <c r="CD59" s="177">
        <f t="shared" si="370"/>
        <v>1514.0986513033511</v>
      </c>
      <c r="CE59" s="177">
        <f t="shared" si="370"/>
        <v>1392.9707591991128</v>
      </c>
      <c r="CF59" s="177">
        <f t="shared" si="370"/>
        <v>1281.533098463118</v>
      </c>
      <c r="CG59" s="177">
        <f t="shared" si="370"/>
        <v>1179.0104505860807</v>
      </c>
      <c r="CH59" s="177">
        <f t="shared" si="370"/>
        <v>1084.6896145391465</v>
      </c>
      <c r="CI59" s="177">
        <f t="shared" si="370"/>
        <v>997.91444537594919</v>
      </c>
      <c r="CJ59" s="177">
        <f t="shared" si="370"/>
        <v>918.08128974586725</v>
      </c>
      <c r="CK59" s="177">
        <f t="shared" si="370"/>
        <v>844.63478656619793</v>
      </c>
      <c r="CL59" s="177">
        <f t="shared" si="370"/>
        <v>777.06400364086039</v>
      </c>
      <c r="CM59" s="177">
        <f t="shared" si="370"/>
        <v>714.89888334959744</v>
      </c>
      <c r="CN59" s="177">
        <f t="shared" si="370"/>
        <v>657.70697268158199</v>
      </c>
      <c r="CO59" s="177">
        <f t="shared" si="370"/>
        <v>605.09041486710316</v>
      </c>
      <c r="CP59" s="177">
        <f t="shared" si="370"/>
        <v>556.68318167775874</v>
      </c>
      <c r="CQ59" s="177">
        <f t="shared" si="370"/>
        <v>512.14852714359756</v>
      </c>
      <c r="CR59" s="177">
        <f t="shared" si="370"/>
        <v>471.17664497211575</v>
      </c>
      <c r="CS59" s="177">
        <f t="shared" si="370"/>
        <v>433.48251337438825</v>
      </c>
      <c r="CT59" s="177">
        <f t="shared" si="370"/>
        <v>398.80391230449084</v>
      </c>
      <c r="CU59" s="177">
        <f t="shared" si="370"/>
        <v>366.89959932014347</v>
      </c>
      <c r="CV59" s="177">
        <f t="shared" si="370"/>
        <v>337.54763137459753</v>
      </c>
      <c r="CW59" s="177">
        <f t="shared" si="370"/>
        <v>310.5438208645582</v>
      </c>
      <c r="CX59" s="177">
        <f t="shared" si="370"/>
        <v>285.70031519532205</v>
      </c>
      <c r="CY59" s="177">
        <f t="shared" si="370"/>
        <v>262.8442899796367</v>
      </c>
      <c r="CZ59" s="177">
        <f t="shared" si="370"/>
        <v>241.81674678131938</v>
      </c>
      <c r="DA59" s="177">
        <f t="shared" si="370"/>
        <v>222.47140703886748</v>
      </c>
      <c r="DB59" s="177">
        <f t="shared" si="370"/>
        <v>204.67369447574021</v>
      </c>
      <c r="DC59" s="177">
        <f t="shared" si="370"/>
        <v>188.29979891762139</v>
      </c>
      <c r="DD59" s="177">
        <f t="shared" si="370"/>
        <v>173.23581500425936</v>
      </c>
      <c r="DE59" s="177">
        <f t="shared" si="370"/>
        <v>159.37694980397822</v>
      </c>
      <c r="DF59" s="177">
        <f t="shared" si="370"/>
        <v>146.62679381966592</v>
      </c>
      <c r="DG59" s="177">
        <f t="shared" si="370"/>
        <v>134.89665031403302</v>
      </c>
      <c r="DH59" s="177">
        <f t="shared" si="370"/>
        <v>124.10491828888655</v>
      </c>
      <c r="DI59" s="177">
        <f t="shared" si="370"/>
        <v>114.17652482584118</v>
      </c>
      <c r="DJ59" s="177">
        <f t="shared" si="370"/>
        <v>105.04240283980965</v>
      </c>
      <c r="DK59" s="177">
        <f t="shared" si="370"/>
        <v>96.63901061266661</v>
      </c>
      <c r="DL59" s="177">
        <f t="shared" si="370"/>
        <v>88.907889763712888</v>
      </c>
      <c r="DM59" s="177">
        <f t="shared" si="370"/>
        <v>81.795258582681413</v>
      </c>
      <c r="DN59" s="177">
        <f t="shared" si="370"/>
        <v>75.251637896001341</v>
      </c>
      <c r="DO59" s="177">
        <f t="shared" si="370"/>
        <v>69.23150686427951</v>
      </c>
      <c r="DP59" s="177">
        <f t="shared" si="370"/>
        <v>63.692986315190794</v>
      </c>
      <c r="DQ59" s="177">
        <f t="shared" si="370"/>
        <v>58.597547409981487</v>
      </c>
      <c r="DR59" s="177">
        <f t="shared" si="370"/>
        <v>53.909743617177014</v>
      </c>
      <c r="DS59" s="177">
        <f t="shared" si="370"/>
        <v>49.596964127868418</v>
      </c>
      <c r="DT59" s="177">
        <f t="shared" si="370"/>
        <v>45.629206997603177</v>
      </c>
      <c r="DU59" s="177">
        <f t="shared" si="370"/>
        <v>41.978870437741278</v>
      </c>
      <c r="DV59" s="177">
        <f t="shared" si="370"/>
        <v>38.620560802668336</v>
      </c>
      <c r="DW59" s="177">
        <f t="shared" si="370"/>
        <v>35.530915938466791</v>
      </c>
      <c r="DX59" s="177">
        <f t="shared" si="370"/>
        <v>32.688442663401368</v>
      </c>
      <c r="DY59" s="177">
        <f t="shared" si="370"/>
        <v>30.07336725026369</v>
      </c>
      <c r="DZ59" s="177">
        <f t="shared" si="370"/>
        <v>27.66749787017703</v>
      </c>
      <c r="EA59" s="177">
        <f t="shared" si="370"/>
        <v>25.454098040610553</v>
      </c>
      <c r="EB59" s="177">
        <f t="shared" ref="EB59:GM59" si="371">-EB30+EB52+EB56+EB57</f>
        <v>23.417770197391512</v>
      </c>
      <c r="EC59" s="177">
        <f t="shared" si="371"/>
        <v>21.544348581582309</v>
      </c>
      <c r="ED59" s="177">
        <f t="shared" si="371"/>
        <v>19.820800695121289</v>
      </c>
      <c r="EE59" s="177">
        <f t="shared" si="371"/>
        <v>18.235136639475822</v>
      </c>
      <c r="EF59" s="177">
        <f t="shared" si="371"/>
        <v>16.776325708329679</v>
      </c>
      <c r="EG59" s="177">
        <f t="shared" si="371"/>
        <v>15.434219651669265</v>
      </c>
      <c r="EH59" s="177">
        <f t="shared" si="371"/>
        <v>14.199482079595327</v>
      </c>
      <c r="EI59" s="177">
        <f t="shared" si="371"/>
        <v>13.063523513227702</v>
      </c>
      <c r="EJ59" s="177">
        <f t="shared" si="371"/>
        <v>12.018441632241011</v>
      </c>
      <c r="EK59" s="177">
        <f t="shared" si="371"/>
        <v>11.056966301649808</v>
      </c>
      <c r="EL59" s="177">
        <f t="shared" si="371"/>
        <v>10.172408997565508</v>
      </c>
      <c r="EM59" s="177">
        <f t="shared" si="371"/>
        <v>9.3586162777245043</v>
      </c>
      <c r="EN59" s="177">
        <f t="shared" si="371"/>
        <v>8.6099269755184658</v>
      </c>
      <c r="EO59" s="177">
        <f t="shared" si="371"/>
        <v>7.9211328174173836</v>
      </c>
      <c r="EP59" s="177">
        <f t="shared" si="371"/>
        <v>7.2874421919882302</v>
      </c>
      <c r="EQ59" s="177">
        <f t="shared" si="371"/>
        <v>6.7044468165934088</v>
      </c>
      <c r="ER59" s="177">
        <f t="shared" si="371"/>
        <v>6.168091071248055</v>
      </c>
      <c r="ES59" s="177">
        <f t="shared" si="371"/>
        <v>5.6746437855064871</v>
      </c>
      <c r="ET59" s="177">
        <f t="shared" si="371"/>
        <v>5.2206722827255723</v>
      </c>
      <c r="EU59" s="177">
        <f t="shared" si="371"/>
        <v>4.8030185000598431</v>
      </c>
      <c r="EV59" s="177">
        <f t="shared" si="371"/>
        <v>4.4187770201265817</v>
      </c>
      <c r="EW59" s="177">
        <f t="shared" si="371"/>
        <v>4.0652748584747318</v>
      </c>
      <c r="EX59" s="177">
        <f t="shared" si="371"/>
        <v>3.7400528697669508</v>
      </c>
      <c r="EY59" s="177">
        <f t="shared" si="371"/>
        <v>3.4408486402034759</v>
      </c>
      <c r="EZ59" s="177">
        <f t="shared" si="371"/>
        <v>3.1655807489156724</v>
      </c>
      <c r="FA59" s="177">
        <f t="shared" si="371"/>
        <v>2.9123342889547348</v>
      </c>
      <c r="FB59" s="177">
        <f t="shared" si="371"/>
        <v>2.6793475458025933</v>
      </c>
      <c r="FC59" s="177">
        <f t="shared" si="371"/>
        <v>2.4649997422099115</v>
      </c>
      <c r="FD59" s="177">
        <f t="shared" si="371"/>
        <v>2.2677997627854349</v>
      </c>
      <c r="FE59" s="177">
        <f t="shared" si="371"/>
        <v>2.0863757817447186</v>
      </c>
      <c r="FF59" s="177">
        <f t="shared" si="371"/>
        <v>1.9194657191634179</v>
      </c>
      <c r="FG59" s="177">
        <f t="shared" si="371"/>
        <v>1.7659084616601468</v>
      </c>
      <c r="FH59" s="177">
        <f t="shared" si="371"/>
        <v>1.6246357847750188</v>
      </c>
      <c r="FI59" s="177">
        <f t="shared" si="371"/>
        <v>1.4946649220585824</v>
      </c>
      <c r="FJ59" s="177">
        <f t="shared" si="371"/>
        <v>1.3750917282700539</v>
      </c>
      <c r="FK59" s="177">
        <f t="shared" si="371"/>
        <v>1.2650843900442124</v>
      </c>
      <c r="FL59" s="177">
        <f t="shared" si="371"/>
        <v>1.1638776388764382</v>
      </c>
      <c r="FM59" s="177">
        <f t="shared" si="371"/>
        <v>1.0707674278318882</v>
      </c>
      <c r="FN59" s="177">
        <f t="shared" si="371"/>
        <v>0.98510603353381154</v>
      </c>
      <c r="FO59" s="177">
        <f t="shared" si="371"/>
        <v>0.90629755079746244</v>
      </c>
      <c r="FP59" s="177">
        <f t="shared" si="371"/>
        <v>0.83379374668002126</v>
      </c>
      <c r="FQ59" s="177">
        <f t="shared" si="371"/>
        <v>0.76709024697542194</v>
      </c>
      <c r="FR59" s="177">
        <f t="shared" si="371"/>
        <v>0.70572302728891378</v>
      </c>
      <c r="FS59" s="177">
        <f t="shared" si="371"/>
        <v>0.64926518514752385</v>
      </c>
      <c r="FT59" s="177">
        <f t="shared" si="371"/>
        <v>0.59732397034764295</v>
      </c>
      <c r="FU59" s="177">
        <f t="shared" si="371"/>
        <v>0.54953805267810818</v>
      </c>
      <c r="FV59" s="177">
        <f t="shared" si="371"/>
        <v>0.50557500839233405</v>
      </c>
      <c r="FW59" s="177">
        <f t="shared" si="371"/>
        <v>0.46512900769710541</v>
      </c>
      <c r="FX59" s="177">
        <f t="shared" si="371"/>
        <v>0.42791868701577185</v>
      </c>
      <c r="FY59" s="177">
        <f t="shared" si="371"/>
        <v>0.39368519201874735</v>
      </c>
      <c r="FZ59" s="177">
        <f t="shared" si="371"/>
        <v>0.36219037666916848</v>
      </c>
      <c r="GA59" s="177">
        <f t="shared" si="371"/>
        <v>0.33321514651179313</v>
      </c>
      <c r="GB59" s="177">
        <f t="shared" si="371"/>
        <v>0.30655793473124504</v>
      </c>
      <c r="GC59" s="177">
        <f t="shared" si="371"/>
        <v>0.28203329995274545</v>
      </c>
      <c r="GD59" s="177">
        <f t="shared" si="371"/>
        <v>0.25947063595056535</v>
      </c>
      <c r="GE59" s="177">
        <f t="shared" si="371"/>
        <v>0.23871298506855965</v>
      </c>
      <c r="GF59" s="177">
        <f t="shared" si="371"/>
        <v>0.21961594626307487</v>
      </c>
      <c r="GG59" s="177">
        <f t="shared" si="371"/>
        <v>0.20204667061567308</v>
      </c>
      <c r="GH59" s="177">
        <f t="shared" si="371"/>
        <v>0.18588293701410294</v>
      </c>
      <c r="GI59" s="177">
        <f t="shared" si="371"/>
        <v>0.17101230204105378</v>
      </c>
      <c r="GJ59" s="177">
        <f t="shared" si="371"/>
        <v>0.15733131781220436</v>
      </c>
      <c r="GK59" s="177">
        <f t="shared" si="371"/>
        <v>0.14474481239914894</v>
      </c>
      <c r="GL59" s="177">
        <f t="shared" si="371"/>
        <v>0.13316522747278214</v>
      </c>
      <c r="GM59" s="177">
        <f t="shared" si="371"/>
        <v>0.12251200929284096</v>
      </c>
      <c r="GN59" s="177">
        <f t="shared" ref="GN59:HA59" si="372">-GN30+GN52+GN56+GN57</f>
        <v>0.11271104857325553</v>
      </c>
      <c r="GO59" s="177">
        <f t="shared" si="372"/>
        <v>0.10369416475296021</v>
      </c>
      <c r="GP59" s="177">
        <f t="shared" si="372"/>
        <v>9.5398631542921067E-2</v>
      </c>
      <c r="GQ59" s="177">
        <f t="shared" si="372"/>
        <v>8.7766741067171097E-2</v>
      </c>
      <c r="GR59" s="177">
        <f t="shared" si="372"/>
        <v>8.0745401829481131E-2</v>
      </c>
      <c r="GS59" s="177">
        <f t="shared" si="372"/>
        <v>7.4285769611597066E-2</v>
      </c>
      <c r="GT59" s="177">
        <f t="shared" si="372"/>
        <v>6.8342908024787902E-2</v>
      </c>
      <c r="GU59" s="177">
        <f t="shared" si="372"/>
        <v>6.2875475436449058E-2</v>
      </c>
      <c r="GV59" s="177">
        <f t="shared" si="372"/>
        <v>5.7845437377691267E-2</v>
      </c>
      <c r="GW59" s="177">
        <f t="shared" si="372"/>
        <v>5.321780234575272E-2</v>
      </c>
      <c r="GX59" s="177">
        <f t="shared" si="372"/>
        <v>4.8960378170013426E-2</v>
      </c>
      <c r="GY59" s="177">
        <f t="shared" si="372"/>
        <v>4.5043547898530961E-2</v>
      </c>
      <c r="GZ59" s="177">
        <f t="shared" si="372"/>
        <v>4.1440064013004305E-2</v>
      </c>
      <c r="HA59" s="177">
        <f t="shared" si="372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73">+E61+F59</f>
        <v>6636449.8520842595</v>
      </c>
      <c r="G61" s="177">
        <f>+F61+G59</f>
        <v>6916413.4965282381</v>
      </c>
      <c r="H61" s="177">
        <f t="shared" si="373"/>
        <v>7133403.7457968704</v>
      </c>
      <c r="I61" s="177">
        <f t="shared" si="373"/>
        <v>7292458.4715041853</v>
      </c>
      <c r="J61" s="177">
        <f t="shared" si="373"/>
        <v>7398212.5155350873</v>
      </c>
      <c r="K61" s="177">
        <f t="shared" si="373"/>
        <v>7454929.9324236894</v>
      </c>
      <c r="L61" s="177">
        <f t="shared" si="373"/>
        <v>7466533.6523413761</v>
      </c>
      <c r="M61" s="177">
        <f t="shared" si="373"/>
        <v>7436632.7710458199</v>
      </c>
      <c r="N61" s="177">
        <f t="shared" si="373"/>
        <v>7368547.6566340812</v>
      </c>
      <c r="O61" s="177">
        <f t="shared" si="373"/>
        <v>7265333.0477554537</v>
      </c>
      <c r="P61" s="177">
        <f t="shared" si="373"/>
        <v>7129799.3039672887</v>
      </c>
      <c r="Q61" s="177">
        <f t="shared" si="373"/>
        <v>6964531.9560623495</v>
      </c>
      <c r="R61" s="177">
        <f t="shared" si="373"/>
        <v>6771909.6923699779</v>
      </c>
      <c r="S61" s="177">
        <f t="shared" si="373"/>
        <v>6554120.9061531685</v>
      </c>
      <c r="T61" s="177">
        <f t="shared" si="373"/>
        <v>6313178.9192138761</v>
      </c>
      <c r="U61" s="177">
        <f t="shared" si="373"/>
        <v>6050935.9876099005</v>
      </c>
      <c r="V61" s="177">
        <f t="shared" si="373"/>
        <v>5769096.1869144151</v>
      </c>
      <c r="W61" s="177">
        <f t="shared" si="373"/>
        <v>5469227.266654741</v>
      </c>
      <c r="X61" s="177">
        <f t="shared" si="373"/>
        <v>5152771.5563960131</v>
      </c>
      <c r="Y61" s="177">
        <f t="shared" si="373"/>
        <v>4821055.9993381556</v>
      </c>
      <c r="Z61" s="177">
        <f t="shared" si="373"/>
        <v>4475301.3832251001</v>
      </c>
      <c r="AA61" s="177">
        <f t="shared" si="373"/>
        <v>4116630.8327812613</v>
      </c>
      <c r="AB61" s="177">
        <f t="shared" si="373"/>
        <v>3746077.6227531019</v>
      </c>
      <c r="AC61" s="177">
        <f t="shared" si="373"/>
        <v>3364592.3659073678</v>
      </c>
      <c r="AD61" s="177">
        <f t="shared" si="373"/>
        <v>2973049.625989465</v>
      </c>
      <c r="AE61" s="177">
        <f t="shared" si="373"/>
        <v>2572254.0016451669</v>
      </c>
      <c r="AF61" s="177">
        <f t="shared" si="373"/>
        <v>2162945.7236285852</v>
      </c>
      <c r="AG61" s="177">
        <f t="shared" si="373"/>
        <v>1745805.8042335026</v>
      </c>
      <c r="AH61" s="177">
        <f t="shared" si="373"/>
        <v>1321460.7747701989</v>
      </c>
      <c r="AI61" s="177">
        <f t="shared" si="373"/>
        <v>890487.04404413211</v>
      </c>
      <c r="AJ61" s="177">
        <f t="shared" si="373"/>
        <v>453414.90815632319</v>
      </c>
      <c r="AK61" s="177">
        <f t="shared" si="373"/>
        <v>10732.239519711526</v>
      </c>
      <c r="AL61" s="177">
        <f t="shared" si="373"/>
        <v>-437112.11924579879</v>
      </c>
      <c r="AM61" s="177">
        <f t="shared" si="373"/>
        <v>-628022.43768205191</v>
      </c>
      <c r="AN61" s="177">
        <f t="shared" si="373"/>
        <v>-577780.61064340465</v>
      </c>
      <c r="AO61" s="177">
        <f t="shared" si="373"/>
        <v>-531558.12976784923</v>
      </c>
      <c r="AP61" s="177">
        <f t="shared" si="373"/>
        <v>-489033.44736233825</v>
      </c>
      <c r="AQ61" s="177">
        <f t="shared" si="373"/>
        <v>-449910.73954926815</v>
      </c>
      <c r="AR61" s="177">
        <f t="shared" si="373"/>
        <v>-413917.84836124355</v>
      </c>
      <c r="AS61" s="177">
        <f t="shared" si="373"/>
        <v>-380804.38846826099</v>
      </c>
      <c r="AT61" s="177">
        <f t="shared" si="373"/>
        <v>-350340.00536671706</v>
      </c>
      <c r="AU61" s="177">
        <f t="shared" si="373"/>
        <v>-322312.77291329659</v>
      </c>
      <c r="AV61" s="177">
        <f t="shared" si="373"/>
        <v>-296527.71905614977</v>
      </c>
      <c r="AW61" s="177">
        <f t="shared" si="373"/>
        <v>-272805.4695075748</v>
      </c>
      <c r="AX61" s="177">
        <f t="shared" si="373"/>
        <v>-250980.99992288582</v>
      </c>
      <c r="AY61" s="177">
        <f t="shared" si="373"/>
        <v>-230902.4879049719</v>
      </c>
      <c r="AZ61" s="177">
        <f t="shared" si="373"/>
        <v>-212430.25684849106</v>
      </c>
      <c r="BA61" s="177">
        <f t="shared" si="373"/>
        <v>-195435.80427652874</v>
      </c>
      <c r="BB61" s="177">
        <f t="shared" si="373"/>
        <v>-179800.90791032338</v>
      </c>
      <c r="BC61" s="177">
        <f t="shared" si="373"/>
        <v>-165416.80325341443</v>
      </c>
      <c r="BD61" s="177">
        <f t="shared" si="373"/>
        <v>-152183.42696905817</v>
      </c>
      <c r="BE61" s="177">
        <f t="shared" si="373"/>
        <v>-140008.72078745047</v>
      </c>
      <c r="BF61" s="177">
        <f t="shared" si="373"/>
        <v>-128807.99110037142</v>
      </c>
      <c r="BG61" s="177">
        <f t="shared" si="373"/>
        <v>-118503.31978825876</v>
      </c>
      <c r="BH61" s="177">
        <f t="shared" si="373"/>
        <v>-109023.02218111508</v>
      </c>
      <c r="BI61" s="177">
        <f t="shared" si="373"/>
        <v>-100301.14838254296</v>
      </c>
      <c r="BJ61" s="177">
        <f t="shared" si="373"/>
        <v>-92277.024487856557</v>
      </c>
      <c r="BK61" s="177">
        <f t="shared" si="373"/>
        <v>-84894.830504745027</v>
      </c>
      <c r="BL61" s="177">
        <f t="shared" si="373"/>
        <v>-78103.212040282422</v>
      </c>
      <c r="BM61" s="177">
        <f t="shared" si="373"/>
        <v>-71854.92305297681</v>
      </c>
      <c r="BN61" s="177">
        <f t="shared" si="373"/>
        <v>-66106.4971846556</v>
      </c>
      <c r="BO61" s="177">
        <f t="shared" si="373"/>
        <v>-60817.945385800085</v>
      </c>
      <c r="BP61" s="177">
        <f t="shared" si="373"/>
        <v>-55952.477730853047</v>
      </c>
      <c r="BQ61" s="177">
        <f t="shared" si="373"/>
        <v>-51476.247488301779</v>
      </c>
      <c r="BR61" s="177">
        <f t="shared" ref="BR61:EC61" si="374">+BQ61+BR59</f>
        <v>-47358.115665154539</v>
      </c>
      <c r="BS61" s="177">
        <f t="shared" si="374"/>
        <v>-43569.434387859037</v>
      </c>
      <c r="BT61" s="177">
        <f t="shared" si="374"/>
        <v>-40083.84761274718</v>
      </c>
      <c r="BU61" s="177">
        <f t="shared" si="374"/>
        <v>-36877.107779644211</v>
      </c>
      <c r="BV61" s="177">
        <f t="shared" si="374"/>
        <v>-33926.907133189517</v>
      </c>
      <c r="BW61" s="177">
        <f t="shared" si="374"/>
        <v>-31212.722538451184</v>
      </c>
      <c r="BX61" s="177">
        <f t="shared" si="374"/>
        <v>-28715.672711291987</v>
      </c>
      <c r="BY61" s="177">
        <f t="shared" si="374"/>
        <v>-26418.386870305469</v>
      </c>
      <c r="BZ61" s="177">
        <f t="shared" si="374"/>
        <v>-24304.88389659785</v>
      </c>
      <c r="CA61" s="177">
        <f t="shared" si="374"/>
        <v>-22360.461160786825</v>
      </c>
      <c r="CB61" s="177">
        <f t="shared" si="374"/>
        <v>-20571.592243840623</v>
      </c>
      <c r="CC61" s="177">
        <f t="shared" si="374"/>
        <v>-18925.832840250063</v>
      </c>
      <c r="CD61" s="177">
        <f t="shared" si="374"/>
        <v>-17411.734188946713</v>
      </c>
      <c r="CE61" s="177">
        <f t="shared" si="374"/>
        <v>-16018.7634297476</v>
      </c>
      <c r="CF61" s="177">
        <f t="shared" si="374"/>
        <v>-14737.230331284482</v>
      </c>
      <c r="CG61" s="177">
        <f t="shared" si="374"/>
        <v>-13558.219880698402</v>
      </c>
      <c r="CH61" s="177">
        <f t="shared" si="374"/>
        <v>-12473.530266159254</v>
      </c>
      <c r="CI61" s="177">
        <f t="shared" si="374"/>
        <v>-11475.615820783305</v>
      </c>
      <c r="CJ61" s="177">
        <f t="shared" si="374"/>
        <v>-10557.534531037438</v>
      </c>
      <c r="CK61" s="177">
        <f t="shared" si="374"/>
        <v>-9712.8997444712404</v>
      </c>
      <c r="CL61" s="177">
        <f t="shared" si="374"/>
        <v>-8935.83574083038</v>
      </c>
      <c r="CM61" s="177">
        <f t="shared" si="374"/>
        <v>-8220.9368574807831</v>
      </c>
      <c r="CN61" s="177">
        <f t="shared" si="374"/>
        <v>-7563.2298847992015</v>
      </c>
      <c r="CO61" s="177">
        <f t="shared" si="374"/>
        <v>-6958.1394699320981</v>
      </c>
      <c r="CP61" s="177">
        <f t="shared" si="374"/>
        <v>-6401.4562882543396</v>
      </c>
      <c r="CQ61" s="177">
        <f t="shared" si="374"/>
        <v>-5889.3077611107419</v>
      </c>
      <c r="CR61" s="177">
        <f t="shared" si="374"/>
        <v>-5418.1311161386266</v>
      </c>
      <c r="CS61" s="177">
        <f t="shared" si="374"/>
        <v>-4984.6486027642386</v>
      </c>
      <c r="CT61" s="177">
        <f t="shared" si="374"/>
        <v>-4585.8446904597477</v>
      </c>
      <c r="CU61" s="177">
        <f t="shared" si="374"/>
        <v>-4218.9450911396043</v>
      </c>
      <c r="CV61" s="177">
        <f t="shared" si="374"/>
        <v>-3881.3974597650067</v>
      </c>
      <c r="CW61" s="177">
        <f t="shared" si="374"/>
        <v>-3570.8536389004485</v>
      </c>
      <c r="CX61" s="177">
        <f t="shared" si="374"/>
        <v>-3285.1533237051262</v>
      </c>
      <c r="CY61" s="177">
        <f t="shared" si="374"/>
        <v>-3022.3090337254894</v>
      </c>
      <c r="CZ61" s="177">
        <f t="shared" si="374"/>
        <v>-2780.4922869441698</v>
      </c>
      <c r="DA61" s="177">
        <f t="shared" si="374"/>
        <v>-2558.0208799053025</v>
      </c>
      <c r="DB61" s="177">
        <f t="shared" si="374"/>
        <v>-2353.3471854295622</v>
      </c>
      <c r="DC61" s="177">
        <f t="shared" si="374"/>
        <v>-2165.0473865119407</v>
      </c>
      <c r="DD61" s="177">
        <f t="shared" si="374"/>
        <v>-1991.8115715076813</v>
      </c>
      <c r="DE61" s="177">
        <f t="shared" si="374"/>
        <v>-1832.434621703703</v>
      </c>
      <c r="DF61" s="177">
        <f t="shared" si="374"/>
        <v>-1685.8078278840371</v>
      </c>
      <c r="DG61" s="177">
        <f t="shared" si="374"/>
        <v>-1550.9111775700042</v>
      </c>
      <c r="DH61" s="177">
        <f t="shared" si="374"/>
        <v>-1426.8062592811175</v>
      </c>
      <c r="DI61" s="177">
        <f t="shared" si="374"/>
        <v>-1312.6297344552763</v>
      </c>
      <c r="DJ61" s="177">
        <f t="shared" si="374"/>
        <v>-1207.5873316154666</v>
      </c>
      <c r="DK61" s="177">
        <f t="shared" si="374"/>
        <v>-1110.9483210028</v>
      </c>
      <c r="DL61" s="177">
        <f t="shared" si="374"/>
        <v>-1022.0404312390871</v>
      </c>
      <c r="DM61" s="177">
        <f t="shared" si="374"/>
        <v>-940.24517265640566</v>
      </c>
      <c r="DN61" s="177">
        <f t="shared" si="374"/>
        <v>-864.99353476040437</v>
      </c>
      <c r="DO61" s="177">
        <f t="shared" si="374"/>
        <v>-795.76202789612489</v>
      </c>
      <c r="DP61" s="177">
        <f t="shared" si="374"/>
        <v>-732.06904158093414</v>
      </c>
      <c r="DQ61" s="177">
        <f t="shared" si="374"/>
        <v>-673.47149417095261</v>
      </c>
      <c r="DR61" s="177">
        <f t="shared" si="374"/>
        <v>-619.5617505537756</v>
      </c>
      <c r="DS61" s="177">
        <f t="shared" si="374"/>
        <v>-569.96478642590716</v>
      </c>
      <c r="DT61" s="177">
        <f t="shared" si="374"/>
        <v>-524.33557942830396</v>
      </c>
      <c r="DU61" s="177">
        <f t="shared" si="374"/>
        <v>-482.35670899056265</v>
      </c>
      <c r="DV61" s="177">
        <f t="shared" si="374"/>
        <v>-443.73614818789429</v>
      </c>
      <c r="DW61" s="177">
        <f t="shared" si="374"/>
        <v>-408.20523224942747</v>
      </c>
      <c r="DX61" s="177">
        <f t="shared" si="374"/>
        <v>-375.51678958602611</v>
      </c>
      <c r="DY61" s="177">
        <f t="shared" si="374"/>
        <v>-345.44342233576242</v>
      </c>
      <c r="DZ61" s="177">
        <f t="shared" si="374"/>
        <v>-317.77592446558538</v>
      </c>
      <c r="EA61" s="177">
        <f t="shared" si="374"/>
        <v>-292.3218264249748</v>
      </c>
      <c r="EB61" s="177">
        <f t="shared" si="374"/>
        <v>-268.90405622758328</v>
      </c>
      <c r="EC61" s="177">
        <f t="shared" si="374"/>
        <v>-247.35970764600097</v>
      </c>
      <c r="ED61" s="177">
        <f t="shared" ref="ED61:GO61" si="375">+EC61+ED59</f>
        <v>-227.53890695087969</v>
      </c>
      <c r="EE61" s="177">
        <f t="shared" si="375"/>
        <v>-209.30377031140387</v>
      </c>
      <c r="EF61" s="177">
        <f t="shared" si="375"/>
        <v>-192.52744460307417</v>
      </c>
      <c r="EG61" s="177">
        <f t="shared" si="375"/>
        <v>-177.09322495140492</v>
      </c>
      <c r="EH61" s="177">
        <f t="shared" si="375"/>
        <v>-162.89374287180959</v>
      </c>
      <c r="EI61" s="177">
        <f t="shared" si="375"/>
        <v>-149.8302193585819</v>
      </c>
      <c r="EJ61" s="177">
        <f t="shared" si="375"/>
        <v>-137.81177772634089</v>
      </c>
      <c r="EK61" s="177">
        <f t="shared" si="375"/>
        <v>-126.75481142469108</v>
      </c>
      <c r="EL61" s="177">
        <f t="shared" si="375"/>
        <v>-116.58240242712557</v>
      </c>
      <c r="EM61" s="177">
        <f t="shared" si="375"/>
        <v>-107.22378614940106</v>
      </c>
      <c r="EN61" s="177">
        <f t="shared" si="375"/>
        <v>-98.613859173882602</v>
      </c>
      <c r="EO61" s="177">
        <f t="shared" si="375"/>
        <v>-90.692726356465215</v>
      </c>
      <c r="EP61" s="177">
        <f t="shared" si="375"/>
        <v>-83.405284164476981</v>
      </c>
      <c r="EQ61" s="177">
        <f t="shared" si="375"/>
        <v>-76.700837347883578</v>
      </c>
      <c r="ER61" s="177">
        <f t="shared" si="375"/>
        <v>-70.532746276635521</v>
      </c>
      <c r="ES61" s="177">
        <f t="shared" si="375"/>
        <v>-64.858102491129031</v>
      </c>
      <c r="ET61" s="177">
        <f t="shared" si="375"/>
        <v>-59.637430208403458</v>
      </c>
      <c r="EU61" s="177">
        <f t="shared" si="375"/>
        <v>-54.834411708343616</v>
      </c>
      <c r="EV61" s="177">
        <f t="shared" si="375"/>
        <v>-50.415634688217033</v>
      </c>
      <c r="EW61" s="177">
        <f t="shared" si="375"/>
        <v>-46.350359829742303</v>
      </c>
      <c r="EX61" s="177">
        <f t="shared" si="375"/>
        <v>-42.610306959975354</v>
      </c>
      <c r="EY61" s="177">
        <f t="shared" si="375"/>
        <v>-39.169458319771877</v>
      </c>
      <c r="EZ61" s="177">
        <f t="shared" si="375"/>
        <v>-36.003877570856204</v>
      </c>
      <c r="FA61" s="177">
        <f t="shared" si="375"/>
        <v>-33.091543281901473</v>
      </c>
      <c r="FB61" s="177">
        <f t="shared" si="375"/>
        <v>-30.41219573609888</v>
      </c>
      <c r="FC61" s="177">
        <f t="shared" si="375"/>
        <v>-27.947195993888968</v>
      </c>
      <c r="FD61" s="177">
        <f t="shared" si="375"/>
        <v>-25.679396231103532</v>
      </c>
      <c r="FE61" s="177">
        <f t="shared" si="375"/>
        <v>-23.593020449358814</v>
      </c>
      <c r="FF61" s="177">
        <f t="shared" si="375"/>
        <v>-21.673554730195395</v>
      </c>
      <c r="FG61" s="177">
        <f t="shared" si="375"/>
        <v>-19.907646268535249</v>
      </c>
      <c r="FH61" s="177">
        <f t="shared" si="375"/>
        <v>-18.283010483760229</v>
      </c>
      <c r="FI61" s="177">
        <f t="shared" si="375"/>
        <v>-16.788345561701647</v>
      </c>
      <c r="FJ61" s="177">
        <f t="shared" si="375"/>
        <v>-15.413253833431593</v>
      </c>
      <c r="FK61" s="177">
        <f t="shared" si="375"/>
        <v>-14.148169443387381</v>
      </c>
      <c r="FL61" s="177">
        <f t="shared" si="375"/>
        <v>-12.984291804510942</v>
      </c>
      <c r="FM61" s="177">
        <f t="shared" si="375"/>
        <v>-11.913524376679053</v>
      </c>
      <c r="FN61" s="177">
        <f t="shared" si="375"/>
        <v>-10.928418343145241</v>
      </c>
      <c r="FO61" s="177">
        <f t="shared" si="375"/>
        <v>-10.022120792347778</v>
      </c>
      <c r="FP61" s="177">
        <f t="shared" si="375"/>
        <v>-9.1883270456677568</v>
      </c>
      <c r="FQ61" s="177">
        <f t="shared" si="375"/>
        <v>-8.421236798692334</v>
      </c>
      <c r="FR61" s="177">
        <f t="shared" si="375"/>
        <v>-7.7155137714034199</v>
      </c>
      <c r="FS61" s="177">
        <f t="shared" si="375"/>
        <v>-7.0662485862558961</v>
      </c>
      <c r="FT61" s="177">
        <f t="shared" si="375"/>
        <v>-6.4689246159082536</v>
      </c>
      <c r="FU61" s="177">
        <f t="shared" si="375"/>
        <v>-5.9193865632301454</v>
      </c>
      <c r="FV61" s="177">
        <f t="shared" si="375"/>
        <v>-5.4138115548378112</v>
      </c>
      <c r="FW61" s="177">
        <f t="shared" si="375"/>
        <v>-4.9486825471407059</v>
      </c>
      <c r="FX61" s="177">
        <f t="shared" si="375"/>
        <v>-4.5207638601249336</v>
      </c>
      <c r="FY61" s="177">
        <f t="shared" si="375"/>
        <v>-4.1270786681061864</v>
      </c>
      <c r="FZ61" s="177">
        <f t="shared" si="375"/>
        <v>-3.7648882914370181</v>
      </c>
      <c r="GA61" s="177">
        <f t="shared" si="375"/>
        <v>-3.4316731449252251</v>
      </c>
      <c r="GB61" s="177">
        <f t="shared" si="375"/>
        <v>-3.1251152101939801</v>
      </c>
      <c r="GC61" s="177">
        <f t="shared" si="375"/>
        <v>-2.8430819102412346</v>
      </c>
      <c r="GD61" s="177">
        <f t="shared" si="375"/>
        <v>-2.5836112742906692</v>
      </c>
      <c r="GE61" s="177">
        <f t="shared" si="375"/>
        <v>-2.3448982892221095</v>
      </c>
      <c r="GF61" s="177">
        <f t="shared" si="375"/>
        <v>-2.1252823429590348</v>
      </c>
      <c r="GG61" s="177">
        <f t="shared" si="375"/>
        <v>-1.9232356723433617</v>
      </c>
      <c r="GH61" s="177">
        <f t="shared" si="375"/>
        <v>-1.7373527353292588</v>
      </c>
      <c r="GI61" s="177">
        <f t="shared" si="375"/>
        <v>-1.5663404332882052</v>
      </c>
      <c r="GJ61" s="177">
        <f t="shared" si="375"/>
        <v>-1.4090091154760007</v>
      </c>
      <c r="GK61" s="177">
        <f t="shared" si="375"/>
        <v>-1.2642643030768519</v>
      </c>
      <c r="GL61" s="177">
        <f t="shared" si="375"/>
        <v>-1.1310990756040697</v>
      </c>
      <c r="GM61" s="177">
        <f t="shared" si="375"/>
        <v>-1.0085870663112289</v>
      </c>
      <c r="GN61" s="177">
        <f t="shared" si="375"/>
        <v>-0.89587601773797332</v>
      </c>
      <c r="GO61" s="177">
        <f t="shared" si="375"/>
        <v>-0.79218185298501309</v>
      </c>
      <c r="GP61" s="177">
        <f t="shared" ref="GP61:HA61" si="376">+GO61+GP59</f>
        <v>-0.69678322144209204</v>
      </c>
      <c r="GQ61" s="177">
        <f t="shared" si="376"/>
        <v>-0.60901648037492095</v>
      </c>
      <c r="GR61" s="177">
        <f t="shared" si="376"/>
        <v>-0.52827107854543986</v>
      </c>
      <c r="GS61" s="177">
        <f t="shared" si="376"/>
        <v>-0.45398530893384281</v>
      </c>
      <c r="GT61" s="177">
        <f t="shared" si="376"/>
        <v>-0.38564240090905488</v>
      </c>
      <c r="GU61" s="177">
        <f t="shared" si="376"/>
        <v>-0.32276692547260583</v>
      </c>
      <c r="GV61" s="177">
        <f t="shared" si="376"/>
        <v>-0.26492148809491456</v>
      </c>
      <c r="GW61" s="177">
        <f t="shared" si="376"/>
        <v>-0.21170368574916185</v>
      </c>
      <c r="GX61" s="177">
        <f t="shared" si="376"/>
        <v>-0.16274330757914843</v>
      </c>
      <c r="GY61" s="177">
        <f t="shared" si="376"/>
        <v>-0.11769975968061747</v>
      </c>
      <c r="GZ61" s="177">
        <f t="shared" si="376"/>
        <v>-7.6259695667613162E-2</v>
      </c>
      <c r="HA61" s="177">
        <f t="shared" si="376"/>
        <v>-3.8134836781609664E-2</v>
      </c>
    </row>
    <row r="63" spans="2:210" x14ac:dyDescent="0.2">
      <c r="B63" s="105" t="s">
        <v>152</v>
      </c>
      <c r="D63" s="180">
        <v>0.3</v>
      </c>
      <c r="E63" s="283">
        <f>+D63</f>
        <v>0.3</v>
      </c>
      <c r="F63" s="283">
        <f t="shared" ref="F63:J63" si="377">+E63</f>
        <v>0.3</v>
      </c>
      <c r="G63" s="283">
        <f t="shared" si="377"/>
        <v>0.3</v>
      </c>
      <c r="H63" s="283">
        <f t="shared" si="377"/>
        <v>0.3</v>
      </c>
      <c r="I63" s="283">
        <f t="shared" si="377"/>
        <v>0.3</v>
      </c>
      <c r="J63" s="283">
        <f t="shared" si="377"/>
        <v>0.3</v>
      </c>
      <c r="K63" s="180">
        <f t="shared" ref="K63:BK63" si="378">+J63</f>
        <v>0.3</v>
      </c>
      <c r="L63" s="180">
        <f t="shared" si="378"/>
        <v>0.3</v>
      </c>
      <c r="M63" s="180">
        <f t="shared" si="378"/>
        <v>0.3</v>
      </c>
      <c r="N63" s="180">
        <f t="shared" si="378"/>
        <v>0.3</v>
      </c>
      <c r="O63" s="180">
        <f t="shared" si="378"/>
        <v>0.3</v>
      </c>
      <c r="P63" s="180">
        <f t="shared" si="378"/>
        <v>0.3</v>
      </c>
      <c r="Q63" s="180">
        <f t="shared" si="378"/>
        <v>0.3</v>
      </c>
      <c r="R63" s="180">
        <f t="shared" si="378"/>
        <v>0.3</v>
      </c>
      <c r="S63" s="180">
        <f t="shared" si="378"/>
        <v>0.3</v>
      </c>
      <c r="T63" s="180">
        <f t="shared" si="378"/>
        <v>0.3</v>
      </c>
      <c r="U63" s="180">
        <f t="shared" si="378"/>
        <v>0.3</v>
      </c>
      <c r="V63" s="180">
        <f t="shared" si="378"/>
        <v>0.3</v>
      </c>
      <c r="W63" s="180">
        <f t="shared" si="378"/>
        <v>0.3</v>
      </c>
      <c r="X63" s="180">
        <f t="shared" si="378"/>
        <v>0.3</v>
      </c>
      <c r="Y63" s="180">
        <f t="shared" si="378"/>
        <v>0.3</v>
      </c>
      <c r="Z63" s="180">
        <f t="shared" si="378"/>
        <v>0.3</v>
      </c>
      <c r="AA63" s="180">
        <f t="shared" si="378"/>
        <v>0.3</v>
      </c>
      <c r="AB63" s="180">
        <f t="shared" si="378"/>
        <v>0.3</v>
      </c>
      <c r="AC63" s="180">
        <f t="shared" si="378"/>
        <v>0.3</v>
      </c>
      <c r="AD63" s="180">
        <f t="shared" si="378"/>
        <v>0.3</v>
      </c>
      <c r="AE63" s="180">
        <f t="shared" si="378"/>
        <v>0.3</v>
      </c>
      <c r="AF63" s="180">
        <f t="shared" si="378"/>
        <v>0.3</v>
      </c>
      <c r="AG63" s="180">
        <f t="shared" si="378"/>
        <v>0.3</v>
      </c>
      <c r="AH63" s="180">
        <f t="shared" si="378"/>
        <v>0.3</v>
      </c>
      <c r="AI63" s="180">
        <f t="shared" si="378"/>
        <v>0.3</v>
      </c>
      <c r="AJ63" s="180">
        <f t="shared" si="378"/>
        <v>0.3</v>
      </c>
      <c r="AK63" s="180">
        <f t="shared" si="378"/>
        <v>0.3</v>
      </c>
      <c r="AL63" s="180">
        <f t="shared" si="378"/>
        <v>0.3</v>
      </c>
      <c r="AM63" s="180">
        <f t="shared" si="378"/>
        <v>0.3</v>
      </c>
      <c r="AN63" s="180">
        <f t="shared" si="378"/>
        <v>0.3</v>
      </c>
      <c r="AO63" s="180">
        <f t="shared" si="378"/>
        <v>0.3</v>
      </c>
      <c r="AP63" s="180">
        <f t="shared" si="378"/>
        <v>0.3</v>
      </c>
      <c r="AQ63" s="180">
        <f t="shared" si="378"/>
        <v>0.3</v>
      </c>
      <c r="AR63" s="180">
        <f t="shared" si="378"/>
        <v>0.3</v>
      </c>
      <c r="AS63" s="180">
        <f t="shared" si="378"/>
        <v>0.3</v>
      </c>
      <c r="AT63" s="180">
        <f t="shared" si="378"/>
        <v>0.3</v>
      </c>
      <c r="AU63" s="180">
        <f t="shared" si="378"/>
        <v>0.3</v>
      </c>
      <c r="AV63" s="180">
        <f t="shared" si="378"/>
        <v>0.3</v>
      </c>
      <c r="AW63" s="180">
        <f t="shared" si="378"/>
        <v>0.3</v>
      </c>
      <c r="AX63" s="180">
        <f t="shared" si="378"/>
        <v>0.3</v>
      </c>
      <c r="AY63" s="180">
        <f t="shared" si="378"/>
        <v>0.3</v>
      </c>
      <c r="AZ63" s="180">
        <f t="shared" si="378"/>
        <v>0.3</v>
      </c>
      <c r="BA63" s="180">
        <f t="shared" si="378"/>
        <v>0.3</v>
      </c>
      <c r="BB63" s="180">
        <f t="shared" si="378"/>
        <v>0.3</v>
      </c>
      <c r="BC63" s="180">
        <f t="shared" si="378"/>
        <v>0.3</v>
      </c>
      <c r="BD63" s="180">
        <f t="shared" si="378"/>
        <v>0.3</v>
      </c>
      <c r="BE63" s="180">
        <f t="shared" si="378"/>
        <v>0.3</v>
      </c>
      <c r="BF63" s="180">
        <f t="shared" si="378"/>
        <v>0.3</v>
      </c>
      <c r="BG63" s="180">
        <f t="shared" si="378"/>
        <v>0.3</v>
      </c>
      <c r="BH63" s="180">
        <f t="shared" si="378"/>
        <v>0.3</v>
      </c>
      <c r="BI63" s="180">
        <f t="shared" si="378"/>
        <v>0.3</v>
      </c>
      <c r="BJ63" s="180">
        <f t="shared" si="378"/>
        <v>0.3</v>
      </c>
      <c r="BK63" s="180">
        <f t="shared" si="378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9">+E61*E63</f>
        <v>1852990.1241429646</v>
      </c>
      <c r="F65" s="178">
        <f t="shared" si="379"/>
        <v>1990934.9556252777</v>
      </c>
      <c r="G65" s="178">
        <f t="shared" si="379"/>
        <v>2074924.0489584713</v>
      </c>
      <c r="H65" s="178">
        <f t="shared" si="379"/>
        <v>2140021.1237390609</v>
      </c>
      <c r="I65" s="178">
        <f t="shared" si="379"/>
        <v>2187737.5414512553</v>
      </c>
      <c r="J65" s="178">
        <f t="shared" si="379"/>
        <v>2219463.7546605263</v>
      </c>
      <c r="K65" s="178">
        <f t="shared" si="379"/>
        <v>2236478.9797271066</v>
      </c>
      <c r="L65" s="178">
        <f t="shared" ref="L65" si="380">+L61*L63</f>
        <v>2239960.0957024125</v>
      </c>
      <c r="M65" s="178">
        <f t="shared" ref="M65:S65" si="381">+M61*M63</f>
        <v>2230989.8313137461</v>
      </c>
      <c r="N65" s="178">
        <f t="shared" si="381"/>
        <v>2210564.2969902242</v>
      </c>
      <c r="O65" s="178">
        <f t="shared" si="381"/>
        <v>2179599.9143266361</v>
      </c>
      <c r="P65" s="178">
        <f t="shared" si="381"/>
        <v>2138939.7911901865</v>
      </c>
      <c r="Q65" s="178">
        <f t="shared" si="381"/>
        <v>2089359.5868187048</v>
      </c>
      <c r="R65" s="178">
        <f t="shared" si="381"/>
        <v>2031572.9077109932</v>
      </c>
      <c r="S65" s="178">
        <f t="shared" si="381"/>
        <v>1966236.2718459505</v>
      </c>
      <c r="T65" s="178">
        <f t="shared" ref="T65:AN65" si="382">+T61*T63</f>
        <v>1893953.6757641628</v>
      </c>
      <c r="U65" s="178">
        <f t="shared" si="382"/>
        <v>1815280.7962829701</v>
      </c>
      <c r="V65" s="178">
        <f t="shared" si="382"/>
        <v>1730728.8560743246</v>
      </c>
      <c r="W65" s="178">
        <f t="shared" si="382"/>
        <v>1640768.1799964223</v>
      </c>
      <c r="X65" s="178">
        <f t="shared" si="382"/>
        <v>1545831.466918804</v>
      </c>
      <c r="Y65" s="178">
        <f t="shared" si="382"/>
        <v>1446316.7998014467</v>
      </c>
      <c r="Z65" s="178">
        <f t="shared" si="382"/>
        <v>1342590.4149675299</v>
      </c>
      <c r="AA65" s="178">
        <f t="shared" si="382"/>
        <v>1234989.2498343782</v>
      </c>
      <c r="AB65" s="178">
        <f t="shared" si="382"/>
        <v>1123823.2868259305</v>
      </c>
      <c r="AC65" s="178">
        <f t="shared" si="382"/>
        <v>1009377.7097722103</v>
      </c>
      <c r="AD65" s="178">
        <f t="shared" si="382"/>
        <v>891914.88779683947</v>
      </c>
      <c r="AE65" s="178">
        <f t="shared" si="382"/>
        <v>771676.20049355004</v>
      </c>
      <c r="AF65" s="178">
        <f t="shared" si="382"/>
        <v>648883.71708857559</v>
      </c>
      <c r="AG65" s="178">
        <f t="shared" si="382"/>
        <v>523741.74127005076</v>
      </c>
      <c r="AH65" s="178">
        <f t="shared" si="382"/>
        <v>396438.23243105965</v>
      </c>
      <c r="AI65" s="178">
        <f t="shared" si="382"/>
        <v>267146.11321323965</v>
      </c>
      <c r="AJ65" s="178">
        <f t="shared" si="382"/>
        <v>136024.47244689695</v>
      </c>
      <c r="AK65" s="178">
        <f t="shared" si="382"/>
        <v>3219.6718559134574</v>
      </c>
      <c r="AL65" s="178">
        <f t="shared" si="382"/>
        <v>-131133.63577373963</v>
      </c>
      <c r="AM65" s="178">
        <f t="shared" si="382"/>
        <v>-188406.73130461556</v>
      </c>
      <c r="AN65" s="178">
        <f t="shared" si="382"/>
        <v>-173334.1831930214</v>
      </c>
      <c r="AO65" s="178">
        <f t="shared" ref="AO65:AS65" si="383">+AO61*AO63</f>
        <v>-159467.43893035475</v>
      </c>
      <c r="AP65" s="178">
        <f t="shared" si="383"/>
        <v>-146710.03420870146</v>
      </c>
      <c r="AQ65" s="178">
        <f t="shared" si="383"/>
        <v>-134973.22186478044</v>
      </c>
      <c r="AR65" s="178">
        <f t="shared" si="383"/>
        <v>-124175.35450837306</v>
      </c>
      <c r="AS65" s="178">
        <f t="shared" si="383"/>
        <v>-114241.31654047829</v>
      </c>
      <c r="AT65" s="178">
        <f t="shared" ref="AT65:BC65" si="384">+AT61*AT63</f>
        <v>-105102.00161001511</v>
      </c>
      <c r="AU65" s="178">
        <f t="shared" si="384"/>
        <v>-96693.83187398898</v>
      </c>
      <c r="AV65" s="178">
        <f t="shared" si="384"/>
        <v>-88958.315716844925</v>
      </c>
      <c r="AW65" s="178">
        <f t="shared" si="384"/>
        <v>-81841.640852272438</v>
      </c>
      <c r="AX65" s="178">
        <f t="shared" si="384"/>
        <v>-75294.299976865746</v>
      </c>
      <c r="AY65" s="178">
        <f t="shared" si="384"/>
        <v>-69270.746371491565</v>
      </c>
      <c r="AZ65" s="178">
        <f t="shared" si="384"/>
        <v>-63729.077054547313</v>
      </c>
      <c r="BA65" s="178">
        <f t="shared" si="384"/>
        <v>-58630.741282958617</v>
      </c>
      <c r="BB65" s="178">
        <f t="shared" si="384"/>
        <v>-53940.27237309701</v>
      </c>
      <c r="BC65" s="178">
        <f t="shared" si="384"/>
        <v>-49625.040976024327</v>
      </c>
      <c r="BD65" s="178">
        <f t="shared" ref="BD65:DM65" si="385">+BD61*BD63</f>
        <v>-45655.028090717453</v>
      </c>
      <c r="BE65" s="178">
        <f t="shared" si="385"/>
        <v>-42002.616236235139</v>
      </c>
      <c r="BF65" s="178">
        <f t="shared" si="385"/>
        <v>-38642.397330111424</v>
      </c>
      <c r="BG65" s="178">
        <f t="shared" si="385"/>
        <v>-35550.995936477622</v>
      </c>
      <c r="BH65" s="178">
        <f t="shared" si="385"/>
        <v>-32706.906654334525</v>
      </c>
      <c r="BI65" s="178">
        <f t="shared" si="385"/>
        <v>-30090.344514762888</v>
      </c>
      <c r="BJ65" s="178">
        <f t="shared" si="385"/>
        <v>-27683.107346356966</v>
      </c>
      <c r="BK65" s="178">
        <f t="shared" si="385"/>
        <v>-25468.449151423509</v>
      </c>
      <c r="BL65" s="178">
        <f t="shared" si="385"/>
        <v>-24211.99573248755</v>
      </c>
      <c r="BM65" s="178">
        <f t="shared" si="385"/>
        <v>-22275.02614642281</v>
      </c>
      <c r="BN65" s="178">
        <f t="shared" si="385"/>
        <v>-20493.014127243237</v>
      </c>
      <c r="BO65" s="178">
        <f t="shared" si="385"/>
        <v>-18853.563069598025</v>
      </c>
      <c r="BP65" s="178">
        <f t="shared" si="385"/>
        <v>-17345.268096564443</v>
      </c>
      <c r="BQ65" s="178">
        <f t="shared" si="385"/>
        <v>-15957.636721373552</v>
      </c>
      <c r="BR65" s="178">
        <f t="shared" si="385"/>
        <v>-14681.015856197908</v>
      </c>
      <c r="BS65" s="178">
        <f t="shared" si="385"/>
        <v>-13506.524660236302</v>
      </c>
      <c r="BT65" s="178">
        <f t="shared" si="385"/>
        <v>-12425.992759951625</v>
      </c>
      <c r="BU65" s="178">
        <f t="shared" si="385"/>
        <v>-11431.903411689706</v>
      </c>
      <c r="BV65" s="178">
        <f t="shared" si="385"/>
        <v>-10517.341211288751</v>
      </c>
      <c r="BW65" s="178">
        <f t="shared" si="385"/>
        <v>-9675.9439869198668</v>
      </c>
      <c r="BX65" s="178">
        <f t="shared" si="385"/>
        <v>-8901.858540500516</v>
      </c>
      <c r="BY65" s="178">
        <f t="shared" si="385"/>
        <v>-8189.699929794695</v>
      </c>
      <c r="BZ65" s="178">
        <f t="shared" si="385"/>
        <v>-7534.5140079453331</v>
      </c>
      <c r="CA65" s="178">
        <f t="shared" si="385"/>
        <v>-6931.7429598439157</v>
      </c>
      <c r="CB65" s="178">
        <f t="shared" si="385"/>
        <v>-6377.1935955905928</v>
      </c>
      <c r="CC65" s="178">
        <f t="shared" si="385"/>
        <v>-5867.0081804775191</v>
      </c>
      <c r="CD65" s="178">
        <f t="shared" si="385"/>
        <v>-5397.6375985734812</v>
      </c>
      <c r="CE65" s="178">
        <f t="shared" si="385"/>
        <v>-4965.8166632217562</v>
      </c>
      <c r="CF65" s="178">
        <f t="shared" si="385"/>
        <v>-4568.5414026981889</v>
      </c>
      <c r="CG65" s="178">
        <f t="shared" si="385"/>
        <v>-4203.0481630165041</v>
      </c>
      <c r="CH65" s="178">
        <f t="shared" si="385"/>
        <v>-3866.7943825093689</v>
      </c>
      <c r="CI65" s="178">
        <f t="shared" si="385"/>
        <v>-3557.4409044428244</v>
      </c>
      <c r="CJ65" s="178">
        <f t="shared" si="385"/>
        <v>-3272.8357046216056</v>
      </c>
      <c r="CK65" s="178">
        <f t="shared" si="385"/>
        <v>-3010.9989207860845</v>
      </c>
      <c r="CL65" s="178">
        <f t="shared" si="385"/>
        <v>-2770.1090796574176</v>
      </c>
      <c r="CM65" s="178">
        <f t="shared" si="385"/>
        <v>-2548.4904258190427</v>
      </c>
      <c r="CN65" s="178">
        <f t="shared" si="385"/>
        <v>-2344.6012642877527</v>
      </c>
      <c r="CO65" s="178">
        <f t="shared" si="385"/>
        <v>-2157.0232356789502</v>
      </c>
      <c r="CP65" s="178">
        <f t="shared" si="385"/>
        <v>-1984.4514493588454</v>
      </c>
      <c r="CQ65" s="178">
        <f t="shared" si="385"/>
        <v>-1825.6854059443299</v>
      </c>
      <c r="CR65" s="178">
        <f t="shared" si="385"/>
        <v>-1679.6206460029741</v>
      </c>
      <c r="CS65" s="178">
        <f t="shared" si="385"/>
        <v>-1545.2410668569139</v>
      </c>
      <c r="CT65" s="178">
        <f t="shared" si="385"/>
        <v>-1421.6118540425218</v>
      </c>
      <c r="CU65" s="178">
        <f t="shared" si="385"/>
        <v>-1307.8729782532773</v>
      </c>
      <c r="CV65" s="178">
        <f t="shared" si="385"/>
        <v>-1203.2332125271521</v>
      </c>
      <c r="CW65" s="178">
        <f t="shared" si="385"/>
        <v>-1106.9646280591389</v>
      </c>
      <c r="CX65" s="178">
        <f t="shared" si="385"/>
        <v>-1018.3975303485892</v>
      </c>
      <c r="CY65" s="178">
        <f t="shared" si="385"/>
        <v>-936.91580045490173</v>
      </c>
      <c r="CZ65" s="178">
        <f t="shared" si="385"/>
        <v>-861.95260895269269</v>
      </c>
      <c r="DA65" s="178">
        <f t="shared" si="385"/>
        <v>-792.98647277064379</v>
      </c>
      <c r="DB65" s="178">
        <f t="shared" si="385"/>
        <v>-729.53762748316421</v>
      </c>
      <c r="DC65" s="178">
        <f t="shared" si="385"/>
        <v>-671.16468981870162</v>
      </c>
      <c r="DD65" s="178">
        <f t="shared" si="385"/>
        <v>-617.46158716738114</v>
      </c>
      <c r="DE65" s="178">
        <f t="shared" si="385"/>
        <v>-568.05473272814788</v>
      </c>
      <c r="DF65" s="178">
        <f t="shared" si="385"/>
        <v>-522.60042664405148</v>
      </c>
      <c r="DG65" s="178">
        <f t="shared" si="385"/>
        <v>-480.7824650467013</v>
      </c>
      <c r="DH65" s="178">
        <f t="shared" si="385"/>
        <v>-442.3099403771464</v>
      </c>
      <c r="DI65" s="178">
        <f t="shared" si="385"/>
        <v>-406.91521768113563</v>
      </c>
      <c r="DJ65" s="178">
        <f t="shared" si="385"/>
        <v>-374.35207280079464</v>
      </c>
      <c r="DK65" s="178">
        <f t="shared" si="385"/>
        <v>-344.39397951086801</v>
      </c>
      <c r="DL65" s="178">
        <f t="shared" si="385"/>
        <v>-316.83253368411698</v>
      </c>
      <c r="DM65" s="178">
        <f t="shared" si="385"/>
        <v>-291.47600352348576</v>
      </c>
      <c r="DN65" s="178">
        <f t="shared" ref="DN65:FY65" si="386">+DN61*DN63</f>
        <v>-268.14799577572535</v>
      </c>
      <c r="DO65" s="178">
        <f t="shared" si="386"/>
        <v>-246.68622864779871</v>
      </c>
      <c r="DP65" s="178">
        <f t="shared" si="386"/>
        <v>-226.94140289008959</v>
      </c>
      <c r="DQ65" s="178">
        <f t="shared" si="386"/>
        <v>-208.77616319299531</v>
      </c>
      <c r="DR65" s="178">
        <f t="shared" si="386"/>
        <v>-192.06414267167042</v>
      </c>
      <c r="DS65" s="178">
        <f t="shared" si="386"/>
        <v>-176.68908379203123</v>
      </c>
      <c r="DT65" s="178">
        <f t="shared" si="386"/>
        <v>-162.54402962277422</v>
      </c>
      <c r="DU65" s="178">
        <f t="shared" si="386"/>
        <v>-149.53057978707443</v>
      </c>
      <c r="DV65" s="178">
        <f t="shared" si="386"/>
        <v>-137.55820593824723</v>
      </c>
      <c r="DW65" s="178">
        <f t="shared" si="386"/>
        <v>-126.54362199732252</v>
      </c>
      <c r="DX65" s="178">
        <f t="shared" si="386"/>
        <v>-116.41020477166809</v>
      </c>
      <c r="DY65" s="178">
        <f t="shared" si="386"/>
        <v>-107.08746092408634</v>
      </c>
      <c r="DZ65" s="178">
        <f t="shared" si="386"/>
        <v>-98.510536584331462</v>
      </c>
      <c r="EA65" s="178">
        <f t="shared" si="386"/>
        <v>-90.619766191742187</v>
      </c>
      <c r="EB65" s="178">
        <f t="shared" si="386"/>
        <v>-83.360257430550817</v>
      </c>
      <c r="EC65" s="178">
        <f t="shared" si="386"/>
        <v>-76.681509370260301</v>
      </c>
      <c r="ED65" s="178">
        <f t="shared" si="386"/>
        <v>-70.537061154772701</v>
      </c>
      <c r="EE65" s="178">
        <f t="shared" si="386"/>
        <v>-64.884168796535192</v>
      </c>
      <c r="EF65" s="178">
        <f t="shared" si="386"/>
        <v>-59.68350782695299</v>
      </c>
      <c r="EG65" s="178">
        <f t="shared" si="386"/>
        <v>-54.898899734935526</v>
      </c>
      <c r="EH65" s="178">
        <f t="shared" si="386"/>
        <v>-50.497060290260976</v>
      </c>
      <c r="EI65" s="178">
        <f t="shared" si="386"/>
        <v>-46.447368001160392</v>
      </c>
      <c r="EJ65" s="178">
        <f t="shared" si="386"/>
        <v>-42.721651095165676</v>
      </c>
      <c r="EK65" s="178">
        <f t="shared" si="386"/>
        <v>-39.293991541654236</v>
      </c>
      <c r="EL65" s="178">
        <f t="shared" si="386"/>
        <v>-36.140544752408928</v>
      </c>
      <c r="EM65" s="178">
        <f t="shared" si="386"/>
        <v>-33.239373706314332</v>
      </c>
      <c r="EN65" s="178">
        <f t="shared" si="386"/>
        <v>-30.570296343903607</v>
      </c>
      <c r="EO65" s="178">
        <f t="shared" si="386"/>
        <v>-28.114745170504218</v>
      </c>
      <c r="EP65" s="178">
        <f t="shared" si="386"/>
        <v>-25.855638090987863</v>
      </c>
      <c r="EQ65" s="178">
        <f t="shared" si="386"/>
        <v>-23.77725957784391</v>
      </c>
      <c r="ER65" s="178">
        <f t="shared" si="386"/>
        <v>-21.86515134575701</v>
      </c>
      <c r="ES65" s="178">
        <f t="shared" si="386"/>
        <v>-20.10601177225</v>
      </c>
      <c r="ET65" s="178">
        <f t="shared" si="386"/>
        <v>-18.487603364605071</v>
      </c>
      <c r="EU65" s="178">
        <f t="shared" si="386"/>
        <v>-16.998667629586521</v>
      </c>
      <c r="EV65" s="178">
        <f t="shared" si="386"/>
        <v>-15.628846753347281</v>
      </c>
      <c r="EW65" s="178">
        <f t="shared" si="386"/>
        <v>-14.368611547220114</v>
      </c>
      <c r="EX65" s="178">
        <f t="shared" si="386"/>
        <v>-13.20919515759236</v>
      </c>
      <c r="EY65" s="178">
        <f t="shared" si="386"/>
        <v>-12.142532079129282</v>
      </c>
      <c r="EZ65" s="178">
        <f t="shared" si="386"/>
        <v>-11.161202046965423</v>
      </c>
      <c r="FA65" s="178">
        <f t="shared" si="386"/>
        <v>-10.258378417389457</v>
      </c>
      <c r="FB65" s="178">
        <f t="shared" si="386"/>
        <v>-9.4277806781906524</v>
      </c>
      <c r="FC65" s="178">
        <f t="shared" si="386"/>
        <v>-8.6636307581055796</v>
      </c>
      <c r="FD65" s="178">
        <f t="shared" si="386"/>
        <v>-7.960612831642095</v>
      </c>
      <c r="FE65" s="178">
        <f t="shared" si="386"/>
        <v>-7.3138363393012327</v>
      </c>
      <c r="FF65" s="178">
        <f t="shared" si="386"/>
        <v>-6.718801966360572</v>
      </c>
      <c r="FG65" s="178">
        <f t="shared" si="386"/>
        <v>-6.1713703432459273</v>
      </c>
      <c r="FH65" s="178">
        <f t="shared" si="386"/>
        <v>-5.6677332499656714</v>
      </c>
      <c r="FI65" s="178">
        <f t="shared" si="386"/>
        <v>-5.2043871241275106</v>
      </c>
      <c r="FJ65" s="178">
        <f t="shared" si="386"/>
        <v>-4.778108688363794</v>
      </c>
      <c r="FK65" s="178">
        <f t="shared" si="386"/>
        <v>-4.3859325274500884</v>
      </c>
      <c r="FL65" s="178">
        <f t="shared" si="386"/>
        <v>-4.0251304593983921</v>
      </c>
      <c r="FM65" s="178">
        <f t="shared" si="386"/>
        <v>-3.6931925567705064</v>
      </c>
      <c r="FN65" s="178">
        <f t="shared" si="386"/>
        <v>-3.3878096863750247</v>
      </c>
      <c r="FO65" s="178">
        <f t="shared" si="386"/>
        <v>-3.1068574456278113</v>
      </c>
      <c r="FP65" s="178">
        <f t="shared" si="386"/>
        <v>-2.8483813841570047</v>
      </c>
      <c r="FQ65" s="178">
        <f t="shared" si="386"/>
        <v>-2.6105834075946235</v>
      </c>
      <c r="FR65" s="178">
        <f t="shared" si="386"/>
        <v>-2.3918092691350603</v>
      </c>
      <c r="FS65" s="178">
        <f t="shared" si="386"/>
        <v>-2.1905370617393278</v>
      </c>
      <c r="FT65" s="178">
        <f t="shared" si="386"/>
        <v>-2.0053666309315585</v>
      </c>
      <c r="FU65" s="178">
        <f t="shared" si="386"/>
        <v>-1.835009834601345</v>
      </c>
      <c r="FV65" s="178">
        <f t="shared" si="386"/>
        <v>-1.6782815819997214</v>
      </c>
      <c r="FW65" s="178">
        <f t="shared" si="386"/>
        <v>-1.5340915896136189</v>
      </c>
      <c r="FX65" s="178">
        <f t="shared" si="386"/>
        <v>-1.4014367966387293</v>
      </c>
      <c r="FY65" s="178">
        <f t="shared" si="386"/>
        <v>-1.2793943871129179</v>
      </c>
      <c r="FZ65" s="178">
        <f t="shared" ref="FZ65:HA65" si="387">+FZ61*FZ63</f>
        <v>-1.1671153703454755</v>
      </c>
      <c r="GA65" s="178">
        <f t="shared" si="387"/>
        <v>-1.0638186749268197</v>
      </c>
      <c r="GB65" s="178">
        <f t="shared" si="387"/>
        <v>-0.96878571516013379</v>
      </c>
      <c r="GC65" s="178">
        <f t="shared" si="387"/>
        <v>-0.88135539217478276</v>
      </c>
      <c r="GD65" s="178">
        <f t="shared" si="387"/>
        <v>-0.8009194950301074</v>
      </c>
      <c r="GE65" s="178">
        <f t="shared" si="387"/>
        <v>-0.72691846965885398</v>
      </c>
      <c r="GF65" s="178">
        <f t="shared" si="387"/>
        <v>-0.65883752631730075</v>
      </c>
      <c r="GG65" s="178">
        <f t="shared" si="387"/>
        <v>-0.59620305842644217</v>
      </c>
      <c r="GH65" s="178">
        <f t="shared" si="387"/>
        <v>-0.53857934795207019</v>
      </c>
      <c r="GI65" s="178">
        <f t="shared" si="387"/>
        <v>-0.48556553431934357</v>
      </c>
      <c r="GJ65" s="178">
        <f t="shared" si="387"/>
        <v>-0.43679282579756024</v>
      </c>
      <c r="GK65" s="178">
        <f t="shared" si="387"/>
        <v>-0.39192193395382408</v>
      </c>
      <c r="GL65" s="178">
        <f t="shared" si="387"/>
        <v>-0.35064071343726161</v>
      </c>
      <c r="GM65" s="178">
        <f t="shared" si="387"/>
        <v>-0.31266199055648092</v>
      </c>
      <c r="GN65" s="178">
        <f t="shared" si="387"/>
        <v>-0.27772156549877175</v>
      </c>
      <c r="GO65" s="178">
        <f t="shared" si="387"/>
        <v>-0.24557637442535404</v>
      </c>
      <c r="GP65" s="178">
        <f t="shared" si="387"/>
        <v>-0.21600279864704852</v>
      </c>
      <c r="GQ65" s="178">
        <f t="shared" si="387"/>
        <v>-0.1887951089162255</v>
      </c>
      <c r="GR65" s="178">
        <f t="shared" si="387"/>
        <v>-0.16376403434908635</v>
      </c>
      <c r="GS65" s="178">
        <f t="shared" si="387"/>
        <v>-0.14073544576949126</v>
      </c>
      <c r="GT65" s="178">
        <f t="shared" si="387"/>
        <v>-0.11954914428180702</v>
      </c>
      <c r="GU65" s="178">
        <f t="shared" si="387"/>
        <v>-0.1000577468965078</v>
      </c>
      <c r="GV65" s="178">
        <f t="shared" si="387"/>
        <v>-8.2125661309423517E-2</v>
      </c>
      <c r="GW65" s="178">
        <f t="shared" si="387"/>
        <v>-6.5628142582240173E-2</v>
      </c>
      <c r="GX65" s="178">
        <f t="shared" si="387"/>
        <v>-5.0450425349536011E-2</v>
      </c>
      <c r="GY65" s="178">
        <f t="shared" si="387"/>
        <v>-3.6486925500991411E-2</v>
      </c>
      <c r="GZ65" s="178">
        <f t="shared" si="387"/>
        <v>-2.3640505656960079E-2</v>
      </c>
      <c r="HA65" s="178">
        <f t="shared" si="387"/>
        <v>-1.1821799402298995E-2</v>
      </c>
    </row>
    <row r="66" spans="1:209" x14ac:dyDescent="0.2">
      <c r="G66" s="181"/>
    </row>
    <row r="67" spans="1:209" x14ac:dyDescent="0.2">
      <c r="K67" s="177"/>
    </row>
    <row r="68" spans="1:209" x14ac:dyDescent="0.2">
      <c r="A68" s="222" t="s">
        <v>180</v>
      </c>
      <c r="B68" s="223"/>
      <c r="C68" s="224"/>
      <c r="D68" s="111" t="s">
        <v>170</v>
      </c>
      <c r="E68" s="111" t="s">
        <v>173</v>
      </c>
      <c r="F68" s="225" t="s">
        <v>167</v>
      </c>
      <c r="K68" s="241"/>
    </row>
    <row r="69" spans="1:209" x14ac:dyDescent="0.2">
      <c r="A69" s="226"/>
      <c r="B69" s="227"/>
      <c r="C69" s="117" t="s">
        <v>177</v>
      </c>
      <c r="D69" s="117" t="s">
        <v>171</v>
      </c>
      <c r="E69" s="117" t="s">
        <v>174</v>
      </c>
      <c r="F69" s="119" t="s">
        <v>170</v>
      </c>
      <c r="K69" s="181"/>
    </row>
    <row r="70" spans="1:209" x14ac:dyDescent="0.2">
      <c r="A70" s="226"/>
      <c r="B70" s="218" t="s">
        <v>178</v>
      </c>
      <c r="C70" s="219">
        <v>44196</v>
      </c>
      <c r="D70" s="220" t="s">
        <v>172</v>
      </c>
      <c r="E70" s="220" t="s">
        <v>175</v>
      </c>
      <c r="F70" s="228" t="s">
        <v>176</v>
      </c>
      <c r="K70" s="240"/>
    </row>
    <row r="71" spans="1:209" x14ac:dyDescent="0.2">
      <c r="A71" s="229">
        <v>364</v>
      </c>
      <c r="B71" s="181" t="s">
        <v>168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169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201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8">SUM(D71:D73)</f>
        <v>9936284</v>
      </c>
      <c r="E74" s="233">
        <f t="shared" si="388"/>
        <v>855980</v>
      </c>
      <c r="F74" s="234">
        <f>SUM(F71:F73)</f>
        <v>10792264</v>
      </c>
    </row>
    <row r="75" spans="1:209" x14ac:dyDescent="0.2">
      <c r="A75" s="235" t="s">
        <v>179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9" t="s">
        <v>128</v>
      </c>
      <c r="D1" s="309"/>
      <c r="E1" s="30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232</v>
      </c>
      <c r="D4" s="64" t="s">
        <v>202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222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279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227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280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226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229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80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9" t="s">
        <v>128</v>
      </c>
      <c r="D1" s="309"/>
      <c r="E1" s="309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205</v>
      </c>
      <c r="D4" s="64" t="s">
        <v>202</v>
      </c>
      <c r="E4" s="86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231</v>
      </c>
      <c r="D8" s="64" t="s">
        <v>87</v>
      </c>
      <c r="E8" s="29">
        <v>0.1</v>
      </c>
    </row>
    <row r="9" spans="1:5" x14ac:dyDescent="0.3">
      <c r="A9" s="2" t="s">
        <v>6</v>
      </c>
      <c r="B9" s="4"/>
      <c r="C9" s="25" t="s">
        <v>289</v>
      </c>
      <c r="D9" s="64" t="s">
        <v>88</v>
      </c>
      <c r="E9" s="28">
        <f>E6*E8*8/12</f>
        <v>1425.6970666666666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21385.455999999998</v>
      </c>
    </row>
    <row r="13" spans="1:5" ht="15.6" x14ac:dyDescent="0.4">
      <c r="A13" s="2" t="s">
        <v>10</v>
      </c>
      <c r="B13" s="4"/>
      <c r="C13" s="25" t="s">
        <v>228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235</v>
      </c>
      <c r="D18" s="64" t="s">
        <v>92</v>
      </c>
      <c r="E18" s="27">
        <f>+E9</f>
        <v>1425.6970666666666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1425.6970666666666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19959.758933333331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230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234</v>
      </c>
      <c r="D33" s="63" t="s">
        <v>112</v>
      </c>
      <c r="E33" s="33">
        <f>E9+E29</f>
        <v>1425.6970666666666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10" t="s">
        <v>128</v>
      </c>
      <c r="D1" s="310"/>
      <c r="E1" s="310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275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281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183</v>
      </c>
      <c r="E19" s="34">
        <f>'Rate Base &amp; Cost Capital'!E12</f>
        <v>2496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225</v>
      </c>
      <c r="D21" s="62" t="s">
        <v>184</v>
      </c>
      <c r="E21" s="36">
        <f>(+'Rate Base &amp; Cost Capital'!E11)/(1-'Income Taxes'!E15)*E15</f>
        <v>637.28571428571422</v>
      </c>
    </row>
    <row r="22" spans="1:6" ht="15.6" x14ac:dyDescent="0.4">
      <c r="A22" s="2" t="s">
        <v>30</v>
      </c>
      <c r="B22" s="4"/>
      <c r="C22" s="71" t="s">
        <v>62</v>
      </c>
      <c r="D22" s="62" t="s">
        <v>185</v>
      </c>
      <c r="E22" s="35">
        <f>-'Rate Base &amp; Cost Capital'!E10</f>
        <v>-1009</v>
      </c>
    </row>
    <row r="23" spans="1:6" x14ac:dyDescent="0.3">
      <c r="A23" s="2" t="s">
        <v>31</v>
      </c>
      <c r="B23" s="4"/>
      <c r="C23" s="45"/>
      <c r="D23" s="60" t="s">
        <v>186</v>
      </c>
      <c r="E23" s="77">
        <f>+E19+E21+E22</f>
        <v>2124.2857142857142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191</v>
      </c>
      <c r="E26" s="34">
        <f>E23</f>
        <v>2124.2857142857142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188</v>
      </c>
      <c r="E29" s="36">
        <f>SUM(E26:E28)</f>
        <v>1014.5274890564897</v>
      </c>
    </row>
    <row r="30" spans="1:6" x14ac:dyDescent="0.3">
      <c r="A30" s="2" t="s">
        <v>45</v>
      </c>
      <c r="C30" s="13" t="s">
        <v>52</v>
      </c>
      <c r="D30" s="62" t="s">
        <v>189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190</v>
      </c>
      <c r="E31" s="36">
        <f>E29*E30</f>
        <v>304.35824671694689</v>
      </c>
    </row>
    <row r="32" spans="1:6" ht="15.6" x14ac:dyDescent="0.4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193</v>
      </c>
      <c r="E33" s="52">
        <f>SUM(E31:E32)</f>
        <v>637.28571428571422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8" zoomScaleNormal="100" workbookViewId="0">
      <selection activeCell="J22" sqref="J22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10" t="s">
        <v>128</v>
      </c>
      <c r="D1" s="310"/>
      <c r="E1" s="310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</row>
    <row r="4" spans="1:5" x14ac:dyDescent="0.3">
      <c r="A4" s="2"/>
      <c r="B4" s="4"/>
      <c r="C4" s="13" t="s">
        <v>204</v>
      </c>
      <c r="D4" s="62" t="s">
        <v>206</v>
      </c>
      <c r="E4" s="46">
        <f>+Amortization!E21</f>
        <v>19959.758933333331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35759.758933333331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272</v>
      </c>
      <c r="D8" s="63" t="s">
        <v>124</v>
      </c>
      <c r="E8" s="42">
        <f>E6/$E28</f>
        <v>5.9908883424396451E-5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1009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1487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2496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0.4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288</v>
      </c>
      <c r="D18" s="62" t="s">
        <v>94</v>
      </c>
      <c r="E18" s="289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276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277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</row>
    <row r="26" spans="1:5" x14ac:dyDescent="0.3">
      <c r="A26" s="2"/>
      <c r="B26" s="1"/>
      <c r="C26" s="13" t="s">
        <v>287</v>
      </c>
      <c r="D26" s="62" t="s">
        <v>122</v>
      </c>
      <c r="E26" s="43">
        <f>SUM(E24:E25)</f>
        <v>6.9798646855146418E-2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271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233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G19" sqref="G19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10" t="s">
        <v>128</v>
      </c>
      <c r="D1" s="310"/>
      <c r="E1" s="310"/>
    </row>
    <row r="2" spans="1:11" ht="25.2" customHeight="1" x14ac:dyDescent="0.3">
      <c r="A2" s="2"/>
      <c r="B2" s="5" t="s">
        <v>0</v>
      </c>
      <c r="C2" s="57" t="s">
        <v>236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203</v>
      </c>
      <c r="D4" s="62" t="s">
        <v>207</v>
      </c>
      <c r="E4" s="36">
        <f>+Amortization!E9</f>
        <v>1425.6970666666666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208</v>
      </c>
      <c r="E5" s="46">
        <f>'Rate Base &amp; Cost Capital'!E10</f>
        <v>1009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209</v>
      </c>
      <c r="E6" s="46">
        <f>'Rate Base &amp; Cost Capital'!E11</f>
        <v>1487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210</v>
      </c>
      <c r="E7" s="35">
        <f>'Income Taxes'!E33</f>
        <v>637.28571428571422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211</v>
      </c>
      <c r="E8" s="52">
        <f>SUM(E3:E7)</f>
        <v>5066.1865762002253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237</v>
      </c>
      <c r="D10" s="70" t="s">
        <v>212</v>
      </c>
      <c r="E10" s="253">
        <f>E8/$E12</f>
        <v>1.6966342809217827E-2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267</v>
      </c>
      <c r="D12" s="70" t="s">
        <v>213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5066.1865762002253</v>
      </c>
    </row>
    <row r="17" spans="3:3" x14ac:dyDescent="0.3">
      <c r="C17" s="176"/>
    </row>
    <row r="18" spans="3:3" x14ac:dyDescent="0.3">
      <c r="C18" s="1" t="s">
        <v>278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26"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33203125" style="11" customWidth="1"/>
    <col min="9" max="9" width="15.88671875" style="11" customWidth="1"/>
    <col min="10" max="10" width="17.88671875" style="11" customWidth="1"/>
    <col min="11" max="16384" width="9.109375" style="11"/>
  </cols>
  <sheetData>
    <row r="1" spans="1:10" x14ac:dyDescent="0.25">
      <c r="A1" s="311" t="s">
        <v>291</v>
      </c>
      <c r="B1" s="312"/>
      <c r="C1" s="312"/>
      <c r="D1" s="312"/>
      <c r="E1" s="312"/>
      <c r="F1" s="312"/>
      <c r="G1" s="312"/>
      <c r="H1" s="312"/>
      <c r="I1" s="312"/>
      <c r="J1" s="313"/>
    </row>
    <row r="2" spans="1:10" x14ac:dyDescent="0.25">
      <c r="A2" s="314" t="s">
        <v>292</v>
      </c>
      <c r="B2" s="315"/>
      <c r="C2" s="315"/>
      <c r="D2" s="315"/>
      <c r="E2" s="315"/>
      <c r="F2" s="315"/>
      <c r="G2" s="315"/>
      <c r="H2" s="315"/>
      <c r="I2" s="315"/>
      <c r="J2" s="316"/>
    </row>
    <row r="3" spans="1:10" ht="15" customHeight="1" x14ac:dyDescent="0.25">
      <c r="A3" s="298"/>
      <c r="B3" s="299"/>
      <c r="C3" s="299"/>
      <c r="D3" s="299"/>
      <c r="E3" s="299"/>
      <c r="F3" s="299"/>
      <c r="G3" s="300"/>
      <c r="H3" s="326"/>
      <c r="I3" s="326"/>
      <c r="J3" s="17"/>
    </row>
    <row r="4" spans="1:10" x14ac:dyDescent="0.25">
      <c r="A4" s="323" t="s">
        <v>241</v>
      </c>
      <c r="B4" s="324"/>
      <c r="C4" s="324"/>
      <c r="D4" s="324"/>
      <c r="E4" s="324"/>
      <c r="F4" s="324"/>
      <c r="G4" s="325"/>
      <c r="H4" s="326"/>
      <c r="I4" s="323" t="s">
        <v>242</v>
      </c>
      <c r="J4" s="325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4" t="s">
        <v>294</v>
      </c>
      <c r="F5" s="263" t="s">
        <v>243</v>
      </c>
      <c r="G5" s="263" t="s">
        <v>244</v>
      </c>
      <c r="H5" s="326"/>
      <c r="I5" s="264" t="s">
        <v>245</v>
      </c>
      <c r="J5" s="264" t="s">
        <v>293</v>
      </c>
    </row>
    <row r="6" spans="1:10" x14ac:dyDescent="0.25">
      <c r="A6" s="265" t="s">
        <v>246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6"/>
      <c r="I6" s="266">
        <v>5.3999999999999881E-3</v>
      </c>
      <c r="J6" s="269">
        <f>+E6+I6</f>
        <v>0.17169999999999999</v>
      </c>
    </row>
    <row r="7" spans="1:10" x14ac:dyDescent="0.25">
      <c r="A7" s="270" t="s">
        <v>247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6"/>
      <c r="I7" s="266">
        <v>4.2999999999999983E-3</v>
      </c>
      <c r="J7" s="269">
        <f t="shared" ref="J7:J12" si="2">+E7+$I7</f>
        <v>0.1358</v>
      </c>
    </row>
    <row r="8" spans="1:10" x14ac:dyDescent="0.25">
      <c r="A8" s="265" t="s">
        <v>248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6"/>
      <c r="I8" s="266">
        <v>6.5999999999999948E-3</v>
      </c>
      <c r="J8" s="269">
        <f t="shared" si="2"/>
        <v>0.21190000000000001</v>
      </c>
    </row>
    <row r="9" spans="1:10" x14ac:dyDescent="0.25">
      <c r="A9" s="270" t="s">
        <v>249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6"/>
      <c r="I9" s="266">
        <v>4.300000000000026E-3</v>
      </c>
      <c r="J9" s="269">
        <f t="shared" si="2"/>
        <v>0.13720000000000002</v>
      </c>
    </row>
    <row r="10" spans="1:10" x14ac:dyDescent="0.25">
      <c r="A10" s="265" t="s">
        <v>250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6"/>
      <c r="I10" s="266">
        <v>6.5000000000000058E-3</v>
      </c>
      <c r="J10" s="269">
        <f t="shared" si="2"/>
        <v>0.2074</v>
      </c>
    </row>
    <row r="11" spans="1:10" x14ac:dyDescent="0.25">
      <c r="A11" s="270" t="s">
        <v>251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6"/>
      <c r="I11" s="266">
        <v>3.1999999999999945E-3</v>
      </c>
      <c r="J11" s="269">
        <f t="shared" si="2"/>
        <v>0.1027</v>
      </c>
    </row>
    <row r="12" spans="1:10" x14ac:dyDescent="0.25">
      <c r="A12" s="270" t="s">
        <v>252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6"/>
      <c r="I12" s="266">
        <v>2.6999999999999941E-3</v>
      </c>
      <c r="J12" s="269">
        <f t="shared" si="2"/>
        <v>8.5699999999999998E-2</v>
      </c>
    </row>
    <row r="13" spans="1:10" x14ac:dyDescent="0.25">
      <c r="A13" s="16"/>
      <c r="B13" s="326"/>
      <c r="C13" s="326"/>
      <c r="D13" s="326"/>
      <c r="E13" s="326"/>
      <c r="F13" s="326"/>
      <c r="G13" s="326"/>
      <c r="H13" s="326"/>
      <c r="I13" s="326"/>
      <c r="J13" s="17"/>
    </row>
    <row r="14" spans="1:10" x14ac:dyDescent="0.25">
      <c r="A14" s="320" t="s">
        <v>253</v>
      </c>
      <c r="B14" s="321"/>
      <c r="C14" s="321"/>
      <c r="D14" s="321"/>
      <c r="E14" s="321"/>
      <c r="F14" s="321"/>
      <c r="G14" s="321"/>
      <c r="H14" s="321"/>
      <c r="I14" s="321"/>
      <c r="J14" s="322"/>
    </row>
    <row r="15" spans="1:10" ht="55.2" x14ac:dyDescent="0.25">
      <c r="A15" s="295"/>
      <c r="B15" s="296">
        <f>+B5</f>
        <v>2022</v>
      </c>
      <c r="C15" s="296">
        <f t="shared" ref="C15:E15" si="3">+C5</f>
        <v>2023</v>
      </c>
      <c r="D15" s="296">
        <f t="shared" si="3"/>
        <v>2024</v>
      </c>
      <c r="E15" s="293" t="str">
        <f t="shared" si="3"/>
        <v>March 1, 2025</v>
      </c>
      <c r="F15" s="293" t="str">
        <f>+F5</f>
        <v>Cumulative Change over 2022 Rates</v>
      </c>
      <c r="G15" s="326"/>
      <c r="H15" s="326"/>
      <c r="I15" s="326"/>
      <c r="J15" s="293" t="s">
        <v>273</v>
      </c>
    </row>
    <row r="16" spans="1:10" x14ac:dyDescent="0.25">
      <c r="A16" s="270" t="s">
        <v>254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6"/>
      <c r="H16" s="326"/>
      <c r="I16" s="327"/>
      <c r="J16" s="269">
        <f>+E16</f>
        <v>1.4499999999999999E-3</v>
      </c>
    </row>
    <row r="17" spans="1:10" x14ac:dyDescent="0.25">
      <c r="A17" s="270" t="s">
        <v>255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6"/>
      <c r="H17" s="326"/>
      <c r="I17" s="326"/>
      <c r="J17" s="269">
        <f>+E17</f>
        <v>3.3E-3</v>
      </c>
    </row>
    <row r="18" spans="1:10" x14ac:dyDescent="0.25">
      <c r="A18" s="270" t="s">
        <v>256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6"/>
      <c r="H18" s="326"/>
      <c r="I18" s="326"/>
      <c r="J18" s="272">
        <f>SUM(J16:J17)</f>
        <v>4.7499999999999999E-3</v>
      </c>
    </row>
    <row r="19" spans="1:10" hidden="1" x14ac:dyDescent="0.25">
      <c r="A19" s="270" t="s">
        <v>257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258</v>
      </c>
      <c r="G19" s="326"/>
      <c r="H19" s="326"/>
      <c r="I19" s="326"/>
      <c r="J19" s="269">
        <f>+E19</f>
        <v>0</v>
      </c>
    </row>
    <row r="20" spans="1:10" hidden="1" x14ac:dyDescent="0.25">
      <c r="A20" s="270" t="s">
        <v>259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258</v>
      </c>
      <c r="G20" s="326"/>
      <c r="H20" s="326"/>
      <c r="I20" s="326"/>
      <c r="J20" s="269">
        <f>+E20</f>
        <v>0</v>
      </c>
    </row>
    <row r="21" spans="1:10" x14ac:dyDescent="0.25">
      <c r="A21" s="270" t="s">
        <v>260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6"/>
      <c r="H21" s="326"/>
      <c r="I21" s="326"/>
      <c r="J21" s="269">
        <f>+E21</f>
        <v>1.2099999999999999E-3</v>
      </c>
    </row>
    <row r="22" spans="1:10" x14ac:dyDescent="0.25">
      <c r="A22" s="274" t="s">
        <v>261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6"/>
      <c r="H22" s="326"/>
      <c r="I22" s="326"/>
      <c r="J22" s="272">
        <f>SUM(J18:J21)</f>
        <v>5.96E-3</v>
      </c>
    </row>
    <row r="23" spans="1:10" x14ac:dyDescent="0.25">
      <c r="A23" s="16"/>
      <c r="B23" s="326"/>
      <c r="C23" s="326"/>
      <c r="D23" s="326"/>
      <c r="E23" s="326"/>
      <c r="F23" s="326"/>
      <c r="G23" s="326"/>
      <c r="H23" s="326"/>
      <c r="I23" s="326"/>
      <c r="J23" s="17"/>
    </row>
    <row r="24" spans="1:10" ht="15" customHeight="1" x14ac:dyDescent="0.25">
      <c r="A24" s="317" t="s">
        <v>295</v>
      </c>
      <c r="B24" s="318"/>
      <c r="C24" s="318"/>
      <c r="D24" s="318"/>
      <c r="E24" s="318"/>
      <c r="F24" s="318"/>
      <c r="G24" s="318"/>
      <c r="H24" s="318"/>
      <c r="I24" s="318"/>
      <c r="J24" s="319"/>
    </row>
    <row r="25" spans="1:10" x14ac:dyDescent="0.25">
      <c r="A25" s="276"/>
      <c r="B25" s="262">
        <f>+B15</f>
        <v>2022</v>
      </c>
      <c r="C25" s="262">
        <f t="shared" ref="C25:F25" si="7">+C15</f>
        <v>2023</v>
      </c>
      <c r="D25" s="262">
        <f t="shared" si="7"/>
        <v>2024</v>
      </c>
      <c r="E25" s="264" t="str">
        <f t="shared" si="7"/>
        <v>March 1, 2025</v>
      </c>
      <c r="F25" s="264" t="str">
        <f t="shared" si="7"/>
        <v>Cumulative Change over 2022 Rates</v>
      </c>
      <c r="G25" s="277" t="str">
        <f>+G5</f>
        <v>Average Annual Variance</v>
      </c>
      <c r="H25" s="326"/>
      <c r="I25" s="326"/>
      <c r="J25" s="264" t="str">
        <f t="shared" ref="J25" si="8">+J15</f>
        <v>Revised 2026F B4 ECAM Update</v>
      </c>
    </row>
    <row r="26" spans="1:10" x14ac:dyDescent="0.25">
      <c r="A26" s="265" t="s">
        <v>246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6"/>
      <c r="I26" s="326"/>
      <c r="J26" s="266">
        <f t="shared" ref="J26:J32" si="10">J6+J$22</f>
        <v>0.17765999999999998</v>
      </c>
    </row>
    <row r="27" spans="1:10" x14ac:dyDescent="0.25">
      <c r="A27" s="270" t="s">
        <v>247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6"/>
      <c r="I27" s="326"/>
      <c r="J27" s="266">
        <f t="shared" si="10"/>
        <v>0.14176</v>
      </c>
    </row>
    <row r="28" spans="1:10" x14ac:dyDescent="0.25">
      <c r="A28" s="265" t="s">
        <v>248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6"/>
      <c r="I28" s="326"/>
      <c r="J28" s="266">
        <f t="shared" si="10"/>
        <v>0.21786</v>
      </c>
    </row>
    <row r="29" spans="1:10" x14ac:dyDescent="0.25">
      <c r="A29" s="270" t="s">
        <v>249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6"/>
      <c r="I29" s="326"/>
      <c r="J29" s="266">
        <f t="shared" si="10"/>
        <v>0.14316000000000001</v>
      </c>
    </row>
    <row r="30" spans="1:10" x14ac:dyDescent="0.25">
      <c r="A30" s="265" t="s">
        <v>250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6"/>
      <c r="I30" s="326"/>
      <c r="J30" s="266">
        <f t="shared" si="10"/>
        <v>0.21335999999999999</v>
      </c>
    </row>
    <row r="31" spans="1:10" x14ac:dyDescent="0.25">
      <c r="A31" s="270" t="s">
        <v>251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6"/>
      <c r="I31" s="326"/>
      <c r="J31" s="266">
        <f t="shared" si="10"/>
        <v>0.10866000000000001</v>
      </c>
    </row>
    <row r="32" spans="1:10" x14ac:dyDescent="0.25">
      <c r="A32" s="270" t="s">
        <v>252</v>
      </c>
      <c r="B32" s="278">
        <f t="shared" si="9"/>
        <v>7.8E-2</v>
      </c>
      <c r="C32" s="278">
        <f t="shared" si="9"/>
        <v>8.4199999999999997E-2</v>
      </c>
      <c r="D32" s="278">
        <f t="shared" si="9"/>
        <v>8.6199999999999999E-2</v>
      </c>
      <c r="E32" s="278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297"/>
      <c r="I32" s="297"/>
      <c r="J32" s="278">
        <f t="shared" si="10"/>
        <v>9.1659999999999991E-2</v>
      </c>
    </row>
    <row r="33" spans="1:1" x14ac:dyDescent="0.25">
      <c r="A33" s="279"/>
    </row>
  </sheetData>
  <mergeCells count="6">
    <mergeCell ref="A1:J1"/>
    <mergeCell ref="A2:J2"/>
    <mergeCell ref="A24:J24"/>
    <mergeCell ref="A14:J1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abSelected="1" topLeftCell="C11" zoomScaleNormal="100" workbookViewId="0">
      <selection activeCell="F20" sqref="F20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8" t="s">
        <v>128</v>
      </c>
      <c r="D1" s="329"/>
      <c r="E1" s="330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31"/>
      <c r="E3" s="12"/>
    </row>
    <row r="4" spans="1:11" ht="26.4" x14ac:dyDescent="0.25">
      <c r="A4" s="10">
        <v>6</v>
      </c>
      <c r="C4" s="53" t="s">
        <v>285</v>
      </c>
      <c r="D4" s="332" t="s">
        <v>286</v>
      </c>
      <c r="E4" s="54">
        <f>'Proposed Distribution Rates'!I6*1000*12</f>
        <v>64.799999999999855</v>
      </c>
    </row>
    <row r="5" spans="1:11" x14ac:dyDescent="0.25">
      <c r="A5" s="10">
        <v>7</v>
      </c>
      <c r="C5" s="49"/>
      <c r="D5" s="333"/>
      <c r="E5" s="50"/>
    </row>
    <row r="6" spans="1:11" ht="26.4" x14ac:dyDescent="0.25">
      <c r="A6" s="10">
        <v>8</v>
      </c>
      <c r="C6" s="49" t="s">
        <v>268</v>
      </c>
      <c r="D6" s="333" t="s">
        <v>265</v>
      </c>
      <c r="E6" s="254">
        <f>E4/$E13</f>
        <v>2.7111155738527907E-2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269</v>
      </c>
      <c r="D7" s="333" t="s">
        <v>266</v>
      </c>
      <c r="E7" s="254">
        <f>E4/$E15</f>
        <v>2.7434842249657004E-2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31"/>
      <c r="E8" s="255"/>
    </row>
    <row r="9" spans="1:11" ht="26.4" x14ac:dyDescent="0.25">
      <c r="A9" s="10">
        <v>11</v>
      </c>
      <c r="C9" s="53" t="s">
        <v>127</v>
      </c>
      <c r="D9" s="332" t="s">
        <v>262</v>
      </c>
      <c r="E9" s="54">
        <f>'Proposed Distribution Rates'!I8*5000*12+'Proposed Distribution Rates'!I9*5000*12</f>
        <v>654.00000000000125</v>
      </c>
    </row>
    <row r="10" spans="1:11" ht="9.75" customHeight="1" x14ac:dyDescent="0.25">
      <c r="C10" s="89"/>
      <c r="D10" s="334"/>
      <c r="E10" s="256"/>
    </row>
    <row r="11" spans="1:11" ht="26.4" x14ac:dyDescent="0.25">
      <c r="A11" s="10">
        <v>12</v>
      </c>
      <c r="C11" s="49" t="s">
        <v>270</v>
      </c>
      <c r="D11" s="333" t="s">
        <v>264</v>
      </c>
      <c r="E11" s="254">
        <f>E9/$E17</f>
        <v>2.5022152639722371E-2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31"/>
      <c r="E12" s="12"/>
    </row>
    <row r="13" spans="1:11" ht="26.4" x14ac:dyDescent="0.25">
      <c r="A13" s="10">
        <v>14</v>
      </c>
      <c r="C13" s="49" t="s">
        <v>283</v>
      </c>
      <c r="D13" s="333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31"/>
      <c r="E14" s="12"/>
    </row>
    <row r="15" spans="1:11" ht="26.4" x14ac:dyDescent="0.25">
      <c r="A15" s="10">
        <v>16</v>
      </c>
      <c r="C15" s="49" t="s">
        <v>284</v>
      </c>
      <c r="D15" s="333" t="s">
        <v>263</v>
      </c>
      <c r="E15" s="50">
        <v>2361.96</v>
      </c>
    </row>
    <row r="16" spans="1:11" ht="7.5" customHeight="1" x14ac:dyDescent="0.25">
      <c r="A16" s="10">
        <v>17</v>
      </c>
      <c r="C16" s="13"/>
      <c r="D16" s="331"/>
      <c r="E16" s="12"/>
    </row>
    <row r="17" spans="1:5" ht="26.4" x14ac:dyDescent="0.25">
      <c r="A17" s="10">
        <v>18</v>
      </c>
      <c r="C17" s="49" t="s">
        <v>274</v>
      </c>
      <c r="D17" s="333" t="s">
        <v>213</v>
      </c>
      <c r="E17" s="50">
        <v>26136.84</v>
      </c>
    </row>
    <row r="18" spans="1:5" x14ac:dyDescent="0.25">
      <c r="C18" s="281"/>
      <c r="D18" s="282"/>
      <c r="E18" s="335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