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ercury\users\FIN\Regulation\Applications and Filings\Storms\Fiona Sep 2022\IRs\Commission Staff\January 15 2026 - Responses\"/>
    </mc:Choice>
  </mc:AlternateContent>
  <xr:revisionPtr revIDLastSave="0" documentId="13_ncr:1_{62639F9A-C741-42A5-B128-4098E3D767C5}" xr6:coauthVersionLast="47" xr6:coauthVersionMax="47" xr10:uidLastSave="{00000000-0000-0000-0000-000000000000}"/>
  <bookViews>
    <workbookView xWindow="-120" yWindow="-120" windowWidth="29040" windowHeight="15720" activeTab="1" xr2:uid="{675EFD55-CA4D-49D4-A437-842365C0F700}"/>
  </bookViews>
  <sheets>
    <sheet name="26" sheetId="1" r:id="rId1"/>
    <sheet name="27" sheetId="3" r:id="rId2"/>
  </sheets>
  <definedNames>
    <definedName name="_xlnm.Print_Area" localSheetId="0">'26'!$A$2:$H$63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3" l="1"/>
  <c r="H58" i="1" l="1"/>
  <c r="G38" i="1" l="1"/>
  <c r="D21" i="3" l="1"/>
  <c r="F21" i="3"/>
  <c r="G21" i="3"/>
  <c r="B21" i="3" l="1"/>
  <c r="C21" i="3"/>
  <c r="E10" i="3"/>
  <c r="E11" i="3" s="1"/>
  <c r="B10" i="3"/>
  <c r="B11" i="3" s="1"/>
  <c r="G9" i="3"/>
  <c r="D9" i="3"/>
  <c r="A9" i="3"/>
  <c r="F9" i="3" l="1"/>
  <c r="E9" i="3"/>
  <c r="E12" i="3" s="1"/>
  <c r="C9" i="3"/>
  <c r="B9" i="3"/>
  <c r="B12" i="3" s="1"/>
  <c r="C10" i="3" l="1"/>
  <c r="C11" i="3" s="1"/>
  <c r="D10" i="1"/>
  <c r="E10" i="1" s="1"/>
  <c r="F10" i="1" s="1"/>
  <c r="G10" i="1" s="1"/>
  <c r="H10" i="1" s="1"/>
  <c r="D9" i="1"/>
  <c r="C8" i="1"/>
  <c r="D8" i="1" s="1"/>
  <c r="E8" i="1" s="1"/>
  <c r="F8" i="1" s="1"/>
  <c r="G8" i="1" s="1"/>
  <c r="H8" i="1" s="1"/>
  <c r="C12" i="3" l="1"/>
  <c r="C12" i="1"/>
  <c r="E9" i="1"/>
  <c r="E11" i="1"/>
  <c r="D10" i="3" s="1"/>
  <c r="D11" i="3" l="1"/>
  <c r="D12" i="3"/>
  <c r="G11" i="1"/>
  <c r="F10" i="3" s="1"/>
  <c r="F9" i="1"/>
  <c r="D7" i="1"/>
  <c r="D12" i="1" s="1"/>
  <c r="F11" i="3" l="1"/>
  <c r="F12" i="3"/>
  <c r="E7" i="1"/>
  <c r="G9" i="1"/>
  <c r="H9" i="1" s="1"/>
  <c r="H11" i="1"/>
  <c r="G10" i="3" s="1"/>
  <c r="G11" i="3" s="1"/>
  <c r="G12" i="3" s="1"/>
  <c r="F7" i="1" l="1"/>
  <c r="E12" i="1"/>
  <c r="G7" i="1" l="1"/>
  <c r="F12" i="1"/>
  <c r="H7" i="1" l="1"/>
  <c r="H12" i="1" s="1"/>
  <c r="G12" i="1"/>
  <c r="E38" i="1"/>
  <c r="B57" i="1"/>
  <c r="H60" i="1" l="1"/>
  <c r="H61" i="1" s="1"/>
  <c r="G60" i="1"/>
  <c r="G61" i="1" s="1"/>
  <c r="F60" i="1"/>
  <c r="F61" i="1" s="1"/>
  <c r="E60" i="1"/>
  <c r="E61" i="1" s="1"/>
  <c r="D60" i="1"/>
  <c r="D61" i="1" s="1"/>
  <c r="H62" i="1"/>
  <c r="H63" i="1" s="1"/>
  <c r="G62" i="1"/>
  <c r="G63" i="1" s="1"/>
  <c r="F62" i="1"/>
  <c r="F63" i="1" s="1"/>
  <c r="E62" i="1"/>
  <c r="E63" i="1" s="1"/>
  <c r="D62" i="1"/>
  <c r="D63" i="1" s="1"/>
  <c r="C60" i="1"/>
  <c r="C61" i="1" s="1"/>
  <c r="C62" i="1"/>
  <c r="C63" i="1" s="1"/>
  <c r="H59" i="1"/>
  <c r="G58" i="1"/>
  <c r="G59" i="1" s="1"/>
  <c r="F58" i="1"/>
  <c r="F59" i="1" s="1"/>
  <c r="E58" i="1"/>
  <c r="E59" i="1" s="1"/>
  <c r="D58" i="1"/>
  <c r="D59" i="1" s="1"/>
  <c r="C58" i="1"/>
  <c r="C59" i="1" s="1"/>
  <c r="F38" i="1" l="1"/>
  <c r="H38" i="1"/>
  <c r="A38" i="1" l="1"/>
  <c r="D38" i="1"/>
  <c r="C38" i="1" l="1"/>
  <c r="D31" i="1"/>
  <c r="D44" i="1" s="1"/>
  <c r="D56" i="1" s="1"/>
  <c r="E31" i="1"/>
  <c r="E44" i="1" s="1"/>
  <c r="E56" i="1" s="1"/>
  <c r="F31" i="1"/>
  <c r="F44" i="1" s="1"/>
  <c r="F56" i="1" s="1"/>
  <c r="G31" i="1"/>
  <c r="G44" i="1" s="1"/>
  <c r="G56" i="1" s="1"/>
  <c r="H31" i="1"/>
  <c r="H44" i="1" s="1"/>
  <c r="H56" i="1" s="1"/>
  <c r="C31" i="1"/>
  <c r="C44" i="1" s="1"/>
  <c r="C56" i="1" s="1"/>
  <c r="B38" i="1" l="1"/>
  <c r="D21" i="1" l="1"/>
  <c r="D25" i="1" s="1"/>
  <c r="E21" i="1"/>
  <c r="F21" i="1"/>
  <c r="F25" i="1" s="1"/>
  <c r="G21" i="1"/>
  <c r="G25" i="1" s="1"/>
  <c r="H21" i="1"/>
  <c r="H25" i="1" s="1"/>
  <c r="E25" i="1" l="1"/>
  <c r="C21" i="1"/>
  <c r="C25" i="1" l="1"/>
</calcChain>
</file>

<file path=xl/sharedStrings.xml><?xml version="1.0" encoding="utf-8"?>
<sst xmlns="http://schemas.openxmlformats.org/spreadsheetml/2006/main" count="66" uniqueCount="59">
  <si>
    <t>IR 16 Scenario</t>
  </si>
  <si>
    <t>Return on Debt</t>
  </si>
  <si>
    <t>Return on Equity</t>
  </si>
  <si>
    <t>Subtotal - Return on Rate Base</t>
  </si>
  <si>
    <t>Depreciation of Capital Costs</t>
  </si>
  <si>
    <t>Amortization of Operating and Carrying Costs</t>
  </si>
  <si>
    <t>Income Taxes</t>
  </si>
  <si>
    <t>Year Ending December 31, 2026</t>
  </si>
  <si>
    <t>May 1, 2026 to December 31, 2026</t>
  </si>
  <si>
    <t>TOTAL</t>
  </si>
  <si>
    <t>Approved</t>
  </si>
  <si>
    <t>March 1, 2025</t>
  </si>
  <si>
    <t>Forecast Sales and Annual Revenue Requirement by Customer Class ($000 except MWh)</t>
  </si>
  <si>
    <t>Energy Charge per kWh to Recover Revenue Requirement ($) *</t>
  </si>
  <si>
    <t>Rural Residential Customer Using 1,000 kWh per Month</t>
  </si>
  <si>
    <t>Urban Residential Customer Using 1,000 kWh per Month</t>
  </si>
  <si>
    <t>General Service Customer Using 10,000 kWh/100 KW Demand per Month</t>
  </si>
  <si>
    <t>* Basic rates do not include the ECAM charge per kWh and Provincial Energy Efficiency Program Charge per kWh.</t>
  </si>
  <si>
    <t>Sales (MWh)*</t>
  </si>
  <si>
    <t>* Assumes rate change will be prorated for April, 2026 consumption billed in May, 2026.</t>
  </si>
  <si>
    <t>Annual Earnings Impact ($000)</t>
  </si>
  <si>
    <t>Month Ending April 30, 2026</t>
  </si>
  <si>
    <t>Operating Costs Deferred Related to Fiona Restoration</t>
  </si>
  <si>
    <t>Carrying Costs Incurred to December 31, 2025</t>
  </si>
  <si>
    <t>Total Fiona Balance to be Recovered ($000)</t>
  </si>
  <si>
    <t>Forecast Carrying Costs, January 1 to April 30, 2026</t>
  </si>
  <si>
    <t>Adjust for Non-compounding Interest</t>
  </si>
  <si>
    <t>Capital Costs Related to Fiona Restoration</t>
  </si>
  <si>
    <t xml:space="preserve"> IR 16 Scenario - Proposed - May 1, 2026</t>
  </si>
  <si>
    <t>Adjust for Non-compunding Interest</t>
  </si>
  <si>
    <t>Total Impact on 2026 Earnings</t>
  </si>
  <si>
    <t>Tax Savings on Non-compounding Interest</t>
  </si>
  <si>
    <t>Table 1</t>
  </si>
  <si>
    <t>Forecast Revenue Requirement ($000)</t>
  </si>
  <si>
    <t xml:space="preserve"> Existing and Proposed Increase in Annual Before Tax Cost for Benchmark Customer ($ and %)</t>
  </si>
  <si>
    <t>Existing Cost</t>
  </si>
  <si>
    <t>Cost of Debt</t>
  </si>
  <si>
    <t>Cost of Equity</t>
  </si>
  <si>
    <t>Total Return on Rate Base ($000)</t>
  </si>
  <si>
    <t xml:space="preserve">Total Return on Rate Base </t>
  </si>
  <si>
    <t>Cumulative Annual Return over Recovery Periods</t>
  </si>
  <si>
    <t>Table 2B</t>
  </si>
  <si>
    <t>Table 3B</t>
  </si>
  <si>
    <t>Table 4B</t>
  </si>
  <si>
    <t>Table 5B</t>
  </si>
  <si>
    <t>Table 6B</t>
  </si>
  <si>
    <t>Table 7B</t>
  </si>
  <si>
    <t>Residential - First Block</t>
  </si>
  <si>
    <t>Residential - Second Block</t>
  </si>
  <si>
    <t>General Service - First Block</t>
  </si>
  <si>
    <t>General Service - Second Block</t>
  </si>
  <si>
    <t>Small Industrial - First Block</t>
  </si>
  <si>
    <t>Small Industrial - Second Block</t>
  </si>
  <si>
    <t>Large Industrial</t>
  </si>
  <si>
    <t>Residential</t>
  </si>
  <si>
    <t>General Service I</t>
  </si>
  <si>
    <t>Small Industrial</t>
  </si>
  <si>
    <t>Street Lighting</t>
  </si>
  <si>
    <t>Unmetered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</si>
</sst>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0.0000"/>
    <numFmt numFmtId="168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 applyAlignment="1">
      <alignment horizontal="center"/>
    </xf>
    <xf numFmtId="43" fontId="4" fillId="0" borderId="0" xfId="0" applyNumberFormat="1" applyFont="1"/>
    <xf numFmtId="0" fontId="0" fillId="0" borderId="1" xfId="0" applyBorder="1"/>
    <xf numFmtId="165" fontId="0" fillId="0" borderId="1" xfId="2" applyNumberFormat="1" applyFont="1" applyBorder="1"/>
    <xf numFmtId="164" fontId="0" fillId="0" borderId="1" xfId="1" applyNumberFormat="1" applyFont="1" applyBorder="1"/>
    <xf numFmtId="43" fontId="3" fillId="0" borderId="0" xfId="1" applyFont="1"/>
    <xf numFmtId="164" fontId="3" fillId="0" borderId="0" xfId="1" applyNumberFormat="1" applyFont="1"/>
    <xf numFmtId="164" fontId="0" fillId="0" borderId="0" xfId="0" applyNumberFormat="1"/>
    <xf numFmtId="0" fontId="6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5" fillId="0" borderId="1" xfId="0" applyFont="1" applyBorder="1" applyAlignment="1">
      <alignment horizontal="center"/>
    </xf>
    <xf numFmtId="165" fontId="4" fillId="0" borderId="1" xfId="2" applyNumberFormat="1" applyFont="1" applyBorder="1"/>
    <xf numFmtId="0" fontId="4" fillId="0" borderId="8" xfId="0" applyFont="1" applyBorder="1"/>
    <xf numFmtId="0" fontId="4" fillId="0" borderId="10" xfId="0" applyFont="1" applyBorder="1"/>
    <xf numFmtId="164" fontId="4" fillId="0" borderId="1" xfId="1" applyNumberFormat="1" applyFont="1" applyBorder="1"/>
    <xf numFmtId="0" fontId="5" fillId="0" borderId="8" xfId="0" applyFont="1" applyBorder="1"/>
    <xf numFmtId="0" fontId="5" fillId="0" borderId="7" xfId="0" applyFont="1" applyBorder="1"/>
    <xf numFmtId="165" fontId="5" fillId="0" borderId="1" xfId="2" applyNumberFormat="1" applyFont="1" applyBorder="1"/>
    <xf numFmtId="0" fontId="5" fillId="0" borderId="0" xfId="0" applyFont="1"/>
    <xf numFmtId="165" fontId="5" fillId="0" borderId="0" xfId="2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8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10" xfId="0" applyFont="1" applyBorder="1"/>
    <xf numFmtId="164" fontId="5" fillId="0" borderId="1" xfId="0" applyNumberFormat="1" applyFont="1" applyBorder="1"/>
    <xf numFmtId="164" fontId="5" fillId="0" borderId="1" xfId="1" applyNumberFormat="1" applyFont="1" applyBorder="1"/>
    <xf numFmtId="0" fontId="4" fillId="0" borderId="0" xfId="0" applyFont="1"/>
    <xf numFmtId="0" fontId="5" fillId="0" borderId="13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4" fillId="0" borderId="12" xfId="0" applyFont="1" applyBorder="1"/>
    <xf numFmtId="15" fontId="5" fillId="0" borderId="7" xfId="0" quotePrefix="1" applyNumberFormat="1" applyFont="1" applyBorder="1" applyAlignment="1">
      <alignment horizontal="center"/>
    </xf>
    <xf numFmtId="43" fontId="4" fillId="0" borderId="1" xfId="0" applyNumberFormat="1" applyFont="1" applyBorder="1"/>
    <xf numFmtId="166" fontId="4" fillId="0" borderId="1" xfId="1" applyNumberFormat="1" applyFont="1" applyBorder="1" applyAlignment="1"/>
    <xf numFmtId="167" fontId="4" fillId="0" borderId="1" xfId="0" applyNumberFormat="1" applyFont="1" applyBorder="1"/>
    <xf numFmtId="166" fontId="4" fillId="0" borderId="1" xfId="1" applyNumberFormat="1" applyFont="1" applyBorder="1"/>
    <xf numFmtId="43" fontId="4" fillId="0" borderId="12" xfId="0" applyNumberFormat="1" applyFont="1" applyBorder="1"/>
    <xf numFmtId="15" fontId="4" fillId="0" borderId="5" xfId="0" applyNumberFormat="1" applyFont="1" applyBorder="1" applyAlignment="1">
      <alignment horizontal="center"/>
    </xf>
    <xf numFmtId="44" fontId="4" fillId="0" borderId="13" xfId="2" applyFont="1" applyBorder="1"/>
    <xf numFmtId="168" fontId="4" fillId="0" borderId="12" xfId="3" applyNumberFormat="1" applyFont="1" applyBorder="1"/>
    <xf numFmtId="44" fontId="4" fillId="0" borderId="11" xfId="2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3" xfId="0" applyFont="1" applyBorder="1"/>
    <xf numFmtId="43" fontId="4" fillId="0" borderId="13" xfId="0" applyNumberFormat="1" applyFont="1" applyBorder="1"/>
    <xf numFmtId="0" fontId="4" fillId="0" borderId="14" xfId="0" applyFont="1" applyBorder="1"/>
    <xf numFmtId="0" fontId="4" fillId="0" borderId="6" xfId="0" applyFont="1" applyBorder="1"/>
    <xf numFmtId="165" fontId="0" fillId="0" borderId="1" xfId="0" applyNumberFormat="1" applyBorder="1"/>
    <xf numFmtId="165" fontId="0" fillId="0" borderId="0" xfId="0" applyNumberFormat="1"/>
    <xf numFmtId="0" fontId="0" fillId="0" borderId="1" xfId="0" applyBorder="1" applyAlignment="1">
      <alignment horizontal="left"/>
    </xf>
    <xf numFmtId="164" fontId="0" fillId="0" borderId="1" xfId="1" applyNumberFormat="1" applyFont="1" applyBorder="1" applyAlignment="1">
      <alignment horizontal="left"/>
    </xf>
    <xf numFmtId="165" fontId="5" fillId="0" borderId="1" xfId="2" applyNumberFormat="1" applyFont="1" applyFill="1" applyBorder="1"/>
    <xf numFmtId="165" fontId="0" fillId="0" borderId="1" xfId="2" applyNumberFormat="1" applyFont="1" applyBorder="1" applyAlignment="1">
      <alignment horizontal="left"/>
    </xf>
    <xf numFmtId="165" fontId="6" fillId="0" borderId="1" xfId="2" applyNumberFormat="1" applyFont="1" applyBorder="1"/>
    <xf numFmtId="165" fontId="4" fillId="0" borderId="1" xfId="2" applyNumberFormat="1" applyFont="1" applyFill="1" applyBorder="1"/>
    <xf numFmtId="3" fontId="4" fillId="0" borderId="1" xfId="0" applyNumberFormat="1" applyFont="1" applyBorder="1"/>
    <xf numFmtId="164" fontId="4" fillId="0" borderId="1" xfId="1" applyNumberFormat="1" applyFont="1" applyFill="1" applyBorder="1"/>
    <xf numFmtId="43" fontId="5" fillId="0" borderId="2" xfId="0" applyNumberFormat="1" applyFont="1" applyBorder="1" applyAlignment="1">
      <alignment horizontal="center"/>
    </xf>
    <xf numFmtId="43" fontId="5" fillId="0" borderId="3" xfId="0" applyNumberFormat="1" applyFont="1" applyBorder="1" applyAlignment="1">
      <alignment horizontal="center"/>
    </xf>
    <xf numFmtId="43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8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44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4" fontId="4" fillId="0" borderId="12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43" fontId="5" fillId="0" borderId="5" xfId="0" applyNumberFormat="1" applyFont="1" applyBorder="1" applyAlignment="1">
      <alignment horizontal="center"/>
    </xf>
    <xf numFmtId="43" fontId="5" fillId="0" borderId="6" xfId="0" applyNumberFormat="1" applyFont="1" applyBorder="1" applyAlignment="1">
      <alignment horizontal="center"/>
    </xf>
    <xf numFmtId="43" fontId="5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9C2A0-8EF9-42EF-9DD9-B36ABC9CA835}">
  <sheetPr>
    <pageSetUpPr fitToPage="1"/>
  </sheetPr>
  <dimension ref="A2:O63"/>
  <sheetViews>
    <sheetView topLeftCell="A17" workbookViewId="0">
      <selection activeCell="H38" sqref="H38"/>
    </sheetView>
  </sheetViews>
  <sheetFormatPr defaultColWidth="9.140625" defaultRowHeight="12.75" x14ac:dyDescent="0.2"/>
  <cols>
    <col min="1" max="1" width="30.28515625" style="34" customWidth="1"/>
    <col min="2" max="2" width="13.5703125" style="34" customWidth="1"/>
    <col min="3" max="8" width="8.5703125" style="34" bestFit="1" customWidth="1"/>
    <col min="9" max="16384" width="9.140625" style="1"/>
  </cols>
  <sheetData>
    <row r="2" spans="1:8" x14ac:dyDescent="0.2">
      <c r="A2" s="74" t="s">
        <v>32</v>
      </c>
      <c r="B2" s="75"/>
      <c r="C2" s="75"/>
      <c r="D2" s="75"/>
      <c r="E2" s="75"/>
      <c r="F2" s="75"/>
      <c r="G2" s="75"/>
      <c r="H2" s="76"/>
    </row>
    <row r="3" spans="1:8" x14ac:dyDescent="0.2">
      <c r="A3" s="79" t="s">
        <v>24</v>
      </c>
      <c r="B3" s="80"/>
      <c r="C3" s="80"/>
      <c r="D3" s="80"/>
      <c r="E3" s="80"/>
      <c r="F3" s="80"/>
      <c r="G3" s="80"/>
      <c r="H3" s="81"/>
    </row>
    <row r="4" spans="1:8" x14ac:dyDescent="0.2">
      <c r="A4" s="68" t="s">
        <v>21</v>
      </c>
      <c r="B4" s="69"/>
      <c r="C4" s="69"/>
      <c r="D4" s="69"/>
      <c r="E4" s="69"/>
      <c r="F4" s="69"/>
      <c r="G4" s="69"/>
      <c r="H4" s="70"/>
    </row>
    <row r="5" spans="1:8" x14ac:dyDescent="0.2">
      <c r="A5" s="13"/>
      <c r="B5" s="14"/>
      <c r="C5" s="71" t="s">
        <v>0</v>
      </c>
      <c r="D5" s="72"/>
      <c r="E5" s="72"/>
      <c r="F5" s="72"/>
      <c r="G5" s="72"/>
      <c r="H5" s="73"/>
    </row>
    <row r="6" spans="1:8" x14ac:dyDescent="0.2">
      <c r="A6" s="15"/>
      <c r="B6" s="16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6</v>
      </c>
    </row>
    <row r="7" spans="1:8" x14ac:dyDescent="0.2">
      <c r="A7" s="77" t="s">
        <v>27</v>
      </c>
      <c r="B7" s="78"/>
      <c r="C7" s="18">
        <v>19278.789000000001</v>
      </c>
      <c r="D7" s="18">
        <f>+C7</f>
        <v>19278.789000000001</v>
      </c>
      <c r="E7" s="18">
        <f t="shared" ref="E7:H7" si="0">+D7</f>
        <v>19278.789000000001</v>
      </c>
      <c r="F7" s="18">
        <f t="shared" si="0"/>
        <v>19278.789000000001</v>
      </c>
      <c r="G7" s="18">
        <f t="shared" si="0"/>
        <v>19278.789000000001</v>
      </c>
      <c r="H7" s="18">
        <f t="shared" si="0"/>
        <v>19278.789000000001</v>
      </c>
    </row>
    <row r="8" spans="1:8" x14ac:dyDescent="0.2">
      <c r="A8" s="19" t="s">
        <v>22</v>
      </c>
      <c r="B8" s="20"/>
      <c r="C8" s="21">
        <f>34573105/1000-C7-121611/1000</f>
        <v>15172.705000000002</v>
      </c>
      <c r="D8" s="21">
        <f>+C8</f>
        <v>15172.705000000002</v>
      </c>
      <c r="E8" s="21">
        <f t="shared" ref="E8:H8" si="1">+D8</f>
        <v>15172.705000000002</v>
      </c>
      <c r="F8" s="21">
        <f t="shared" si="1"/>
        <v>15172.705000000002</v>
      </c>
      <c r="G8" s="21">
        <f t="shared" si="1"/>
        <v>15172.705000000002</v>
      </c>
      <c r="H8" s="21">
        <f t="shared" si="1"/>
        <v>15172.705000000002</v>
      </c>
    </row>
    <row r="9" spans="1:8" x14ac:dyDescent="0.2">
      <c r="A9" s="19" t="s">
        <v>23</v>
      </c>
      <c r="B9" s="20"/>
      <c r="C9" s="21">
        <v>6074.3249999999998</v>
      </c>
      <c r="D9" s="21">
        <f>+C9</f>
        <v>6074.3249999999998</v>
      </c>
      <c r="E9" s="21">
        <f t="shared" ref="E9:H9" si="2">+D9</f>
        <v>6074.3249999999998</v>
      </c>
      <c r="F9" s="21">
        <f t="shared" si="2"/>
        <v>6074.3249999999998</v>
      </c>
      <c r="G9" s="21">
        <f t="shared" si="2"/>
        <v>6074.3249999999998</v>
      </c>
      <c r="H9" s="21">
        <f t="shared" si="2"/>
        <v>6074.3249999999998</v>
      </c>
    </row>
    <row r="10" spans="1:8" x14ac:dyDescent="0.2">
      <c r="A10" s="19" t="s">
        <v>25</v>
      </c>
      <c r="B10" s="20"/>
      <c r="C10" s="21">
        <v>700.44200000000001</v>
      </c>
      <c r="D10" s="21">
        <f>+C10</f>
        <v>700.44200000000001</v>
      </c>
      <c r="E10" s="21">
        <f t="shared" ref="E10:H11" si="3">+D10</f>
        <v>700.44200000000001</v>
      </c>
      <c r="F10" s="21">
        <f t="shared" si="3"/>
        <v>700.44200000000001</v>
      </c>
      <c r="G10" s="21">
        <f t="shared" si="3"/>
        <v>700.44200000000001</v>
      </c>
      <c r="H10" s="21">
        <f t="shared" si="3"/>
        <v>700.44200000000001</v>
      </c>
    </row>
    <row r="11" spans="1:8" x14ac:dyDescent="0.2">
      <c r="A11" s="19" t="s">
        <v>26</v>
      </c>
      <c r="B11" s="20"/>
      <c r="C11" s="21"/>
      <c r="D11" s="21">
        <v>-562.01599999999996</v>
      </c>
      <c r="E11" s="21">
        <f t="shared" si="3"/>
        <v>-562.01599999999996</v>
      </c>
      <c r="F11" s="21">
        <v>0</v>
      </c>
      <c r="G11" s="21">
        <f>+E11</f>
        <v>-562.01599999999996</v>
      </c>
      <c r="H11" s="21">
        <f t="shared" si="3"/>
        <v>-562.01599999999996</v>
      </c>
    </row>
    <row r="12" spans="1:8" x14ac:dyDescent="0.2">
      <c r="A12" s="22" t="s">
        <v>9</v>
      </c>
      <c r="B12" s="23"/>
      <c r="C12" s="24">
        <f>SUM(C7:C11)</f>
        <v>41226.261000000006</v>
      </c>
      <c r="D12" s="24">
        <f t="shared" ref="D12:H12" si="4">SUM(D7:D11)</f>
        <v>40664.245000000003</v>
      </c>
      <c r="E12" s="24">
        <f t="shared" si="4"/>
        <v>40664.245000000003</v>
      </c>
      <c r="F12" s="24">
        <f t="shared" si="4"/>
        <v>41226.261000000006</v>
      </c>
      <c r="G12" s="24">
        <f t="shared" si="4"/>
        <v>40664.245000000003</v>
      </c>
      <c r="H12" s="24">
        <f t="shared" si="4"/>
        <v>40664.245000000003</v>
      </c>
    </row>
    <row r="13" spans="1:8" x14ac:dyDescent="0.2">
      <c r="A13" s="25"/>
      <c r="B13" s="25"/>
      <c r="C13" s="26"/>
      <c r="D13" s="26"/>
      <c r="E13" s="26"/>
      <c r="F13" s="26"/>
      <c r="G13" s="26"/>
      <c r="H13" s="26"/>
    </row>
    <row r="14" spans="1:8" x14ac:dyDescent="0.2">
      <c r="A14" s="74" t="s">
        <v>41</v>
      </c>
      <c r="B14" s="75"/>
      <c r="C14" s="75"/>
      <c r="D14" s="75"/>
      <c r="E14" s="75"/>
      <c r="F14" s="75"/>
      <c r="G14" s="75"/>
      <c r="H14" s="76"/>
    </row>
    <row r="15" spans="1:8" x14ac:dyDescent="0.2">
      <c r="A15" s="79" t="s">
        <v>33</v>
      </c>
      <c r="B15" s="80"/>
      <c r="C15" s="80"/>
      <c r="D15" s="80"/>
      <c r="E15" s="80"/>
      <c r="F15" s="80"/>
      <c r="G15" s="80"/>
      <c r="H15" s="81"/>
    </row>
    <row r="16" spans="1:8" x14ac:dyDescent="0.2">
      <c r="A16" s="68" t="s">
        <v>7</v>
      </c>
      <c r="B16" s="69"/>
      <c r="C16" s="69"/>
      <c r="D16" s="69"/>
      <c r="E16" s="69"/>
      <c r="F16" s="69"/>
      <c r="G16" s="69"/>
      <c r="H16" s="70"/>
    </row>
    <row r="17" spans="1:12" x14ac:dyDescent="0.2">
      <c r="A17" s="27"/>
      <c r="B17" s="28"/>
      <c r="C17" s="68" t="s">
        <v>0</v>
      </c>
      <c r="D17" s="69"/>
      <c r="E17" s="69"/>
      <c r="F17" s="69"/>
      <c r="G17" s="69"/>
      <c r="H17" s="70"/>
    </row>
    <row r="18" spans="1:12" x14ac:dyDescent="0.2">
      <c r="A18" s="15"/>
      <c r="B18" s="16"/>
      <c r="C18" s="17">
        <v>1</v>
      </c>
      <c r="D18" s="17">
        <v>2</v>
      </c>
      <c r="E18" s="17">
        <v>3</v>
      </c>
      <c r="F18" s="17">
        <v>4</v>
      </c>
      <c r="G18" s="17">
        <v>5</v>
      </c>
      <c r="H18" s="17">
        <v>6</v>
      </c>
    </row>
    <row r="19" spans="1:12" x14ac:dyDescent="0.2">
      <c r="A19" s="29" t="s">
        <v>1</v>
      </c>
      <c r="B19" s="30"/>
      <c r="C19" s="18">
        <v>983</v>
      </c>
      <c r="D19" s="18">
        <v>969.03300000000002</v>
      </c>
      <c r="E19" s="18">
        <v>1318</v>
      </c>
      <c r="F19" s="18">
        <v>1024</v>
      </c>
      <c r="G19" s="18">
        <v>1009</v>
      </c>
      <c r="H19" s="18">
        <v>1385</v>
      </c>
    </row>
    <row r="20" spans="1:12" x14ac:dyDescent="0.2">
      <c r="A20" s="19" t="s">
        <v>2</v>
      </c>
      <c r="B20" s="20"/>
      <c r="C20" s="21">
        <v>1448</v>
      </c>
      <c r="D20" s="21">
        <v>1427.673</v>
      </c>
      <c r="E20" s="21">
        <v>657</v>
      </c>
      <c r="F20" s="21">
        <v>1509</v>
      </c>
      <c r="G20" s="21">
        <v>1487</v>
      </c>
      <c r="H20" s="21">
        <v>657</v>
      </c>
    </row>
    <row r="21" spans="1:12" x14ac:dyDescent="0.2">
      <c r="A21" s="22" t="s">
        <v>3</v>
      </c>
      <c r="B21" s="31"/>
      <c r="C21" s="32">
        <f>SUM(C19:C20)</f>
        <v>2431</v>
      </c>
      <c r="D21" s="33">
        <f t="shared" ref="D21:H21" si="5">SUM(D19:D20)</f>
        <v>2396.7060000000001</v>
      </c>
      <c r="E21" s="32">
        <f t="shared" si="5"/>
        <v>1975</v>
      </c>
      <c r="F21" s="32">
        <f t="shared" si="5"/>
        <v>2533</v>
      </c>
      <c r="G21" s="32">
        <f t="shared" si="5"/>
        <v>2496</v>
      </c>
      <c r="H21" s="32">
        <f t="shared" si="5"/>
        <v>2042</v>
      </c>
    </row>
    <row r="22" spans="1:12" x14ac:dyDescent="0.2">
      <c r="A22" s="19" t="s">
        <v>4</v>
      </c>
      <c r="B22" s="20"/>
      <c r="C22" s="21">
        <v>507.2037952478438</v>
      </c>
      <c r="D22" s="21">
        <v>507.2037952478438</v>
      </c>
      <c r="E22" s="21">
        <v>507.2037952478438</v>
      </c>
      <c r="F22" s="21">
        <v>507.2037952478438</v>
      </c>
      <c r="G22" s="21">
        <v>507.2037952478438</v>
      </c>
      <c r="H22" s="21">
        <v>507.2037952478438</v>
      </c>
    </row>
    <row r="23" spans="1:12" x14ac:dyDescent="0.2">
      <c r="A23" s="19" t="s">
        <v>5</v>
      </c>
      <c r="B23" s="20"/>
      <c r="C23" s="21">
        <v>2926.3296000000005</v>
      </c>
      <c r="D23" s="21">
        <v>2851.3941333333332</v>
      </c>
      <c r="E23" s="21">
        <v>2851.3941333333332</v>
      </c>
      <c r="F23" s="21">
        <v>1463.1648000000002</v>
      </c>
      <c r="G23" s="21">
        <v>1425.6970666666666</v>
      </c>
      <c r="H23" s="21">
        <v>1425.6970666666666</v>
      </c>
    </row>
    <row r="24" spans="1:12" x14ac:dyDescent="0.2">
      <c r="A24" s="19" t="s">
        <v>6</v>
      </c>
      <c r="B24" s="20"/>
      <c r="C24" s="21">
        <v>620.57142857142856</v>
      </c>
      <c r="D24" s="21">
        <v>611.85985714285721</v>
      </c>
      <c r="E24" s="21">
        <v>281.5714285714285</v>
      </c>
      <c r="F24" s="21">
        <v>646.71428571428555</v>
      </c>
      <c r="G24" s="21">
        <v>637.28571428571422</v>
      </c>
      <c r="H24" s="21">
        <v>281.37142857142851</v>
      </c>
    </row>
    <row r="25" spans="1:12" x14ac:dyDescent="0.2">
      <c r="A25" s="22" t="s">
        <v>9</v>
      </c>
      <c r="B25" s="23"/>
      <c r="C25" s="24">
        <f>SUM(C21:C24)</f>
        <v>6485.1048238192734</v>
      </c>
      <c r="D25" s="24">
        <f>SUM(D21:D24)-0.51</f>
        <v>6366.6537857240346</v>
      </c>
      <c r="E25" s="59">
        <f>SUM(E21:E24)-0.3</f>
        <v>5614.8693571526055</v>
      </c>
      <c r="F25" s="24">
        <f>SUM(F21:F24)-0.1</f>
        <v>5149.9828809621295</v>
      </c>
      <c r="G25" s="24">
        <f t="shared" ref="G25" si="6">SUM(G21:G24)</f>
        <v>5066.1865762002253</v>
      </c>
      <c r="H25" s="59">
        <f>SUM(H21:H24)</f>
        <v>4256.2722904859393</v>
      </c>
    </row>
    <row r="26" spans="1:12" x14ac:dyDescent="0.2">
      <c r="L26" s="10"/>
    </row>
    <row r="27" spans="1:12" x14ac:dyDescent="0.2">
      <c r="A27" s="74" t="s">
        <v>42</v>
      </c>
      <c r="B27" s="75"/>
      <c r="C27" s="75"/>
      <c r="D27" s="75"/>
      <c r="E27" s="75"/>
      <c r="F27" s="75"/>
      <c r="G27" s="75"/>
      <c r="H27" s="76"/>
    </row>
    <row r="28" spans="1:12" x14ac:dyDescent="0.2">
      <c r="A28" s="79" t="s">
        <v>12</v>
      </c>
      <c r="B28" s="80"/>
      <c r="C28" s="80"/>
      <c r="D28" s="80"/>
      <c r="E28" s="80"/>
      <c r="F28" s="80"/>
      <c r="G28" s="80"/>
      <c r="H28" s="81"/>
    </row>
    <row r="29" spans="1:12" x14ac:dyDescent="0.2">
      <c r="A29" s="68" t="s">
        <v>8</v>
      </c>
      <c r="B29" s="69"/>
      <c r="C29" s="69"/>
      <c r="D29" s="69"/>
      <c r="E29" s="69"/>
      <c r="F29" s="69"/>
      <c r="G29" s="69"/>
      <c r="H29" s="70"/>
    </row>
    <row r="30" spans="1:12" ht="15" customHeight="1" x14ac:dyDescent="0.2">
      <c r="A30" s="49"/>
      <c r="B30" s="86" t="s">
        <v>18</v>
      </c>
      <c r="C30" s="68" t="s">
        <v>0</v>
      </c>
      <c r="D30" s="69"/>
      <c r="E30" s="69"/>
      <c r="F30" s="69"/>
      <c r="G30" s="69"/>
      <c r="H30" s="70"/>
    </row>
    <row r="31" spans="1:12" x14ac:dyDescent="0.2">
      <c r="A31" s="53"/>
      <c r="B31" s="87"/>
      <c r="C31" s="35">
        <f>C18</f>
        <v>1</v>
      </c>
      <c r="D31" s="35">
        <f t="shared" ref="D31:H31" si="7">D18</f>
        <v>2</v>
      </c>
      <c r="E31" s="35">
        <f t="shared" si="7"/>
        <v>3</v>
      </c>
      <c r="F31" s="35">
        <f t="shared" si="7"/>
        <v>4</v>
      </c>
      <c r="G31" s="35">
        <f t="shared" si="7"/>
        <v>5</v>
      </c>
      <c r="H31" s="35">
        <f t="shared" si="7"/>
        <v>6</v>
      </c>
    </row>
    <row r="32" spans="1:12" x14ac:dyDescent="0.2">
      <c r="A32" s="36" t="s">
        <v>54</v>
      </c>
      <c r="B32" s="21">
        <v>500105.52003035421</v>
      </c>
      <c r="C32" s="62">
        <v>3774</v>
      </c>
      <c r="D32" s="62">
        <v>3685.0648414441935</v>
      </c>
      <c r="E32" s="62">
        <v>3251.4026931184067</v>
      </c>
      <c r="F32" s="62">
        <v>2982.948487602941</v>
      </c>
      <c r="G32" s="62">
        <v>2937.2435805681321</v>
      </c>
      <c r="H32" s="63">
        <v>2439</v>
      </c>
    </row>
    <row r="33" spans="1:15" x14ac:dyDescent="0.2">
      <c r="A33" s="36" t="s">
        <v>55</v>
      </c>
      <c r="B33" s="21">
        <v>263461.44760786492</v>
      </c>
      <c r="C33" s="64">
        <v>1896.8632457176393</v>
      </c>
      <c r="D33" s="64">
        <v>1867.0962894840461</v>
      </c>
      <c r="E33" s="64">
        <v>1650.7795547149994</v>
      </c>
      <c r="F33" s="64">
        <v>1503.0409390148343</v>
      </c>
      <c r="G33" s="64">
        <v>1482.2976769455975</v>
      </c>
      <c r="H33" s="63">
        <v>1258.280126422798</v>
      </c>
    </row>
    <row r="34" spans="1:15" x14ac:dyDescent="0.2">
      <c r="A34" s="36" t="s">
        <v>53</v>
      </c>
      <c r="B34" s="21">
        <v>104364.1522</v>
      </c>
      <c r="C34" s="64">
        <v>379</v>
      </c>
      <c r="D34" s="64">
        <v>382</v>
      </c>
      <c r="E34" s="64">
        <v>336.6045210115289</v>
      </c>
      <c r="F34" s="64">
        <v>314</v>
      </c>
      <c r="G34" s="64">
        <v>303.51494053006581</v>
      </c>
      <c r="H34" s="63">
        <v>267</v>
      </c>
    </row>
    <row r="35" spans="1:15" x14ac:dyDescent="0.2">
      <c r="A35" s="36" t="s">
        <v>56</v>
      </c>
      <c r="B35" s="21">
        <v>61638.215606538157</v>
      </c>
      <c r="C35" s="64">
        <v>356</v>
      </c>
      <c r="D35" s="64">
        <v>355</v>
      </c>
      <c r="E35" s="64">
        <v>308.25687127004971</v>
      </c>
      <c r="F35" s="64">
        <v>287</v>
      </c>
      <c r="G35" s="64">
        <v>281.37545655460565</v>
      </c>
      <c r="H35" s="63">
        <v>240</v>
      </c>
    </row>
    <row r="36" spans="1:15" x14ac:dyDescent="0.2">
      <c r="A36" s="36" t="s">
        <v>57</v>
      </c>
      <c r="B36" s="21">
        <v>2158.4059230230032</v>
      </c>
      <c r="C36" s="64">
        <v>64.449420924167953</v>
      </c>
      <c r="D36" s="64">
        <v>62.684978492497279</v>
      </c>
      <c r="E36" s="64">
        <v>55.026501106110658</v>
      </c>
      <c r="F36" s="64">
        <v>50.743069643544146</v>
      </c>
      <c r="G36" s="64">
        <v>49.829018772618454</v>
      </c>
      <c r="H36" s="63">
        <v>42.00833098822293</v>
      </c>
    </row>
    <row r="37" spans="1:15" x14ac:dyDescent="0.2">
      <c r="A37" s="36" t="s">
        <v>58</v>
      </c>
      <c r="B37" s="21">
        <v>1650.7001617638534</v>
      </c>
      <c r="C37" s="64">
        <v>14.994033189763471</v>
      </c>
      <c r="D37" s="64">
        <v>14.71124222485861</v>
      </c>
      <c r="E37" s="64">
        <v>12.929858778862837</v>
      </c>
      <c r="F37" s="64">
        <v>11.883600097463235</v>
      </c>
      <c r="G37" s="64">
        <v>11.739326628967129</v>
      </c>
      <c r="H37" s="63">
        <v>9.9199878577386471</v>
      </c>
    </row>
    <row r="38" spans="1:15" x14ac:dyDescent="0.2">
      <c r="A38" s="37" t="str">
        <f>A25</f>
        <v>TOTAL</v>
      </c>
      <c r="B38" s="32">
        <f t="shared" ref="B38:H38" si="8">SUM(B32:B37)</f>
        <v>933378.44152954407</v>
      </c>
      <c r="C38" s="24">
        <f t="shared" si="8"/>
        <v>6485.3066998315699</v>
      </c>
      <c r="D38" s="24">
        <f t="shared" si="8"/>
        <v>6366.5573516455952</v>
      </c>
      <c r="E38" s="24">
        <f t="shared" si="8"/>
        <v>5614.9999999999582</v>
      </c>
      <c r="F38" s="24">
        <f t="shared" si="8"/>
        <v>5149.6160963587827</v>
      </c>
      <c r="G38" s="24">
        <f>SUM(G32:G37)</f>
        <v>5065.9999999999882</v>
      </c>
      <c r="H38" s="24">
        <f t="shared" si="8"/>
        <v>4256.2084452687595</v>
      </c>
      <c r="J38" s="9"/>
      <c r="K38" s="9"/>
      <c r="L38" s="9"/>
      <c r="M38" s="9"/>
      <c r="N38" s="9"/>
      <c r="O38" s="9"/>
    </row>
    <row r="39" spans="1:15" x14ac:dyDescent="0.2">
      <c r="A39" s="15" t="s">
        <v>19</v>
      </c>
      <c r="B39" s="54"/>
      <c r="C39" s="54"/>
      <c r="D39" s="54"/>
      <c r="E39" s="54"/>
      <c r="F39" s="54"/>
      <c r="G39" s="54"/>
      <c r="H39" s="16"/>
    </row>
    <row r="41" spans="1:15" x14ac:dyDescent="0.2">
      <c r="A41" s="74" t="s">
        <v>43</v>
      </c>
      <c r="B41" s="75"/>
      <c r="C41" s="75"/>
      <c r="D41" s="75"/>
      <c r="E41" s="75"/>
      <c r="F41" s="75"/>
      <c r="G41" s="75"/>
      <c r="H41" s="76"/>
    </row>
    <row r="42" spans="1:15" x14ac:dyDescent="0.2">
      <c r="A42" s="68" t="s">
        <v>13</v>
      </c>
      <c r="B42" s="69"/>
      <c r="C42" s="69"/>
      <c r="D42" s="69"/>
      <c r="E42" s="69"/>
      <c r="F42" s="69"/>
      <c r="G42" s="69"/>
      <c r="H42" s="70"/>
    </row>
    <row r="43" spans="1:15" x14ac:dyDescent="0.2">
      <c r="A43" s="51"/>
      <c r="B43" s="50" t="s">
        <v>10</v>
      </c>
      <c r="C43" s="68" t="s">
        <v>28</v>
      </c>
      <c r="D43" s="69"/>
      <c r="E43" s="69"/>
      <c r="F43" s="69"/>
      <c r="G43" s="69"/>
      <c r="H43" s="70"/>
    </row>
    <row r="44" spans="1:15" x14ac:dyDescent="0.2">
      <c r="A44" s="38"/>
      <c r="B44" s="39" t="s">
        <v>11</v>
      </c>
      <c r="C44" s="17">
        <f>C31</f>
        <v>1</v>
      </c>
      <c r="D44" s="17">
        <f t="shared" ref="D44:H44" si="9">D31</f>
        <v>2</v>
      </c>
      <c r="E44" s="17">
        <f t="shared" si="9"/>
        <v>3</v>
      </c>
      <c r="F44" s="17">
        <f t="shared" si="9"/>
        <v>4</v>
      </c>
      <c r="G44" s="17">
        <f t="shared" si="9"/>
        <v>5</v>
      </c>
      <c r="H44" s="17">
        <f t="shared" si="9"/>
        <v>6</v>
      </c>
    </row>
    <row r="45" spans="1:15" x14ac:dyDescent="0.2">
      <c r="A45" s="40" t="s">
        <v>47</v>
      </c>
      <c r="B45" s="41">
        <v>0.1663</v>
      </c>
      <c r="C45" s="36">
        <v>0.17330000000000001</v>
      </c>
      <c r="D45" s="42">
        <v>0.1731</v>
      </c>
      <c r="E45" s="43">
        <v>0.17230000000000001</v>
      </c>
      <c r="F45" s="36">
        <v>0.17180000000000001</v>
      </c>
      <c r="G45" s="43">
        <v>0.17169999999999999</v>
      </c>
      <c r="H45" s="43">
        <v>0.17080000000000001</v>
      </c>
    </row>
    <row r="46" spans="1:15" x14ac:dyDescent="0.2">
      <c r="A46" s="40" t="s">
        <v>48</v>
      </c>
      <c r="B46" s="41">
        <v>0.13150000000000001</v>
      </c>
      <c r="C46" s="42">
        <v>0.1371</v>
      </c>
      <c r="D46" s="42">
        <v>0.13690000000000002</v>
      </c>
      <c r="E46" s="43">
        <v>0.1363</v>
      </c>
      <c r="F46" s="36">
        <v>0.13589999999999999</v>
      </c>
      <c r="G46" s="43">
        <v>0.1358</v>
      </c>
      <c r="H46" s="43">
        <v>0.1351</v>
      </c>
    </row>
    <row r="47" spans="1:15" x14ac:dyDescent="0.2">
      <c r="A47" s="40" t="s">
        <v>49</v>
      </c>
      <c r="B47" s="41">
        <v>0.20530000000000001</v>
      </c>
      <c r="C47" s="36">
        <v>0.21390000000000001</v>
      </c>
      <c r="D47" s="42">
        <v>0.2137</v>
      </c>
      <c r="E47" s="43">
        <v>0.2127</v>
      </c>
      <c r="F47" s="42">
        <v>0.21210000000000001</v>
      </c>
      <c r="G47" s="43">
        <v>0.21190000000000001</v>
      </c>
      <c r="H47" s="43">
        <v>0.2109</v>
      </c>
    </row>
    <row r="48" spans="1:15" x14ac:dyDescent="0.2">
      <c r="A48" s="40" t="s">
        <v>50</v>
      </c>
      <c r="B48" s="41">
        <v>0.13289999999999999</v>
      </c>
      <c r="C48" s="36">
        <v>0.13840000000000002</v>
      </c>
      <c r="D48" s="42">
        <v>0.13830000000000001</v>
      </c>
      <c r="E48" s="43">
        <v>0.13769999999999999</v>
      </c>
      <c r="F48" s="36">
        <v>0.13720000000000002</v>
      </c>
      <c r="G48" s="43">
        <v>0.13720000000000002</v>
      </c>
      <c r="H48" s="43">
        <v>0.1366</v>
      </c>
    </row>
    <row r="49" spans="1:8" x14ac:dyDescent="0.2">
      <c r="A49" s="40" t="s">
        <v>51</v>
      </c>
      <c r="B49" s="41">
        <v>0.2009</v>
      </c>
      <c r="C49" s="36">
        <v>0.20920000000000002</v>
      </c>
      <c r="D49" s="42">
        <v>0.20910000000000001</v>
      </c>
      <c r="E49" s="43">
        <v>0.20810000000000001</v>
      </c>
      <c r="F49" s="36">
        <v>0.20749999999999999</v>
      </c>
      <c r="G49" s="43">
        <v>0.2074</v>
      </c>
      <c r="H49" s="43">
        <v>0.20649999999999999</v>
      </c>
    </row>
    <row r="50" spans="1:8" x14ac:dyDescent="0.2">
      <c r="A50" s="40" t="s">
        <v>52</v>
      </c>
      <c r="B50" s="41">
        <v>9.9500000000000005E-2</v>
      </c>
      <c r="C50" s="36">
        <v>0.1036</v>
      </c>
      <c r="D50" s="42">
        <v>0.1036</v>
      </c>
      <c r="E50" s="43">
        <v>0.10299999999999999</v>
      </c>
      <c r="F50" s="36">
        <v>0.1028</v>
      </c>
      <c r="G50" s="43">
        <v>0.1027</v>
      </c>
      <c r="H50" s="43">
        <v>0.1022</v>
      </c>
    </row>
    <row r="51" spans="1:8" x14ac:dyDescent="0.2">
      <c r="A51" s="40" t="s">
        <v>53</v>
      </c>
      <c r="B51" s="41">
        <v>8.3000000000000004E-2</v>
      </c>
      <c r="C51" s="36">
        <v>8.6399999999999991E-2</v>
      </c>
      <c r="D51" s="42">
        <v>8.6400000000000005E-2</v>
      </c>
      <c r="E51" s="43">
        <v>8.5999999999999993E-2</v>
      </c>
      <c r="F51" s="36">
        <v>8.5800000000000001E-2</v>
      </c>
      <c r="G51" s="43">
        <v>8.5699999999999998E-2</v>
      </c>
      <c r="H51" s="43">
        <v>8.5400000000000004E-2</v>
      </c>
    </row>
    <row r="52" spans="1:8" x14ac:dyDescent="0.2">
      <c r="A52" s="5" t="s">
        <v>17</v>
      </c>
    </row>
    <row r="53" spans="1:8" x14ac:dyDescent="0.2">
      <c r="A53" s="5"/>
    </row>
    <row r="54" spans="1:8" x14ac:dyDescent="0.2">
      <c r="A54" s="65" t="s">
        <v>44</v>
      </c>
      <c r="B54" s="66"/>
      <c r="C54" s="66"/>
      <c r="D54" s="66"/>
      <c r="E54" s="66"/>
      <c r="F54" s="66"/>
      <c r="G54" s="66"/>
      <c r="H54" s="67"/>
    </row>
    <row r="55" spans="1:8" x14ac:dyDescent="0.2">
      <c r="A55" s="92" t="s">
        <v>34</v>
      </c>
      <c r="B55" s="93"/>
      <c r="C55" s="93"/>
      <c r="D55" s="93"/>
      <c r="E55" s="93"/>
      <c r="F55" s="93"/>
      <c r="G55" s="93"/>
      <c r="H55" s="94"/>
    </row>
    <row r="56" spans="1:8" ht="15" customHeight="1" x14ac:dyDescent="0.2">
      <c r="A56" s="52"/>
      <c r="B56" s="27" t="s">
        <v>35</v>
      </c>
      <c r="C56" s="88">
        <f t="shared" ref="C56:H56" si="10">C44</f>
        <v>1</v>
      </c>
      <c r="D56" s="88">
        <f t="shared" si="10"/>
        <v>2</v>
      </c>
      <c r="E56" s="88">
        <f t="shared" si="10"/>
        <v>3</v>
      </c>
      <c r="F56" s="88">
        <f t="shared" si="10"/>
        <v>4</v>
      </c>
      <c r="G56" s="88">
        <f t="shared" si="10"/>
        <v>5</v>
      </c>
      <c r="H56" s="88">
        <f t="shared" si="10"/>
        <v>6</v>
      </c>
    </row>
    <row r="57" spans="1:8" x14ac:dyDescent="0.2">
      <c r="A57" s="44"/>
      <c r="B57" s="45" t="str">
        <f>B44</f>
        <v>March 1, 2025</v>
      </c>
      <c r="C57" s="85"/>
      <c r="D57" s="85"/>
      <c r="E57" s="85"/>
      <c r="F57" s="85"/>
      <c r="G57" s="85"/>
      <c r="H57" s="85"/>
    </row>
    <row r="58" spans="1:8" x14ac:dyDescent="0.2">
      <c r="A58" s="89" t="s">
        <v>14</v>
      </c>
      <c r="B58" s="90">
        <v>2390.16</v>
      </c>
      <c r="C58" s="46">
        <f>(C45-$B45)*1000*12</f>
        <v>84.000000000000071</v>
      </c>
      <c r="D58" s="46">
        <f t="shared" ref="D58:G58" si="11">(D45-$B45)*1000*12</f>
        <v>81.600000000000009</v>
      </c>
      <c r="E58" s="46">
        <f t="shared" si="11"/>
        <v>72.000000000000057</v>
      </c>
      <c r="F58" s="46">
        <f t="shared" si="11"/>
        <v>66.000000000000057</v>
      </c>
      <c r="G58" s="46">
        <f t="shared" si="11"/>
        <v>64.799999999999855</v>
      </c>
      <c r="H58" s="46">
        <f>(H45-$B45)*1000*12</f>
        <v>54.000000000000043</v>
      </c>
    </row>
    <row r="59" spans="1:8" x14ac:dyDescent="0.2">
      <c r="A59" s="89"/>
      <c r="B59" s="91"/>
      <c r="C59" s="47">
        <f>C58/$B$58</f>
        <v>3.514409077216591E-2</v>
      </c>
      <c r="D59" s="47">
        <f t="shared" ref="D59:H59" si="12">D58/$B$58</f>
        <v>3.4139973892961147E-2</v>
      </c>
      <c r="E59" s="47">
        <f t="shared" si="12"/>
        <v>3.0123506376142209E-2</v>
      </c>
      <c r="F59" s="47">
        <f t="shared" si="12"/>
        <v>2.7613214178130358E-2</v>
      </c>
      <c r="G59" s="47">
        <f t="shared" si="12"/>
        <v>2.7111155738527907E-2</v>
      </c>
      <c r="H59" s="47">
        <f t="shared" si="12"/>
        <v>2.2592629782106657E-2</v>
      </c>
    </row>
    <row r="60" spans="1:8" x14ac:dyDescent="0.2">
      <c r="A60" s="89" t="s">
        <v>15</v>
      </c>
      <c r="B60" s="91">
        <v>2361.96</v>
      </c>
      <c r="C60" s="48">
        <f>(C45-$B45)*1000*12</f>
        <v>84.000000000000071</v>
      </c>
      <c r="D60" s="48">
        <f t="shared" ref="D60:H60" si="13">(D45-$B45)*1000*12</f>
        <v>81.600000000000009</v>
      </c>
      <c r="E60" s="48">
        <f t="shared" si="13"/>
        <v>72.000000000000057</v>
      </c>
      <c r="F60" s="48">
        <f t="shared" si="13"/>
        <v>66.000000000000057</v>
      </c>
      <c r="G60" s="48">
        <f t="shared" si="13"/>
        <v>64.799999999999855</v>
      </c>
      <c r="H60" s="48">
        <f t="shared" si="13"/>
        <v>54.000000000000043</v>
      </c>
    </row>
    <row r="61" spans="1:8" x14ac:dyDescent="0.2">
      <c r="A61" s="89"/>
      <c r="B61" s="91"/>
      <c r="C61" s="47">
        <f>C60/$B$58</f>
        <v>3.514409077216591E-2</v>
      </c>
      <c r="D61" s="47">
        <f t="shared" ref="D61" si="14">D60/$B$58</f>
        <v>3.4139973892961147E-2</v>
      </c>
      <c r="E61" s="47">
        <f t="shared" ref="E61" si="15">E60/$B$58</f>
        <v>3.0123506376142209E-2</v>
      </c>
      <c r="F61" s="47">
        <f t="shared" ref="F61" si="16">F60/$B$58</f>
        <v>2.7613214178130358E-2</v>
      </c>
      <c r="G61" s="47">
        <f t="shared" ref="G61" si="17">G60/$B$58</f>
        <v>2.7111155738527907E-2</v>
      </c>
      <c r="H61" s="47">
        <f t="shared" ref="H61" si="18">H60/$B$58</f>
        <v>2.2592629782106657E-2</v>
      </c>
    </row>
    <row r="62" spans="1:8" x14ac:dyDescent="0.2">
      <c r="A62" s="82" t="s">
        <v>16</v>
      </c>
      <c r="B62" s="84">
        <v>26136.84</v>
      </c>
      <c r="C62" s="48">
        <f>(5000*(C47-$B47)+5000*(C48-$B48))*12</f>
        <v>846.00000000000171</v>
      </c>
      <c r="D62" s="48">
        <f t="shared" ref="D62:H62" si="19">(5000*(D47-$B47)+5000*(D48-$B48))*12</f>
        <v>828.00000000000034</v>
      </c>
      <c r="E62" s="48">
        <f t="shared" si="19"/>
        <v>731.99999999999932</v>
      </c>
      <c r="F62" s="48">
        <f t="shared" si="19"/>
        <v>666.00000000000159</v>
      </c>
      <c r="G62" s="48">
        <f t="shared" si="19"/>
        <v>654.00000000000114</v>
      </c>
      <c r="H62" s="48">
        <f t="shared" si="19"/>
        <v>558.00000000000023</v>
      </c>
    </row>
    <row r="63" spans="1:8" x14ac:dyDescent="0.2">
      <c r="A63" s="83"/>
      <c r="B63" s="85"/>
      <c r="C63" s="47">
        <f>C62/$B62</f>
        <v>3.2368105708264719E-2</v>
      </c>
      <c r="D63" s="47">
        <f t="shared" ref="D63:H63" si="20">D62/$B62</f>
        <v>3.1679422608088828E-2</v>
      </c>
      <c r="E63" s="47">
        <f t="shared" si="20"/>
        <v>2.8006446073817619E-2</v>
      </c>
      <c r="F63" s="47">
        <f t="shared" si="20"/>
        <v>2.5481274706506279E-2</v>
      </c>
      <c r="G63" s="47">
        <f t="shared" si="20"/>
        <v>2.5022152639722368E-2</v>
      </c>
      <c r="H63" s="47">
        <f t="shared" si="20"/>
        <v>2.1349176105451166E-2</v>
      </c>
    </row>
  </sheetData>
  <mergeCells count="31">
    <mergeCell ref="A62:A63"/>
    <mergeCell ref="B62:B63"/>
    <mergeCell ref="B30:B31"/>
    <mergeCell ref="C30:H30"/>
    <mergeCell ref="C56:C57"/>
    <mergeCell ref="D56:D57"/>
    <mergeCell ref="E56:E57"/>
    <mergeCell ref="F56:F57"/>
    <mergeCell ref="G56:G57"/>
    <mergeCell ref="C43:H43"/>
    <mergeCell ref="A58:A59"/>
    <mergeCell ref="B58:B59"/>
    <mergeCell ref="A60:A61"/>
    <mergeCell ref="B60:B61"/>
    <mergeCell ref="H56:H57"/>
    <mergeCell ref="A55:H55"/>
    <mergeCell ref="A54:H54"/>
    <mergeCell ref="A4:H4"/>
    <mergeCell ref="C5:H5"/>
    <mergeCell ref="A2:H2"/>
    <mergeCell ref="A7:B7"/>
    <mergeCell ref="A14:H14"/>
    <mergeCell ref="A3:H3"/>
    <mergeCell ref="A42:H42"/>
    <mergeCell ref="C17:H17"/>
    <mergeCell ref="A16:H16"/>
    <mergeCell ref="A27:H27"/>
    <mergeCell ref="A29:H29"/>
    <mergeCell ref="A15:H15"/>
    <mergeCell ref="A28:H28"/>
    <mergeCell ref="A41:H41"/>
  </mergeCells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4879B-1D99-40EB-A046-10AEF986B669}">
  <dimension ref="A4:K21"/>
  <sheetViews>
    <sheetView tabSelected="1" workbookViewId="0">
      <selection activeCell="G21" sqref="G21"/>
    </sheetView>
  </sheetViews>
  <sheetFormatPr defaultRowHeight="15" x14ac:dyDescent="0.25"/>
  <cols>
    <col min="1" max="1" width="38.85546875" customWidth="1"/>
    <col min="2" max="4" width="11.5703125" bestFit="1" customWidth="1"/>
    <col min="5" max="5" width="11.7109375" bestFit="1" customWidth="1"/>
    <col min="6" max="6" width="8.7109375" customWidth="1"/>
    <col min="7" max="7" width="10.28515625" customWidth="1"/>
    <col min="10" max="10" width="10.5703125" bestFit="1" customWidth="1"/>
    <col min="11" max="11" width="14.28515625" bestFit="1" customWidth="1"/>
    <col min="12" max="12" width="10.5703125" bestFit="1" customWidth="1"/>
    <col min="13" max="13" width="14.28515625" bestFit="1" customWidth="1"/>
    <col min="14" max="15" width="10.5703125" bestFit="1" customWidth="1"/>
  </cols>
  <sheetData>
    <row r="4" spans="1:11" x14ac:dyDescent="0.25">
      <c r="A4" s="104" t="s">
        <v>45</v>
      </c>
      <c r="B4" s="105"/>
      <c r="C4" s="105"/>
      <c r="D4" s="105"/>
      <c r="E4" s="105"/>
      <c r="F4" s="105"/>
      <c r="G4" s="106"/>
    </row>
    <row r="5" spans="1:11" x14ac:dyDescent="0.25">
      <c r="A5" s="98" t="s">
        <v>20</v>
      </c>
      <c r="B5" s="99"/>
      <c r="C5" s="99"/>
      <c r="D5" s="99"/>
      <c r="E5" s="99"/>
      <c r="F5" s="99"/>
      <c r="G5" s="100"/>
    </row>
    <row r="6" spans="1:11" x14ac:dyDescent="0.25">
      <c r="A6" s="107" t="s">
        <v>7</v>
      </c>
      <c r="B6" s="108"/>
      <c r="C6" s="108"/>
      <c r="D6" s="108"/>
      <c r="E6" s="108"/>
      <c r="F6" s="108"/>
      <c r="G6" s="109"/>
      <c r="K6" s="11"/>
    </row>
    <row r="7" spans="1:11" x14ac:dyDescent="0.25">
      <c r="A7" s="2"/>
      <c r="B7" s="95" t="s">
        <v>0</v>
      </c>
      <c r="C7" s="96"/>
      <c r="D7" s="96"/>
      <c r="E7" s="96"/>
      <c r="F7" s="96"/>
      <c r="G7" s="97"/>
    </row>
    <row r="8" spans="1:11" x14ac:dyDescent="0.25">
      <c r="A8" s="3"/>
      <c r="B8" s="4">
        <v>1</v>
      </c>
      <c r="C8" s="4">
        <v>2</v>
      </c>
      <c r="D8" s="4">
        <v>3</v>
      </c>
      <c r="E8" s="4">
        <v>4</v>
      </c>
      <c r="F8" s="4">
        <v>5</v>
      </c>
      <c r="G8" s="4">
        <v>6</v>
      </c>
    </row>
    <row r="9" spans="1:11" x14ac:dyDescent="0.25">
      <c r="A9" s="6" t="str">
        <f>+'26'!A20</f>
        <v>Return on Equity</v>
      </c>
      <c r="B9" s="7">
        <f>+'26'!C20</f>
        <v>1448</v>
      </c>
      <c r="C9" s="7">
        <f>+'26'!D20</f>
        <v>1427.673</v>
      </c>
      <c r="D9" s="7">
        <f>+'26'!E20</f>
        <v>657</v>
      </c>
      <c r="E9" s="7">
        <f>+'26'!F20</f>
        <v>1509</v>
      </c>
      <c r="F9" s="7">
        <f>+'26'!G20</f>
        <v>1487</v>
      </c>
      <c r="G9" s="7">
        <f>+'26'!H20</f>
        <v>657</v>
      </c>
    </row>
    <row r="10" spans="1:11" x14ac:dyDescent="0.25">
      <c r="A10" s="6" t="s">
        <v>29</v>
      </c>
      <c r="B10" s="8">
        <f>+'26'!C11</f>
        <v>0</v>
      </c>
      <c r="C10" s="8">
        <f>+'26'!D11</f>
        <v>-562.01599999999996</v>
      </c>
      <c r="D10" s="8">
        <f>+'26'!E11</f>
        <v>-562.01599999999996</v>
      </c>
      <c r="E10" s="8">
        <f>+'26'!F11</f>
        <v>0</v>
      </c>
      <c r="F10" s="8">
        <f>+'26'!G11</f>
        <v>-562.01599999999996</v>
      </c>
      <c r="G10" s="8">
        <f>+'26'!H11</f>
        <v>-562.01599999999996</v>
      </c>
    </row>
    <row r="11" spans="1:11" x14ac:dyDescent="0.25">
      <c r="A11" s="6" t="s">
        <v>31</v>
      </c>
      <c r="B11" s="8">
        <f>-B10*0.302</f>
        <v>0</v>
      </c>
      <c r="C11" s="8">
        <f>-(C10)*0.302</f>
        <v>169.72883199999998</v>
      </c>
      <c r="D11" s="8">
        <f>-(D10)*0.302</f>
        <v>169.72883199999998</v>
      </c>
      <c r="E11" s="8">
        <f>-(E10)*0.302</f>
        <v>0</v>
      </c>
      <c r="F11" s="8">
        <f>-(F10)*0.302</f>
        <v>169.72883199999998</v>
      </c>
      <c r="G11" s="8">
        <f>-(G10)*0.302</f>
        <v>169.72883199999998</v>
      </c>
    </row>
    <row r="12" spans="1:11" x14ac:dyDescent="0.25">
      <c r="A12" s="6" t="s">
        <v>30</v>
      </c>
      <c r="B12" s="55">
        <f t="shared" ref="B12:G12" si="0">SUM(B9:B11)</f>
        <v>1448</v>
      </c>
      <c r="C12" s="55">
        <f>SUM(C9:C11)+1</f>
        <v>1036.3858319999999</v>
      </c>
      <c r="D12" s="55">
        <f t="shared" si="0"/>
        <v>264.71283200000005</v>
      </c>
      <c r="E12" s="55">
        <f t="shared" si="0"/>
        <v>1509</v>
      </c>
      <c r="F12" s="55">
        <f t="shared" si="0"/>
        <v>1094.7128319999999</v>
      </c>
      <c r="G12" s="55">
        <f t="shared" si="0"/>
        <v>264.71283200000005</v>
      </c>
    </row>
    <row r="13" spans="1:11" x14ac:dyDescent="0.25">
      <c r="B13" s="56"/>
      <c r="C13" s="56"/>
      <c r="D13" s="56"/>
      <c r="E13" s="56"/>
      <c r="F13" s="56"/>
      <c r="G13" s="56"/>
    </row>
    <row r="14" spans="1:11" x14ac:dyDescent="0.25">
      <c r="A14" s="104" t="s">
        <v>46</v>
      </c>
      <c r="B14" s="105"/>
      <c r="C14" s="105"/>
      <c r="D14" s="105"/>
      <c r="E14" s="105"/>
      <c r="F14" s="105"/>
      <c r="G14" s="106"/>
    </row>
    <row r="15" spans="1:11" x14ac:dyDescent="0.25">
      <c r="A15" s="101" t="s">
        <v>38</v>
      </c>
      <c r="B15" s="102"/>
      <c r="C15" s="102"/>
      <c r="D15" s="102"/>
      <c r="E15" s="102"/>
      <c r="F15" s="102"/>
      <c r="G15" s="103"/>
    </row>
    <row r="16" spans="1:11" x14ac:dyDescent="0.25">
      <c r="A16" s="107" t="s">
        <v>40</v>
      </c>
      <c r="B16" s="108"/>
      <c r="C16" s="108"/>
      <c r="D16" s="108"/>
      <c r="E16" s="108"/>
      <c r="F16" s="108"/>
      <c r="G16" s="109"/>
    </row>
    <row r="17" spans="1:7" x14ac:dyDescent="0.25">
      <c r="A17" s="2"/>
      <c r="B17" s="95" t="s">
        <v>0</v>
      </c>
      <c r="C17" s="96"/>
      <c r="D17" s="96"/>
      <c r="E17" s="96"/>
      <c r="F17" s="96"/>
      <c r="G17" s="97"/>
    </row>
    <row r="18" spans="1:7" x14ac:dyDescent="0.25">
      <c r="A18" s="3"/>
      <c r="B18" s="4">
        <v>1</v>
      </c>
      <c r="C18" s="4">
        <v>2</v>
      </c>
      <c r="D18" s="4">
        <v>3</v>
      </c>
      <c r="E18" s="4">
        <v>4</v>
      </c>
      <c r="F18" s="4">
        <v>5</v>
      </c>
      <c r="G18" s="4">
        <v>6</v>
      </c>
    </row>
    <row r="19" spans="1:7" x14ac:dyDescent="0.25">
      <c r="A19" s="57" t="s">
        <v>36</v>
      </c>
      <c r="B19" s="60">
        <v>9236</v>
      </c>
      <c r="C19" s="7">
        <v>9192</v>
      </c>
      <c r="D19" s="7">
        <v>9870</v>
      </c>
      <c r="E19" s="7">
        <v>10805.200515097989</v>
      </c>
      <c r="F19" s="7">
        <v>10721</v>
      </c>
      <c r="G19" s="7">
        <v>12384</v>
      </c>
    </row>
    <row r="20" spans="1:7" x14ac:dyDescent="0.25">
      <c r="A20" s="57" t="s">
        <v>37</v>
      </c>
      <c r="B20" s="58">
        <v>13610.699669795657</v>
      </c>
      <c r="C20" s="8">
        <v>13153.732904155471</v>
      </c>
      <c r="D20" s="8">
        <v>10693</v>
      </c>
      <c r="E20" s="8">
        <v>15922.553484902011</v>
      </c>
      <c r="F20" s="8">
        <v>15406.291890438355</v>
      </c>
      <c r="G20" s="8">
        <v>10693</v>
      </c>
    </row>
    <row r="21" spans="1:7" x14ac:dyDescent="0.25">
      <c r="A21" s="12" t="s">
        <v>39</v>
      </c>
      <c r="B21" s="61">
        <f>SUM(B19:B20)</f>
        <v>22846.699669795657</v>
      </c>
      <c r="C21" s="61">
        <f t="shared" ref="C21:G21" si="1">SUM(C19:C20)</f>
        <v>22345.732904155469</v>
      </c>
      <c r="D21" s="61">
        <f t="shared" si="1"/>
        <v>20563</v>
      </c>
      <c r="E21" s="61">
        <f>SUM(E19:E20)</f>
        <v>26727.754000000001</v>
      </c>
      <c r="F21" s="61">
        <f t="shared" si="1"/>
        <v>26127.291890438355</v>
      </c>
      <c r="G21" s="61">
        <f t="shared" si="1"/>
        <v>23077</v>
      </c>
    </row>
  </sheetData>
  <mergeCells count="8">
    <mergeCell ref="B17:G17"/>
    <mergeCell ref="A5:G5"/>
    <mergeCell ref="A15:G15"/>
    <mergeCell ref="A4:G4"/>
    <mergeCell ref="A6:G6"/>
    <mergeCell ref="B7:G7"/>
    <mergeCell ref="A14:G14"/>
    <mergeCell ref="A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26</vt:lpstr>
      <vt:lpstr>27</vt:lpstr>
      <vt:lpstr>'26'!Print_Area</vt:lpstr>
    </vt:vector>
  </TitlesOfParts>
  <Company>Maritime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Crockett, Gloria</dc:creator>
  <cp:lastModifiedBy>Crockett, Gloria</cp:lastModifiedBy>
  <cp:lastPrinted>2026-02-02T11:53:19Z</cp:lastPrinted>
  <dcterms:created xsi:type="dcterms:W3CDTF">2026-01-27T22:21:17Z</dcterms:created>
  <dcterms:modified xsi:type="dcterms:W3CDTF">2026-02-11T17:41:19Z</dcterms:modified>
</cp:coreProperties>
</file>