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SD\ELECTRICITY\MECL\DOCKETS\2026\Fiona - Compliance Filing\"/>
    </mc:Choice>
  </mc:AlternateContent>
  <xr:revisionPtr revIDLastSave="0" documentId="13_ncr:1_{473D001B-9D6D-4CCC-8723-198A955A5834}" xr6:coauthVersionLast="47" xr6:coauthVersionMax="47" xr10:uidLastSave="{00000000-0000-0000-0000-000000000000}"/>
  <bookViews>
    <workbookView xWindow="-120" yWindow="-120" windowWidth="29040" windowHeight="15720" firstSheet="3" activeTab="8" xr2:uid="{00000000-000D-0000-FFFF-FFFF00000000}"/>
  </bookViews>
  <sheets>
    <sheet name="Total Annual Impact" sheetId="9" r:id="rId1"/>
    <sheet name="Annual Depreciation and CCA" sheetId="7" r:id="rId2"/>
    <sheet name=" Depreciation" sheetId="1" r:id="rId3"/>
    <sheet name="Amortization" sheetId="11" r:id="rId4"/>
    <sheet name="Income Taxes" sheetId="3" r:id="rId5"/>
    <sheet name="Rate Base &amp; Cost Capital" sheetId="2" r:id="rId6"/>
    <sheet name="Revenue Requirement" sheetId="5" r:id="rId7"/>
    <sheet name="Proposed Distribution Rates" sheetId="13" r:id="rId8"/>
    <sheet name="Distribution Rate Impact" sheetId="6" r:id="rId9"/>
    <sheet name="Retirements" sheetId="12" r:id="rId10"/>
  </sheets>
  <definedNames>
    <definedName name="_xlnm.Print_Area" localSheetId="2">' Depreciation'!$C$1:$E$35</definedName>
    <definedName name="_xlnm.Print_Area" localSheetId="3">Amortization!$C$1:$E$40</definedName>
    <definedName name="_xlnm.Print_Area" localSheetId="8">'Distribution Rate Impact'!$C$1:$E$21</definedName>
    <definedName name="_xlnm.Print_Area" localSheetId="4">'Income Taxes'!$C$1:$E$34</definedName>
    <definedName name="_xlnm.Print_Area" localSheetId="5">'Rate Base &amp; Cost Capital'!$C$1:$E$29</definedName>
    <definedName name="_xlnm.Print_Area" localSheetId="6">'Revenue Requirement'!$C$1:$E$13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2" i="13" l="1"/>
  <c r="J31" i="13"/>
  <c r="J30" i="13"/>
  <c r="J29" i="13"/>
  <c r="J28" i="13"/>
  <c r="J27" i="13"/>
  <c r="J26" i="13"/>
  <c r="C4" i="9"/>
  <c r="D9" i="12"/>
  <c r="D8" i="12"/>
  <c r="J15" i="13"/>
  <c r="E10" i="5" l="1"/>
  <c r="H8" i="2"/>
  <c r="I8" i="2"/>
  <c r="G8" i="2"/>
  <c r="E9" i="11"/>
  <c r="I4" i="9" l="1"/>
  <c r="E17" i="6" l="1"/>
  <c r="E4" i="6" l="1"/>
  <c r="I12" i="9" l="1"/>
  <c r="I11" i="9"/>
  <c r="I10" i="9"/>
  <c r="I9" i="9"/>
  <c r="I8" i="9"/>
  <c r="I7" i="9"/>
  <c r="I5" i="9"/>
  <c r="I6" i="9"/>
  <c r="E5" i="1"/>
  <c r="E12" i="7"/>
  <c r="D4" i="9"/>
  <c r="B4" i="9"/>
  <c r="E4" i="2" l="1"/>
  <c r="G28" i="2" l="1"/>
  <c r="I19" i="2"/>
  <c r="I18" i="2"/>
  <c r="I16" i="2"/>
  <c r="H15" i="2"/>
  <c r="G15" i="2"/>
  <c r="I22" i="2" l="1"/>
  <c r="H24" i="2"/>
  <c r="I15" i="2"/>
  <c r="L4" i="9" l="1"/>
  <c r="L9" i="9"/>
  <c r="L11" i="9"/>
  <c r="L12" i="9"/>
  <c r="L7" i="9"/>
  <c r="L6" i="9"/>
  <c r="L8" i="9"/>
  <c r="L13" i="9"/>
  <c r="L10" i="9"/>
  <c r="L5" i="9"/>
  <c r="F63" i="7"/>
  <c r="G63" i="7"/>
  <c r="H63" i="7"/>
  <c r="I63" i="7" s="1"/>
  <c r="J63" i="7" s="1"/>
  <c r="E63" i="7"/>
  <c r="D39" i="9" l="1"/>
  <c r="E4" i="11"/>
  <c r="D20" i="7"/>
  <c r="D38" i="7" s="1"/>
  <c r="D12" i="7" l="1"/>
  <c r="D30" i="7" l="1"/>
  <c r="E18" i="1" s="1"/>
  <c r="E25" i="2"/>
  <c r="E12" i="5" l="1"/>
  <c r="D36" i="9" l="1"/>
  <c r="D37" i="9"/>
  <c r="D38" i="9"/>
  <c r="K63" i="7" l="1"/>
  <c r="L63" i="7" s="1"/>
  <c r="M63" i="7" s="1"/>
  <c r="N63" i="7" s="1"/>
  <c r="O63" i="7" s="1"/>
  <c r="P63" i="7" s="1"/>
  <c r="Q63" i="7" s="1"/>
  <c r="R63" i="7" s="1"/>
  <c r="S63" i="7" s="1"/>
  <c r="T63" i="7" s="1"/>
  <c r="U63" i="7" s="1"/>
  <c r="V63" i="7" s="1"/>
  <c r="W63" i="7" s="1"/>
  <c r="X63" i="7" s="1"/>
  <c r="Y63" i="7" s="1"/>
  <c r="Z63" i="7" s="1"/>
  <c r="AA63" i="7" s="1"/>
  <c r="AB63" i="7" s="1"/>
  <c r="AC63" i="7" s="1"/>
  <c r="AD63" i="7" s="1"/>
  <c r="AE63" i="7" s="1"/>
  <c r="AF63" i="7" s="1"/>
  <c r="AG63" i="7" s="1"/>
  <c r="AH63" i="7" s="1"/>
  <c r="AI63" i="7" s="1"/>
  <c r="AJ63" i="7" s="1"/>
  <c r="AK63" i="7" s="1"/>
  <c r="AL63" i="7" s="1"/>
  <c r="AM63" i="7" s="1"/>
  <c r="AN63" i="7" s="1"/>
  <c r="AO63" i="7" s="1"/>
  <c r="AP63" i="7" s="1"/>
  <c r="AQ63" i="7" s="1"/>
  <c r="AR63" i="7" s="1"/>
  <c r="AS63" i="7" s="1"/>
  <c r="AT63" i="7" s="1"/>
  <c r="AU63" i="7" s="1"/>
  <c r="AV63" i="7" s="1"/>
  <c r="AW63" i="7" s="1"/>
  <c r="AX63" i="7" s="1"/>
  <c r="AY63" i="7" s="1"/>
  <c r="AZ63" i="7" s="1"/>
  <c r="BA63" i="7" s="1"/>
  <c r="BB63" i="7" s="1"/>
  <c r="BC63" i="7" s="1"/>
  <c r="BD63" i="7" s="1"/>
  <c r="BE63" i="7" s="1"/>
  <c r="BF63" i="7" s="1"/>
  <c r="BG63" i="7" s="1"/>
  <c r="BH63" i="7" s="1"/>
  <c r="BI63" i="7" s="1"/>
  <c r="BJ63" i="7" s="1"/>
  <c r="BK63" i="7" s="1"/>
  <c r="E15" i="2" l="1"/>
  <c r="D17" i="13" l="1"/>
  <c r="E17" i="13" s="1"/>
  <c r="J17" i="13" s="1"/>
  <c r="G25" i="13" l="1"/>
  <c r="J20" i="13"/>
  <c r="J19" i="13"/>
  <c r="J16" i="13"/>
  <c r="D18" i="13"/>
  <c r="C18" i="13"/>
  <c r="B18" i="13"/>
  <c r="J25" i="13"/>
  <c r="F15" i="13"/>
  <c r="F25" i="13" s="1"/>
  <c r="E15" i="13"/>
  <c r="E25" i="13" s="1"/>
  <c r="D15" i="13"/>
  <c r="D25" i="13" s="1"/>
  <c r="C15" i="13"/>
  <c r="C25" i="13" s="1"/>
  <c r="B15" i="13"/>
  <c r="B25" i="13" s="1"/>
  <c r="J21" i="13" l="1"/>
  <c r="F8" i="13"/>
  <c r="G8" i="13" s="1"/>
  <c r="J18" i="13"/>
  <c r="F10" i="13"/>
  <c r="G10" i="13" s="1"/>
  <c r="B22" i="13"/>
  <c r="B30" i="13" s="1"/>
  <c r="C22" i="13"/>
  <c r="C29" i="13" s="1"/>
  <c r="D22" i="13"/>
  <c r="D28" i="13" s="1"/>
  <c r="F6" i="13"/>
  <c r="G6" i="13" s="1"/>
  <c r="F12" i="13"/>
  <c r="G12" i="13" s="1"/>
  <c r="F7" i="13"/>
  <c r="G7" i="13" s="1"/>
  <c r="F9" i="13"/>
  <c r="G9" i="13" s="1"/>
  <c r="F11" i="13"/>
  <c r="G11" i="13" s="1"/>
  <c r="F21" i="13"/>
  <c r="F16" i="13"/>
  <c r="E18" i="13"/>
  <c r="E22" i="13" s="1"/>
  <c r="J22" i="13" l="1"/>
  <c r="F22" i="13"/>
  <c r="B31" i="13"/>
  <c r="B28" i="13"/>
  <c r="D31" i="13"/>
  <c r="B32" i="13"/>
  <c r="D27" i="13"/>
  <c r="C28" i="13"/>
  <c r="B26" i="13"/>
  <c r="C27" i="13"/>
  <c r="B29" i="13"/>
  <c r="C30" i="13"/>
  <c r="C26" i="13"/>
  <c r="C31" i="13"/>
  <c r="B27" i="13"/>
  <c r="C32" i="13"/>
  <c r="D26" i="13"/>
  <c r="D32" i="13"/>
  <c r="D30" i="13"/>
  <c r="D29" i="13"/>
  <c r="E28" i="13"/>
  <c r="F28" i="13" s="1"/>
  <c r="G28" i="13" s="1"/>
  <c r="E27" i="13"/>
  <c r="E26" i="13"/>
  <c r="E31" i="13"/>
  <c r="E32" i="13"/>
  <c r="E30" i="13"/>
  <c r="F30" i="13" s="1"/>
  <c r="G30" i="13" s="1"/>
  <c r="E29" i="13"/>
  <c r="E15" i="6" l="1"/>
  <c r="E13" i="6"/>
  <c r="F31" i="13"/>
  <c r="G31" i="13" s="1"/>
  <c r="F27" i="13"/>
  <c r="G27" i="13" s="1"/>
  <c r="F32" i="13"/>
  <c r="G32" i="13" s="1"/>
  <c r="F26" i="13"/>
  <c r="G26" i="13" s="1"/>
  <c r="F29" i="13"/>
  <c r="G29" i="13" s="1"/>
  <c r="D56" i="7"/>
  <c r="D23" i="7" s="1"/>
  <c r="A5" i="9" l="1"/>
  <c r="G47" i="9"/>
  <c r="D6" i="12"/>
  <c r="A6" i="9" l="1"/>
  <c r="G48" i="9"/>
  <c r="A7" i="9" l="1"/>
  <c r="G49" i="9"/>
  <c r="C4" i="12"/>
  <c r="D4" i="12" s="1"/>
  <c r="A8" i="9" l="1"/>
  <c r="G50" i="9"/>
  <c r="D3" i="12"/>
  <c r="D7" i="12" s="1"/>
  <c r="A9" i="9" l="1"/>
  <c r="G51" i="9"/>
  <c r="E5" i="11"/>
  <c r="E24" i="11"/>
  <c r="E27" i="11" s="1"/>
  <c r="D52" i="7" l="1"/>
  <c r="E6" i="3" s="1"/>
  <c r="A10" i="9"/>
  <c r="G52" i="9"/>
  <c r="E29" i="11"/>
  <c r="E31" i="11" s="1"/>
  <c r="E6" i="11"/>
  <c r="E12" i="11"/>
  <c r="E14" i="11" s="1"/>
  <c r="E18" i="11" l="1"/>
  <c r="E52" i="7"/>
  <c r="F52" i="7" s="1"/>
  <c r="E28" i="3"/>
  <c r="A11" i="9"/>
  <c r="G53" i="9"/>
  <c r="E4" i="5"/>
  <c r="A12" i="9" l="1"/>
  <c r="G54" i="9"/>
  <c r="E33" i="11"/>
  <c r="E19" i="11"/>
  <c r="E21" i="11" s="1"/>
  <c r="H4" i="2" l="1"/>
  <c r="H6" i="2" s="1"/>
  <c r="A13" i="9"/>
  <c r="G55" i="9"/>
  <c r="I4" i="2" l="1"/>
  <c r="A14" i="9"/>
  <c r="G56" i="9"/>
  <c r="A15" i="9" l="1"/>
  <c r="G57" i="9"/>
  <c r="A16" i="9" l="1"/>
  <c r="G58" i="9"/>
  <c r="A17" i="9" l="1"/>
  <c r="G59" i="9"/>
  <c r="A18" i="9" l="1"/>
  <c r="G60" i="9"/>
  <c r="E17" i="1"/>
  <c r="E4" i="1"/>
  <c r="E12" i="1" s="1"/>
  <c r="A19" i="9" l="1"/>
  <c r="G61" i="9"/>
  <c r="F72" i="7"/>
  <c r="A20" i="9" l="1"/>
  <c r="G62" i="9"/>
  <c r="A21" i="9" l="1"/>
  <c r="G63" i="9"/>
  <c r="A22" i="9" l="1"/>
  <c r="G64" i="9"/>
  <c r="E43" i="9"/>
  <c r="O38" i="7"/>
  <c r="P38" i="7" s="1"/>
  <c r="Q38" i="7" s="1"/>
  <c r="R38" i="7" s="1"/>
  <c r="S38" i="7" s="1"/>
  <c r="T38" i="7" s="1"/>
  <c r="U38" i="7" s="1"/>
  <c r="V38" i="7" s="1"/>
  <c r="W38" i="7" s="1"/>
  <c r="X38" i="7" s="1"/>
  <c r="Y38" i="7" s="1"/>
  <c r="Z38" i="7" s="1"/>
  <c r="AA38" i="7" s="1"/>
  <c r="AB38" i="7" s="1"/>
  <c r="AC38" i="7" s="1"/>
  <c r="AD38" i="7" s="1"/>
  <c r="AE38" i="7" s="1"/>
  <c r="AF38" i="7" s="1"/>
  <c r="AG38" i="7" s="1"/>
  <c r="AH38" i="7" s="1"/>
  <c r="AI38" i="7" s="1"/>
  <c r="AJ38" i="7" s="1"/>
  <c r="AK38" i="7" s="1"/>
  <c r="AL38" i="7" s="1"/>
  <c r="AM38" i="7" s="1"/>
  <c r="AN38" i="7" s="1"/>
  <c r="AO38" i="7" s="1"/>
  <c r="AP38" i="7" s="1"/>
  <c r="AQ38" i="7" s="1"/>
  <c r="AR38" i="7" s="1"/>
  <c r="G20" i="7"/>
  <c r="E38" i="7" s="1"/>
  <c r="A38" i="7"/>
  <c r="A23" i="9" l="1"/>
  <c r="G65" i="9"/>
  <c r="E13" i="3"/>
  <c r="K20" i="7"/>
  <c r="F38" i="7" s="1"/>
  <c r="G38" i="7" s="1"/>
  <c r="H38" i="7" s="1"/>
  <c r="I38" i="7" s="1"/>
  <c r="J38" i="7" s="1"/>
  <c r="K38" i="7" s="1"/>
  <c r="L38" i="7" s="1"/>
  <c r="A24" i="9" l="1"/>
  <c r="G66" i="9"/>
  <c r="O20" i="7"/>
  <c r="A25" i="9" l="1"/>
  <c r="G67" i="9"/>
  <c r="S20" i="7"/>
  <c r="A26" i="9" l="1"/>
  <c r="G68" i="9"/>
  <c r="W20" i="7"/>
  <c r="AA20" i="7" s="1"/>
  <c r="A27" i="9" l="1"/>
  <c r="G69" i="9"/>
  <c r="AE20" i="7"/>
  <c r="A28" i="9" l="1"/>
  <c r="G70" i="9"/>
  <c r="AI20" i="7"/>
  <c r="A29" i="9" l="1"/>
  <c r="G71" i="9"/>
  <c r="A30" i="9" l="1"/>
  <c r="G72" i="9"/>
  <c r="M56" i="7"/>
  <c r="A31" i="9" l="1"/>
  <c r="G73" i="9"/>
  <c r="B43" i="9"/>
  <c r="AR31" i="7"/>
  <c r="AR32" i="7"/>
  <c r="AR33" i="7"/>
  <c r="AR34" i="7"/>
  <c r="AR35" i="7"/>
  <c r="A32" i="9" l="1"/>
  <c r="G74" i="9"/>
  <c r="C13" i="3"/>
  <c r="A33" i="9" l="1"/>
  <c r="G75" i="9"/>
  <c r="D74" i="7"/>
  <c r="E74" i="7"/>
  <c r="C74" i="7"/>
  <c r="F73" i="7"/>
  <c r="F71" i="7"/>
  <c r="A34" i="9" l="1"/>
  <c r="G76" i="9"/>
  <c r="F74" i="7"/>
  <c r="F75" i="7" s="1"/>
  <c r="C30" i="7" s="1"/>
  <c r="A35" i="9" l="1"/>
  <c r="G77" i="9"/>
  <c r="E8" i="1"/>
  <c r="E12" i="3" l="1"/>
  <c r="D59" i="7"/>
  <c r="A36" i="9"/>
  <c r="G78" i="9"/>
  <c r="AU27" i="7"/>
  <c r="AV27" i="7"/>
  <c r="AW27" i="7"/>
  <c r="AX27" i="7"/>
  <c r="AY27" i="7"/>
  <c r="AZ27" i="7"/>
  <c r="BA27" i="7"/>
  <c r="BB27" i="7"/>
  <c r="BC27" i="7"/>
  <c r="AU28" i="7"/>
  <c r="AV28" i="7"/>
  <c r="AW28" i="7"/>
  <c r="AX28" i="7"/>
  <c r="AY28" i="7"/>
  <c r="AZ28" i="7"/>
  <c r="BA28" i="7"/>
  <c r="BB28" i="7"/>
  <c r="BC28" i="7"/>
  <c r="AU29" i="7"/>
  <c r="AV29" i="7"/>
  <c r="AW29" i="7"/>
  <c r="AX29" i="7"/>
  <c r="AY29" i="7"/>
  <c r="AZ29" i="7"/>
  <c r="BA29" i="7"/>
  <c r="BB29" i="7"/>
  <c r="BC29" i="7"/>
  <c r="G79" i="9" l="1"/>
  <c r="A37" i="9"/>
  <c r="D7" i="9"/>
  <c r="A38" i="9" l="1"/>
  <c r="G80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AO27" i="7"/>
  <c r="AP27" i="7"/>
  <c r="AQ27" i="7"/>
  <c r="AO28" i="7"/>
  <c r="AP28" i="7"/>
  <c r="AQ28" i="7"/>
  <c r="AO29" i="7"/>
  <c r="AP29" i="7"/>
  <c r="AQ29" i="7"/>
  <c r="AO31" i="7"/>
  <c r="AP31" i="7"/>
  <c r="AQ31" i="7"/>
  <c r="AO32" i="7"/>
  <c r="AP32" i="7"/>
  <c r="AQ32" i="7"/>
  <c r="AO33" i="7"/>
  <c r="AP33" i="7"/>
  <c r="AQ33" i="7"/>
  <c r="AO34" i="7"/>
  <c r="AP34" i="7"/>
  <c r="AQ34" i="7"/>
  <c r="AO35" i="7"/>
  <c r="AP35" i="7"/>
  <c r="AQ35" i="7"/>
  <c r="AE27" i="7"/>
  <c r="AF27" i="7"/>
  <c r="AG27" i="7"/>
  <c r="AH27" i="7"/>
  <c r="AI27" i="7"/>
  <c r="AJ27" i="7"/>
  <c r="AK27" i="7"/>
  <c r="AL27" i="7"/>
  <c r="AM27" i="7"/>
  <c r="AN27" i="7"/>
  <c r="AE28" i="7"/>
  <c r="AF28" i="7"/>
  <c r="AG28" i="7"/>
  <c r="AH28" i="7"/>
  <c r="AI28" i="7"/>
  <c r="AJ28" i="7"/>
  <c r="AK28" i="7"/>
  <c r="AL28" i="7"/>
  <c r="AM28" i="7"/>
  <c r="AN28" i="7"/>
  <c r="AE29" i="7"/>
  <c r="AF29" i="7"/>
  <c r="AG29" i="7"/>
  <c r="AH29" i="7"/>
  <c r="AI29" i="7"/>
  <c r="AJ29" i="7"/>
  <c r="AK29" i="7"/>
  <c r="AL29" i="7"/>
  <c r="AM29" i="7"/>
  <c r="AN29" i="7"/>
  <c r="AE31" i="7"/>
  <c r="AF31" i="7"/>
  <c r="AG31" i="7"/>
  <c r="AH31" i="7"/>
  <c r="AI31" i="7"/>
  <c r="AJ31" i="7"/>
  <c r="AK31" i="7"/>
  <c r="AL31" i="7"/>
  <c r="AM31" i="7"/>
  <c r="AN31" i="7"/>
  <c r="AE32" i="7"/>
  <c r="AF32" i="7"/>
  <c r="AG32" i="7"/>
  <c r="AH32" i="7"/>
  <c r="AI32" i="7"/>
  <c r="AJ32" i="7"/>
  <c r="AK32" i="7"/>
  <c r="AL32" i="7"/>
  <c r="AM32" i="7"/>
  <c r="AN32" i="7"/>
  <c r="AE33" i="7"/>
  <c r="AF33" i="7"/>
  <c r="AG33" i="7"/>
  <c r="AH33" i="7"/>
  <c r="AI33" i="7"/>
  <c r="AJ33" i="7"/>
  <c r="AK33" i="7"/>
  <c r="AL33" i="7"/>
  <c r="AM33" i="7"/>
  <c r="AN33" i="7"/>
  <c r="AF34" i="7"/>
  <c r="AG34" i="7"/>
  <c r="AH34" i="7"/>
  <c r="AI34" i="7"/>
  <c r="AJ34" i="7"/>
  <c r="AK34" i="7"/>
  <c r="AL34" i="7"/>
  <c r="AM34" i="7"/>
  <c r="AN34" i="7"/>
  <c r="AE35" i="7"/>
  <c r="AF35" i="7"/>
  <c r="AG35" i="7"/>
  <c r="AH35" i="7"/>
  <c r="AI35" i="7"/>
  <c r="AJ35" i="7"/>
  <c r="AK35" i="7"/>
  <c r="AL35" i="7"/>
  <c r="AM35" i="7"/>
  <c r="AN35" i="7"/>
  <c r="A39" i="9" l="1"/>
  <c r="A40" i="9" s="1"/>
  <c r="A41" i="9" s="1"/>
  <c r="A42" i="9" s="1"/>
  <c r="G81" i="9"/>
  <c r="D8" i="9"/>
  <c r="G82" i="9" l="1"/>
  <c r="D6" i="9"/>
  <c r="D5" i="9"/>
  <c r="D43" i="9" l="1"/>
  <c r="C11" i="3"/>
  <c r="Z18" i="7" l="1"/>
  <c r="AB18" i="7"/>
  <c r="AB22" i="7" s="1"/>
  <c r="AD14" i="7"/>
  <c r="AD18" i="7" s="1"/>
  <c r="R18" i="7"/>
  <c r="V14" i="7"/>
  <c r="V18" i="7" s="1"/>
  <c r="B30" i="7"/>
  <c r="E25" i="7"/>
  <c r="F25" i="7" s="1"/>
  <c r="G25" i="7" s="1"/>
  <c r="H25" i="7" s="1"/>
  <c r="I25" i="7" s="1"/>
  <c r="J25" i="7" s="1"/>
  <c r="K25" i="7" s="1"/>
  <c r="L25" i="7" s="1"/>
  <c r="M25" i="7" s="1"/>
  <c r="N25" i="7" s="1"/>
  <c r="O25" i="7" s="1"/>
  <c r="P25" i="7" s="1"/>
  <c r="Q25" i="7" s="1"/>
  <c r="R25" i="7" s="1"/>
  <c r="S25" i="7" s="1"/>
  <c r="T25" i="7" s="1"/>
  <c r="U25" i="7" s="1"/>
  <c r="V25" i="7" s="1"/>
  <c r="W25" i="7" s="1"/>
  <c r="X25" i="7" s="1"/>
  <c r="Y25" i="7" s="1"/>
  <c r="Z25" i="7" s="1"/>
  <c r="AA25" i="7" s="1"/>
  <c r="AB25" i="7" s="1"/>
  <c r="AC25" i="7" s="1"/>
  <c r="AD25" i="7" s="1"/>
  <c r="AE25" i="7" s="1"/>
  <c r="AF25" i="7" s="1"/>
  <c r="AG25" i="7" s="1"/>
  <c r="AH25" i="7" s="1"/>
  <c r="AI25" i="7" s="1"/>
  <c r="AJ25" i="7" s="1"/>
  <c r="AK25" i="7" s="1"/>
  <c r="AL25" i="7" s="1"/>
  <c r="AM25" i="7" s="1"/>
  <c r="AN25" i="7" s="1"/>
  <c r="AO25" i="7" s="1"/>
  <c r="AP25" i="7" s="1"/>
  <c r="AQ25" i="7" s="1"/>
  <c r="AR25" i="7" s="1"/>
  <c r="AS25" i="7" s="1"/>
  <c r="AT25" i="7" s="1"/>
  <c r="AU25" i="7" s="1"/>
  <c r="AV25" i="7" s="1"/>
  <c r="AW25" i="7" s="1"/>
  <c r="AX25" i="7" s="1"/>
  <c r="AY25" i="7" s="1"/>
  <c r="AZ25" i="7" s="1"/>
  <c r="BA25" i="7" s="1"/>
  <c r="BB25" i="7" s="1"/>
  <c r="BC25" i="7" s="1"/>
  <c r="BD25" i="7" s="1"/>
  <c r="BE25" i="7" s="1"/>
  <c r="BF25" i="7" s="1"/>
  <c r="BG25" i="7" s="1"/>
  <c r="BH25" i="7" s="1"/>
  <c r="BI25" i="7" s="1"/>
  <c r="BJ25" i="7" s="1"/>
  <c r="BK25" i="7" s="1"/>
  <c r="BL25" i="7" s="1"/>
  <c r="BM25" i="7" s="1"/>
  <c r="BN25" i="7" s="1"/>
  <c r="BO25" i="7" s="1"/>
  <c r="BP25" i="7" s="1"/>
  <c r="BQ25" i="7" s="1"/>
  <c r="BR25" i="7" s="1"/>
  <c r="BS25" i="7" s="1"/>
  <c r="BT25" i="7" s="1"/>
  <c r="BU25" i="7" s="1"/>
  <c r="BV25" i="7" s="1"/>
  <c r="BW25" i="7" s="1"/>
  <c r="BX25" i="7" s="1"/>
  <c r="BY25" i="7" s="1"/>
  <c r="BZ25" i="7" s="1"/>
  <c r="CA25" i="7" s="1"/>
  <c r="CB25" i="7" s="1"/>
  <c r="CC25" i="7" s="1"/>
  <c r="CD25" i="7" s="1"/>
  <c r="CE25" i="7" s="1"/>
  <c r="CF25" i="7" s="1"/>
  <c r="CG25" i="7" s="1"/>
  <c r="CH25" i="7" s="1"/>
  <c r="CI25" i="7" s="1"/>
  <c r="CJ25" i="7" s="1"/>
  <c r="CK25" i="7" s="1"/>
  <c r="CL25" i="7" s="1"/>
  <c r="CM25" i="7" s="1"/>
  <c r="CN25" i="7" s="1"/>
  <c r="CO25" i="7" s="1"/>
  <c r="CP25" i="7" s="1"/>
  <c r="CQ25" i="7" s="1"/>
  <c r="CR25" i="7" s="1"/>
  <c r="CS25" i="7" s="1"/>
  <c r="CT25" i="7" s="1"/>
  <c r="CU25" i="7" s="1"/>
  <c r="CV25" i="7" s="1"/>
  <c r="CW25" i="7" s="1"/>
  <c r="CX25" i="7" s="1"/>
  <c r="CY25" i="7" s="1"/>
  <c r="CZ25" i="7" s="1"/>
  <c r="DA25" i="7" s="1"/>
  <c r="DB25" i="7" s="1"/>
  <c r="DC25" i="7" s="1"/>
  <c r="DD25" i="7" s="1"/>
  <c r="DE25" i="7" s="1"/>
  <c r="DF25" i="7" s="1"/>
  <c r="DG25" i="7" s="1"/>
  <c r="DH25" i="7" s="1"/>
  <c r="DI25" i="7" s="1"/>
  <c r="DJ25" i="7" s="1"/>
  <c r="DK25" i="7" s="1"/>
  <c r="DL25" i="7" s="1"/>
  <c r="DM25" i="7" s="1"/>
  <c r="DN25" i="7" s="1"/>
  <c r="DO25" i="7" s="1"/>
  <c r="DP25" i="7" s="1"/>
  <c r="DQ25" i="7" s="1"/>
  <c r="DR25" i="7" s="1"/>
  <c r="DS25" i="7" s="1"/>
  <c r="DT25" i="7" s="1"/>
  <c r="DU25" i="7" s="1"/>
  <c r="DV25" i="7" s="1"/>
  <c r="DW25" i="7" s="1"/>
  <c r="DX25" i="7" s="1"/>
  <c r="DY25" i="7" s="1"/>
  <c r="DZ25" i="7" s="1"/>
  <c r="EA25" i="7" s="1"/>
  <c r="EB25" i="7" s="1"/>
  <c r="EC25" i="7" s="1"/>
  <c r="ED25" i="7" s="1"/>
  <c r="EE25" i="7" s="1"/>
  <c r="EF25" i="7" s="1"/>
  <c r="EG25" i="7" s="1"/>
  <c r="EH25" i="7" s="1"/>
  <c r="EI25" i="7" s="1"/>
  <c r="EJ25" i="7" s="1"/>
  <c r="EK25" i="7" s="1"/>
  <c r="EL25" i="7" s="1"/>
  <c r="EM25" i="7" s="1"/>
  <c r="EN25" i="7" s="1"/>
  <c r="EO25" i="7" s="1"/>
  <c r="EP25" i="7" s="1"/>
  <c r="EQ25" i="7" s="1"/>
  <c r="ER25" i="7" s="1"/>
  <c r="ES25" i="7" s="1"/>
  <c r="ET25" i="7" s="1"/>
  <c r="EU25" i="7" s="1"/>
  <c r="EV25" i="7" s="1"/>
  <c r="EW25" i="7" s="1"/>
  <c r="EX25" i="7" s="1"/>
  <c r="EY25" i="7" s="1"/>
  <c r="EZ25" i="7" s="1"/>
  <c r="FA25" i="7" s="1"/>
  <c r="FB25" i="7" s="1"/>
  <c r="FC25" i="7" s="1"/>
  <c r="FD25" i="7" s="1"/>
  <c r="FE25" i="7" s="1"/>
  <c r="FF25" i="7" s="1"/>
  <c r="FG25" i="7" s="1"/>
  <c r="FH25" i="7" s="1"/>
  <c r="FI25" i="7" s="1"/>
  <c r="FJ25" i="7" s="1"/>
  <c r="FK25" i="7" s="1"/>
  <c r="FL25" i="7" s="1"/>
  <c r="FM25" i="7" s="1"/>
  <c r="FN25" i="7" s="1"/>
  <c r="FO25" i="7" s="1"/>
  <c r="FP25" i="7" s="1"/>
  <c r="FQ25" i="7" s="1"/>
  <c r="FR25" i="7" s="1"/>
  <c r="FS25" i="7" s="1"/>
  <c r="FT25" i="7" s="1"/>
  <c r="FU25" i="7" s="1"/>
  <c r="FV25" i="7" s="1"/>
  <c r="FW25" i="7" s="1"/>
  <c r="FX25" i="7" s="1"/>
  <c r="FY25" i="7" s="1"/>
  <c r="FZ25" i="7" s="1"/>
  <c r="GA25" i="7" s="1"/>
  <c r="GB25" i="7" s="1"/>
  <c r="GC25" i="7" s="1"/>
  <c r="GD25" i="7" s="1"/>
  <c r="GE25" i="7" s="1"/>
  <c r="GF25" i="7" s="1"/>
  <c r="GG25" i="7" s="1"/>
  <c r="GH25" i="7" s="1"/>
  <c r="GI25" i="7" s="1"/>
  <c r="GJ25" i="7" s="1"/>
  <c r="GK25" i="7" s="1"/>
  <c r="GL25" i="7" s="1"/>
  <c r="GM25" i="7" s="1"/>
  <c r="GN25" i="7" s="1"/>
  <c r="GO25" i="7" s="1"/>
  <c r="GP25" i="7" s="1"/>
  <c r="GQ25" i="7" s="1"/>
  <c r="GR25" i="7" s="1"/>
  <c r="GS25" i="7" s="1"/>
  <c r="GT25" i="7" s="1"/>
  <c r="GU25" i="7" s="1"/>
  <c r="GV25" i="7" s="1"/>
  <c r="GW25" i="7" s="1"/>
  <c r="GX25" i="7" s="1"/>
  <c r="GY25" i="7" s="1"/>
  <c r="GZ25" i="7" s="1"/>
  <c r="HA25" i="7" s="1"/>
  <c r="HB25" i="7" s="1"/>
  <c r="F18" i="7"/>
  <c r="G35" i="7"/>
  <c r="N14" i="7"/>
  <c r="G11" i="7"/>
  <c r="G8" i="7"/>
  <c r="J6" i="7"/>
  <c r="N6" i="7" s="1"/>
  <c r="R6" i="7" s="1"/>
  <c r="V6" i="7" s="1"/>
  <c r="Z6" i="7" s="1"/>
  <c r="AD6" i="7" s="1"/>
  <c r="AH6" i="7" s="1"/>
  <c r="E5" i="7"/>
  <c r="F5" i="7" s="1"/>
  <c r="G6" i="7" s="1"/>
  <c r="H5" i="7" s="1"/>
  <c r="I5" i="7" s="1"/>
  <c r="AF18" i="7" l="1"/>
  <c r="AF22" i="7" s="1"/>
  <c r="AA35" i="7"/>
  <c r="AH14" i="7"/>
  <c r="AH18" i="7" s="1"/>
  <c r="P18" i="7"/>
  <c r="P22" i="7" s="1"/>
  <c r="D18" i="7"/>
  <c r="X18" i="7"/>
  <c r="X22" i="7" s="1"/>
  <c r="T18" i="7"/>
  <c r="J18" i="7"/>
  <c r="J5" i="7"/>
  <c r="K6" i="7"/>
  <c r="L5" i="7" s="1"/>
  <c r="M5" i="7" s="1"/>
  <c r="D34" i="7"/>
  <c r="G15" i="7"/>
  <c r="G13" i="7"/>
  <c r="G14" i="7"/>
  <c r="G12" i="7"/>
  <c r="D32" i="7"/>
  <c r="D33" i="7"/>
  <c r="G16" i="7"/>
  <c r="H18" i="7"/>
  <c r="H22" i="7" s="1"/>
  <c r="L18" i="7"/>
  <c r="L22" i="7" s="1"/>
  <c r="G9" i="7"/>
  <c r="D28" i="7"/>
  <c r="D29" i="7"/>
  <c r="N18" i="7"/>
  <c r="D35" i="7" l="1"/>
  <c r="O35" i="7"/>
  <c r="W35" i="7"/>
  <c r="E30" i="7"/>
  <c r="E59" i="7" s="1"/>
  <c r="AG18" i="7"/>
  <c r="AC18" i="7"/>
  <c r="T22" i="7"/>
  <c r="K12" i="7"/>
  <c r="G10" i="7"/>
  <c r="D31" i="7"/>
  <c r="O6" i="7"/>
  <c r="P5" i="7" s="1"/>
  <c r="Q5" i="7" s="1"/>
  <c r="N5" i="7"/>
  <c r="K9" i="7"/>
  <c r="E31" i="7"/>
  <c r="K15" i="7"/>
  <c r="E33" i="7"/>
  <c r="I18" i="7"/>
  <c r="K14" i="7"/>
  <c r="E34" i="7"/>
  <c r="D27" i="7"/>
  <c r="F30" i="7" l="1"/>
  <c r="E18" i="7"/>
  <c r="G17" i="7"/>
  <c r="E35" i="7" s="1"/>
  <c r="K35" i="7"/>
  <c r="S35" i="7"/>
  <c r="Q18" i="7"/>
  <c r="R5" i="7"/>
  <c r="S6" i="7"/>
  <c r="T5" i="7" s="1"/>
  <c r="U5" i="7" s="1"/>
  <c r="Y18" i="7"/>
  <c r="U18" i="7"/>
  <c r="M18" i="7"/>
  <c r="E27" i="7"/>
  <c r="D36" i="7"/>
  <c r="F32" i="7"/>
  <c r="O14" i="7"/>
  <c r="O12" i="7"/>
  <c r="G30" i="7" s="1"/>
  <c r="F33" i="7"/>
  <c r="O15" i="7"/>
  <c r="F27" i="7"/>
  <c r="O9" i="7"/>
  <c r="E32" i="7"/>
  <c r="K16" i="7"/>
  <c r="K8" i="7"/>
  <c r="E28" i="7"/>
  <c r="K10" i="7"/>
  <c r="K13" i="7"/>
  <c r="E29" i="7"/>
  <c r="K11" i="7"/>
  <c r="G52" i="7" l="1"/>
  <c r="D61" i="7"/>
  <c r="D65" i="7" s="1"/>
  <c r="C43" i="9"/>
  <c r="G18" i="7"/>
  <c r="K17" i="7"/>
  <c r="K18" i="7" s="1"/>
  <c r="S15" i="7"/>
  <c r="H33" i="7"/>
  <c r="I33" i="7"/>
  <c r="J33" i="7"/>
  <c r="G33" i="7"/>
  <c r="S12" i="7"/>
  <c r="S14" i="7"/>
  <c r="J32" i="7"/>
  <c r="G32" i="7"/>
  <c r="I32" i="7"/>
  <c r="H32" i="7"/>
  <c r="S9" i="7"/>
  <c r="J27" i="7"/>
  <c r="G27" i="7"/>
  <c r="H27" i="7"/>
  <c r="I27" i="7"/>
  <c r="D40" i="7"/>
  <c r="D42" i="7"/>
  <c r="V5" i="7"/>
  <c r="W6" i="7"/>
  <c r="X5" i="7" s="1"/>
  <c r="Y5" i="7" s="1"/>
  <c r="E36" i="7"/>
  <c r="O8" i="7"/>
  <c r="S8" i="7" s="1"/>
  <c r="O10" i="7"/>
  <c r="F28" i="7"/>
  <c r="O16" i="7"/>
  <c r="G34" i="7" s="1"/>
  <c r="F34" i="7"/>
  <c r="O13" i="7"/>
  <c r="F31" i="7"/>
  <c r="O11" i="7"/>
  <c r="F29" i="7"/>
  <c r="G59" i="7" l="1"/>
  <c r="F59" i="7"/>
  <c r="O17" i="7"/>
  <c r="F35" i="7"/>
  <c r="F36" i="7" s="1"/>
  <c r="E40" i="7"/>
  <c r="E45" i="7" s="1"/>
  <c r="M5" i="9" s="1"/>
  <c r="E61" i="7"/>
  <c r="D45" i="7"/>
  <c r="F4" i="9" s="1"/>
  <c r="L32" i="7"/>
  <c r="M32" i="7"/>
  <c r="N32" i="7"/>
  <c r="L27" i="7"/>
  <c r="N27" i="7"/>
  <c r="M27" i="7"/>
  <c r="L33" i="7"/>
  <c r="M33" i="7"/>
  <c r="N33" i="7"/>
  <c r="W12" i="7"/>
  <c r="H52" i="7"/>
  <c r="H30" i="7"/>
  <c r="W9" i="7"/>
  <c r="K27" i="7"/>
  <c r="S13" i="7"/>
  <c r="H31" i="7"/>
  <c r="G31" i="7"/>
  <c r="I31" i="7"/>
  <c r="J31" i="7"/>
  <c r="S10" i="7"/>
  <c r="H28" i="7"/>
  <c r="I28" i="7"/>
  <c r="J28" i="7"/>
  <c r="G28" i="7"/>
  <c r="S11" i="7"/>
  <c r="G29" i="7"/>
  <c r="H29" i="7"/>
  <c r="I29" i="7"/>
  <c r="J29" i="7"/>
  <c r="S16" i="7"/>
  <c r="H34" i="7"/>
  <c r="I34" i="7"/>
  <c r="J34" i="7"/>
  <c r="W14" i="7"/>
  <c r="K32" i="7"/>
  <c r="S17" i="7"/>
  <c r="H35" i="7"/>
  <c r="I35" i="7"/>
  <c r="J35" i="7"/>
  <c r="W15" i="7"/>
  <c r="K33" i="7"/>
  <c r="Z5" i="7"/>
  <c r="AA6" i="7"/>
  <c r="AB5" i="7" s="1"/>
  <c r="AC5" i="7" s="1"/>
  <c r="W8" i="7"/>
  <c r="E42" i="7"/>
  <c r="O18" i="7"/>
  <c r="M4" i="9" l="1"/>
  <c r="D47" i="7"/>
  <c r="D49" i="7"/>
  <c r="E49" i="7" s="1"/>
  <c r="H59" i="7"/>
  <c r="F40" i="7"/>
  <c r="F45" i="7" s="1"/>
  <c r="M6" i="9" s="1"/>
  <c r="F61" i="7"/>
  <c r="L29" i="7"/>
  <c r="N29" i="7"/>
  <c r="M29" i="7"/>
  <c r="L28" i="7"/>
  <c r="N28" i="7"/>
  <c r="M28" i="7"/>
  <c r="N31" i="7"/>
  <c r="L31" i="7"/>
  <c r="M31" i="7"/>
  <c r="W16" i="7"/>
  <c r="AA16" i="7" s="1"/>
  <c r="L34" i="7"/>
  <c r="M34" i="7"/>
  <c r="N34" i="7"/>
  <c r="W17" i="7"/>
  <c r="N35" i="7"/>
  <c r="M35" i="7"/>
  <c r="L35" i="7"/>
  <c r="AA9" i="7"/>
  <c r="Q27" i="7"/>
  <c r="R27" i="7"/>
  <c r="O27" i="7"/>
  <c r="P27" i="7"/>
  <c r="AA14" i="7"/>
  <c r="Q32" i="7"/>
  <c r="R32" i="7"/>
  <c r="P32" i="7"/>
  <c r="O32" i="7"/>
  <c r="AA15" i="7"/>
  <c r="Q33" i="7"/>
  <c r="R33" i="7"/>
  <c r="O33" i="7"/>
  <c r="P33" i="7"/>
  <c r="F42" i="7"/>
  <c r="I52" i="7"/>
  <c r="G36" i="7"/>
  <c r="S18" i="7"/>
  <c r="S22" i="7" s="1"/>
  <c r="H36" i="7"/>
  <c r="W10" i="7"/>
  <c r="K28" i="7"/>
  <c r="W11" i="7"/>
  <c r="K29" i="7"/>
  <c r="W13" i="7"/>
  <c r="K31" i="7"/>
  <c r="AA12" i="7"/>
  <c r="AE12" i="7" s="1"/>
  <c r="I30" i="7"/>
  <c r="K34" i="7"/>
  <c r="AA8" i="7"/>
  <c r="AD5" i="7"/>
  <c r="AE6" i="7"/>
  <c r="AF5" i="7" s="1"/>
  <c r="AG5" i="7" s="1"/>
  <c r="E47" i="7" l="1"/>
  <c r="F5" i="9"/>
  <c r="F6" i="9" s="1"/>
  <c r="F49" i="7"/>
  <c r="I36" i="7"/>
  <c r="I40" i="7" s="1"/>
  <c r="I45" i="7" s="1"/>
  <c r="M9" i="9" s="1"/>
  <c r="I59" i="7"/>
  <c r="F47" i="7"/>
  <c r="H40" i="7"/>
  <c r="H45" i="7" s="1"/>
  <c r="M8" i="9" s="1"/>
  <c r="G40" i="7"/>
  <c r="G45" i="7" s="1"/>
  <c r="M7" i="9" s="1"/>
  <c r="G61" i="7"/>
  <c r="G4" i="9"/>
  <c r="H4" i="9" s="1"/>
  <c r="R34" i="7"/>
  <c r="P34" i="7"/>
  <c r="Q34" i="7"/>
  <c r="AA13" i="7"/>
  <c r="P31" i="7"/>
  <c r="R31" i="7"/>
  <c r="O31" i="7"/>
  <c r="Q31" i="7"/>
  <c r="O34" i="7"/>
  <c r="S34" i="7"/>
  <c r="AE15" i="7"/>
  <c r="T33" i="7"/>
  <c r="U33" i="7"/>
  <c r="V33" i="7"/>
  <c r="S33" i="7"/>
  <c r="AE9" i="7"/>
  <c r="S27" i="7"/>
  <c r="T27" i="7"/>
  <c r="U27" i="7"/>
  <c r="V27" i="7"/>
  <c r="AA11" i="7"/>
  <c r="Q29" i="7"/>
  <c r="R29" i="7"/>
  <c r="O29" i="7"/>
  <c r="P29" i="7"/>
  <c r="AE16" i="7"/>
  <c r="W34" i="7" s="1"/>
  <c r="V34" i="7"/>
  <c r="U34" i="7"/>
  <c r="T34" i="7"/>
  <c r="AA10" i="7"/>
  <c r="Q28" i="7"/>
  <c r="R28" i="7"/>
  <c r="O28" i="7"/>
  <c r="P28" i="7"/>
  <c r="AE14" i="7"/>
  <c r="T32" i="7"/>
  <c r="U32" i="7"/>
  <c r="V32" i="7"/>
  <c r="S32" i="7"/>
  <c r="AA17" i="7"/>
  <c r="R35" i="7"/>
  <c r="Q35" i="7"/>
  <c r="P35" i="7"/>
  <c r="J52" i="7"/>
  <c r="G42" i="7"/>
  <c r="W18" i="7"/>
  <c r="AI6" i="7"/>
  <c r="AH5" i="7"/>
  <c r="J30" i="7"/>
  <c r="H42" i="7"/>
  <c r="AE8" i="7"/>
  <c r="F7" i="9" l="1"/>
  <c r="G49" i="7"/>
  <c r="H49" i="7" s="1"/>
  <c r="I49" i="7" s="1"/>
  <c r="J36" i="7"/>
  <c r="J40" i="7" s="1"/>
  <c r="J45" i="7" s="1"/>
  <c r="M10" i="9" s="1"/>
  <c r="J59" i="7"/>
  <c r="G47" i="7"/>
  <c r="H47" i="7" s="1"/>
  <c r="I47" i="7" s="1"/>
  <c r="H61" i="7"/>
  <c r="I61" i="7" s="1"/>
  <c r="E65" i="7"/>
  <c r="G5" i="9" s="1"/>
  <c r="H5" i="9" s="1"/>
  <c r="AE13" i="7"/>
  <c r="U31" i="7"/>
  <c r="V31" i="7"/>
  <c r="T31" i="7"/>
  <c r="S31" i="7"/>
  <c r="AE10" i="7"/>
  <c r="T28" i="7"/>
  <c r="U28" i="7"/>
  <c r="V28" i="7"/>
  <c r="S28" i="7"/>
  <c r="AA18" i="7"/>
  <c r="AI9" i="7"/>
  <c r="Y27" i="7"/>
  <c r="Z27" i="7"/>
  <c r="W27" i="7"/>
  <c r="X27" i="7"/>
  <c r="AI14" i="7"/>
  <c r="Y32" i="7"/>
  <c r="Z32" i="7"/>
  <c r="X32" i="7"/>
  <c r="W32" i="7"/>
  <c r="AE11" i="7"/>
  <c r="V29" i="7"/>
  <c r="S29" i="7"/>
  <c r="T29" i="7"/>
  <c r="U29" i="7"/>
  <c r="I42" i="7"/>
  <c r="AE17" i="7"/>
  <c r="U35" i="7"/>
  <c r="V35" i="7"/>
  <c r="T35" i="7"/>
  <c r="AI16" i="7"/>
  <c r="Z34" i="7"/>
  <c r="X34" i="7"/>
  <c r="Y34" i="7"/>
  <c r="AI15" i="7"/>
  <c r="Z33" i="7"/>
  <c r="Y33" i="7"/>
  <c r="W33" i="7"/>
  <c r="X33" i="7"/>
  <c r="F65" i="7"/>
  <c r="G6" i="9" s="1"/>
  <c r="H6" i="9" s="1"/>
  <c r="K52" i="7"/>
  <c r="K30" i="7"/>
  <c r="AI12" i="7"/>
  <c r="AI8" i="7"/>
  <c r="F8" i="9" l="1"/>
  <c r="H8" i="9" s="1"/>
  <c r="J49" i="7"/>
  <c r="K36" i="7"/>
  <c r="K40" i="7" s="1"/>
  <c r="K45" i="7" s="1"/>
  <c r="M11" i="9" s="1"/>
  <c r="K59" i="7"/>
  <c r="J47" i="7"/>
  <c r="AL30" i="7"/>
  <c r="AN36" i="7"/>
  <c r="J61" i="7"/>
  <c r="J42" i="7"/>
  <c r="AI13" i="7"/>
  <c r="X31" i="7"/>
  <c r="W31" i="7"/>
  <c r="Y31" i="7"/>
  <c r="Z31" i="7"/>
  <c r="AE18" i="7"/>
  <c r="Z30" i="7"/>
  <c r="AH30" i="7"/>
  <c r="Q30" i="7"/>
  <c r="M30" i="7"/>
  <c r="L30" i="7"/>
  <c r="AA30" i="7"/>
  <c r="AI30" i="7"/>
  <c r="R30" i="7"/>
  <c r="T30" i="7"/>
  <c r="AB30" i="7"/>
  <c r="AJ30" i="7"/>
  <c r="S30" i="7"/>
  <c r="P30" i="7"/>
  <c r="U30" i="7"/>
  <c r="AC30" i="7"/>
  <c r="AK30" i="7"/>
  <c r="V30" i="7"/>
  <c r="AD30" i="7"/>
  <c r="Y30" i="7"/>
  <c r="W30" i="7"/>
  <c r="AE30" i="7"/>
  <c r="N30" i="7"/>
  <c r="AG30" i="7"/>
  <c r="X30" i="7"/>
  <c r="AF30" i="7"/>
  <c r="O30" i="7"/>
  <c r="AD34" i="7"/>
  <c r="AE34" i="7"/>
  <c r="AC34" i="7"/>
  <c r="AB34" i="7"/>
  <c r="AA32" i="7"/>
  <c r="AB32" i="7"/>
  <c r="AC32" i="7"/>
  <c r="AD32" i="7"/>
  <c r="AA33" i="7"/>
  <c r="AB33" i="7"/>
  <c r="AC33" i="7"/>
  <c r="AD33" i="7"/>
  <c r="AI11" i="7"/>
  <c r="Y29" i="7"/>
  <c r="Z29" i="7"/>
  <c r="W29" i="7"/>
  <c r="X29" i="7"/>
  <c r="AI10" i="7"/>
  <c r="Y28" i="7"/>
  <c r="Z28" i="7"/>
  <c r="X28" i="7"/>
  <c r="W28" i="7"/>
  <c r="AI17" i="7"/>
  <c r="Y35" i="7"/>
  <c r="Z35" i="7"/>
  <c r="X35" i="7"/>
  <c r="AA27" i="7"/>
  <c r="AB27" i="7"/>
  <c r="AC27" i="7"/>
  <c r="AD27" i="7"/>
  <c r="AA34" i="7"/>
  <c r="G65" i="7"/>
  <c r="G7" i="9" s="1"/>
  <c r="H7" i="9" s="1"/>
  <c r="E11" i="3"/>
  <c r="E14" i="3" s="1"/>
  <c r="F9" i="9" l="1"/>
  <c r="K49" i="7"/>
  <c r="P36" i="7"/>
  <c r="P40" i="7" s="1"/>
  <c r="P45" i="7" s="1"/>
  <c r="M16" i="9" s="1"/>
  <c r="L36" i="7"/>
  <c r="L42" i="7" s="1"/>
  <c r="AO36" i="7"/>
  <c r="AO42" i="7" s="1"/>
  <c r="Q36" i="7"/>
  <c r="Q40" i="7" s="1"/>
  <c r="Q45" i="7" s="1"/>
  <c r="M17" i="9" s="1"/>
  <c r="O36" i="7"/>
  <c r="O40" i="7" s="1"/>
  <c r="O45" i="7" s="1"/>
  <c r="M15" i="9" s="1"/>
  <c r="T36" i="7"/>
  <c r="T40" i="7" s="1"/>
  <c r="T45" i="7" s="1"/>
  <c r="M20" i="9" s="1"/>
  <c r="AJ36" i="7"/>
  <c r="AJ40" i="7" s="1"/>
  <c r="AJ45" i="7" s="1"/>
  <c r="M36" i="9" s="1"/>
  <c r="V36" i="7"/>
  <c r="V40" i="7" s="1"/>
  <c r="V45" i="7" s="1"/>
  <c r="M22" i="9" s="1"/>
  <c r="AK36" i="7"/>
  <c r="R36" i="7"/>
  <c r="R42" i="7" s="1"/>
  <c r="M36" i="7"/>
  <c r="M40" i="7" s="1"/>
  <c r="M45" i="7" s="1"/>
  <c r="M13" i="9" s="1"/>
  <c r="AF36" i="7"/>
  <c r="AF42" i="7" s="1"/>
  <c r="AG36" i="7"/>
  <c r="AG42" i="7" s="1"/>
  <c r="AI36" i="7"/>
  <c r="AI42" i="7" s="1"/>
  <c r="S36" i="7"/>
  <c r="S40" i="7" s="1"/>
  <c r="S45" i="7" s="1"/>
  <c r="M19" i="9" s="1"/>
  <c r="AH36" i="7"/>
  <c r="AH40" i="7" s="1"/>
  <c r="AH45" i="7" s="1"/>
  <c r="M34" i="9" s="1"/>
  <c r="N36" i="7"/>
  <c r="N42" i="7" s="1"/>
  <c r="U36" i="7"/>
  <c r="U42" i="7" s="1"/>
  <c r="J4" i="9"/>
  <c r="K47" i="7"/>
  <c r="K61" i="7"/>
  <c r="K42" i="7"/>
  <c r="Z36" i="7"/>
  <c r="AC31" i="7"/>
  <c r="AB31" i="7"/>
  <c r="AD31" i="7"/>
  <c r="AA31" i="7"/>
  <c r="AI18" i="7"/>
  <c r="K54" i="7" s="1"/>
  <c r="X36" i="7"/>
  <c r="Y36" i="7"/>
  <c r="N40" i="7"/>
  <c r="N45" i="7" s="1"/>
  <c r="M14" i="9" s="1"/>
  <c r="AK40" i="7"/>
  <c r="AK45" i="7" s="1"/>
  <c r="M37" i="9" s="1"/>
  <c r="AK42" i="7"/>
  <c r="L40" i="7"/>
  <c r="L45" i="7" s="1"/>
  <c r="M12" i="9" s="1"/>
  <c r="AE36" i="7"/>
  <c r="AN42" i="7"/>
  <c r="AN40" i="7"/>
  <c r="W36" i="7"/>
  <c r="AB35" i="7"/>
  <c r="AC35" i="7"/>
  <c r="AD35" i="7"/>
  <c r="AD29" i="7"/>
  <c r="AA29" i="7"/>
  <c r="AB29" i="7"/>
  <c r="AC29" i="7"/>
  <c r="P42" i="7"/>
  <c r="AB28" i="7"/>
  <c r="AC28" i="7"/>
  <c r="AD28" i="7"/>
  <c r="AA28" i="7"/>
  <c r="H65" i="7"/>
  <c r="G8" i="9" s="1"/>
  <c r="F10" i="9" l="1"/>
  <c r="H9" i="9"/>
  <c r="K9" i="9" s="1"/>
  <c r="O42" i="7"/>
  <c r="L49" i="7"/>
  <c r="M49" i="7" s="1"/>
  <c r="N49" i="7" s="1"/>
  <c r="O49" i="7" s="1"/>
  <c r="P49" i="7" s="1"/>
  <c r="Q49" i="7" s="1"/>
  <c r="AF40" i="7"/>
  <c r="AF45" i="7" s="1"/>
  <c r="M32" i="9" s="1"/>
  <c r="Q42" i="7"/>
  <c r="R40" i="7"/>
  <c r="R45" i="7" s="1"/>
  <c r="M18" i="9" s="1"/>
  <c r="M42" i="7"/>
  <c r="V42" i="7"/>
  <c r="AO40" i="7"/>
  <c r="AO45" i="7" s="1"/>
  <c r="AG40" i="7"/>
  <c r="AG45" i="7" s="1"/>
  <c r="M33" i="9" s="1"/>
  <c r="AJ42" i="7"/>
  <c r="S42" i="7"/>
  <c r="AH42" i="7"/>
  <c r="AI40" i="7"/>
  <c r="AI45" i="7" s="1"/>
  <c r="M35" i="9" s="1"/>
  <c r="T42" i="7"/>
  <c r="U40" i="7"/>
  <c r="U45" i="7" s="1"/>
  <c r="M21" i="9" s="1"/>
  <c r="L47" i="7"/>
  <c r="M47" i="7" s="1"/>
  <c r="N47" i="7" s="1"/>
  <c r="O47" i="7" s="1"/>
  <c r="P47" i="7" s="1"/>
  <c r="Q47" i="7" s="1"/>
  <c r="J5" i="9"/>
  <c r="Z42" i="7"/>
  <c r="X40" i="7"/>
  <c r="X45" i="7" s="1"/>
  <c r="M24" i="9" s="1"/>
  <c r="Y40" i="7"/>
  <c r="Y45" i="7" s="1"/>
  <c r="M25" i="9" s="1"/>
  <c r="AN45" i="7"/>
  <c r="L52" i="7"/>
  <c r="Z40" i="7"/>
  <c r="Z45" i="7" s="1"/>
  <c r="M26" i="9" s="1"/>
  <c r="Y42" i="7"/>
  <c r="AC36" i="7"/>
  <c r="X42" i="7"/>
  <c r="AD36" i="7"/>
  <c r="AA36" i="7"/>
  <c r="AE42" i="7"/>
  <c r="AE40" i="7"/>
  <c r="AE45" i="7" s="1"/>
  <c r="M31" i="9" s="1"/>
  <c r="W40" i="7"/>
  <c r="W45" i="7" s="1"/>
  <c r="M23" i="9" s="1"/>
  <c r="W42" i="7"/>
  <c r="AB36" i="7"/>
  <c r="I65" i="7"/>
  <c r="G9" i="9" s="1"/>
  <c r="E24" i="1"/>
  <c r="E27" i="1" s="1"/>
  <c r="F11" i="9" l="1"/>
  <c r="H10" i="9"/>
  <c r="R47" i="7"/>
  <c r="S47" i="7" s="1"/>
  <c r="T47" i="7" s="1"/>
  <c r="U47" i="7" s="1"/>
  <c r="V47" i="7" s="1"/>
  <c r="W47" i="7" s="1"/>
  <c r="X47" i="7" s="1"/>
  <c r="Y47" i="7" s="1"/>
  <c r="Z47" i="7" s="1"/>
  <c r="R49" i="7"/>
  <c r="S49" i="7" s="1"/>
  <c r="T49" i="7" s="1"/>
  <c r="U49" i="7" s="1"/>
  <c r="V49" i="7" s="1"/>
  <c r="W49" i="7" s="1"/>
  <c r="X49" i="7" s="1"/>
  <c r="Y49" i="7" s="1"/>
  <c r="Z49" i="7" s="1"/>
  <c r="L59" i="7"/>
  <c r="L61" i="7" s="1"/>
  <c r="AC40" i="7"/>
  <c r="AC45" i="7" s="1"/>
  <c r="M29" i="9" s="1"/>
  <c r="AA42" i="7"/>
  <c r="AD42" i="7"/>
  <c r="L54" i="7"/>
  <c r="M52" i="7" s="1"/>
  <c r="AC42" i="7"/>
  <c r="AD40" i="7"/>
  <c r="AD45" i="7" s="1"/>
  <c r="M30" i="9" s="1"/>
  <c r="AA40" i="7"/>
  <c r="AA45" i="7" s="1"/>
  <c r="M27" i="9" s="1"/>
  <c r="AB42" i="7"/>
  <c r="AB40" i="7"/>
  <c r="AB45" i="7" s="1"/>
  <c r="M28" i="9" s="1"/>
  <c r="J65" i="7"/>
  <c r="G10" i="9" s="1"/>
  <c r="H11" i="9" l="1"/>
  <c r="F12" i="9"/>
  <c r="AA49" i="7"/>
  <c r="AB49" i="7"/>
  <c r="AC49" i="7" s="1"/>
  <c r="AD49" i="7" s="1"/>
  <c r="AE49" i="7" s="1"/>
  <c r="AF49" i="7" s="1"/>
  <c r="AG49" i="7" s="1"/>
  <c r="AH49" i="7" s="1"/>
  <c r="AI49" i="7" s="1"/>
  <c r="AJ49" i="7" s="1"/>
  <c r="AK49" i="7" s="1"/>
  <c r="J7" i="9"/>
  <c r="J6" i="9"/>
  <c r="M59" i="7"/>
  <c r="M61" i="7" s="1"/>
  <c r="AA47" i="7"/>
  <c r="AB47" i="7" s="1"/>
  <c r="AC47" i="7" s="1"/>
  <c r="AD47" i="7" s="1"/>
  <c r="AE47" i="7" s="1"/>
  <c r="AF47" i="7" s="1"/>
  <c r="AG47" i="7" s="1"/>
  <c r="AH47" i="7" s="1"/>
  <c r="AI47" i="7" s="1"/>
  <c r="AJ47" i="7" s="1"/>
  <c r="AK47" i="7" s="1"/>
  <c r="M54" i="7"/>
  <c r="N52" i="7" s="1"/>
  <c r="K65" i="7"/>
  <c r="G11" i="9" s="1"/>
  <c r="E4" i="3"/>
  <c r="F13" i="9" l="1"/>
  <c r="F14" i="9" s="1"/>
  <c r="F15" i="9" s="1"/>
  <c r="F16" i="9" s="1"/>
  <c r="F17" i="9" s="1"/>
  <c r="F18" i="9" s="1"/>
  <c r="F19" i="9" s="1"/>
  <c r="F20" i="9" s="1"/>
  <c r="F21" i="9" s="1"/>
  <c r="F22" i="9" s="1"/>
  <c r="F23" i="9" s="1"/>
  <c r="F24" i="9" s="1"/>
  <c r="F25" i="9" s="1"/>
  <c r="F26" i="9" s="1"/>
  <c r="F27" i="9" s="1"/>
  <c r="F28" i="9" s="1"/>
  <c r="F29" i="9" s="1"/>
  <c r="F30" i="9" s="1"/>
  <c r="F31" i="9" s="1"/>
  <c r="F32" i="9" s="1"/>
  <c r="F33" i="9" s="1"/>
  <c r="F34" i="9" s="1"/>
  <c r="F35" i="9" s="1"/>
  <c r="F36" i="9" s="1"/>
  <c r="F37" i="9" s="1"/>
  <c r="H12" i="9"/>
  <c r="N59" i="7"/>
  <c r="N61" i="7" s="1"/>
  <c r="N54" i="7"/>
  <c r="O52" i="7" s="1"/>
  <c r="L65" i="7"/>
  <c r="J8" i="9" l="1"/>
  <c r="O59" i="7"/>
  <c r="O61" i="7" s="1"/>
  <c r="O54" i="7"/>
  <c r="P52" i="7" s="1"/>
  <c r="G12" i="9"/>
  <c r="M65" i="7"/>
  <c r="P59" i="7" l="1"/>
  <c r="P61" i="7" s="1"/>
  <c r="P54" i="7"/>
  <c r="Q52" i="7" s="1"/>
  <c r="G13" i="9"/>
  <c r="H13" i="9" s="1"/>
  <c r="N65" i="7"/>
  <c r="C4" i="3"/>
  <c r="J10" i="9" l="1"/>
  <c r="J9" i="9"/>
  <c r="Q59" i="7"/>
  <c r="Q61" i="7" s="1"/>
  <c r="Q54" i="7"/>
  <c r="R52" i="7" s="1"/>
  <c r="G14" i="9"/>
  <c r="H14" i="9" s="1"/>
  <c r="O65" i="7"/>
  <c r="E2" i="6"/>
  <c r="R59" i="7" l="1"/>
  <c r="R61" i="7" s="1"/>
  <c r="R54" i="7"/>
  <c r="S52" i="7" s="1"/>
  <c r="G15" i="9"/>
  <c r="H15" i="9" s="1"/>
  <c r="P65" i="7"/>
  <c r="E2" i="5"/>
  <c r="E2" i="3"/>
  <c r="E2" i="2"/>
  <c r="J11" i="9" l="1"/>
  <c r="S59" i="7"/>
  <c r="S61" i="7" s="1"/>
  <c r="S54" i="7"/>
  <c r="T52" i="7" s="1"/>
  <c r="G16" i="9"/>
  <c r="H16" i="9" s="1"/>
  <c r="Q65" i="7"/>
  <c r="E6" i="1"/>
  <c r="J12" i="9" l="1"/>
  <c r="T59" i="7"/>
  <c r="T61" i="7" s="1"/>
  <c r="T54" i="7"/>
  <c r="U52" i="7" s="1"/>
  <c r="G17" i="9"/>
  <c r="H17" i="9" s="1"/>
  <c r="R65" i="7"/>
  <c r="E9" i="1"/>
  <c r="J13" i="9" l="1"/>
  <c r="U59" i="7"/>
  <c r="U61" i="7" s="1"/>
  <c r="U54" i="7"/>
  <c r="V52" i="7" s="1"/>
  <c r="G18" i="9"/>
  <c r="H18" i="9" s="1"/>
  <c r="S65" i="7"/>
  <c r="E19" i="1"/>
  <c r="E14" i="1"/>
  <c r="E21" i="1" l="1"/>
  <c r="J14" i="9"/>
  <c r="V59" i="7"/>
  <c r="V61" i="7" s="1"/>
  <c r="V54" i="7"/>
  <c r="W52" i="7" s="1"/>
  <c r="G19" i="9"/>
  <c r="H19" i="9" s="1"/>
  <c r="T65" i="7"/>
  <c r="E29" i="1"/>
  <c r="E33" i="1" s="1"/>
  <c r="E27" i="3" s="1"/>
  <c r="E32" i="3" s="1"/>
  <c r="E3" i="2" l="1"/>
  <c r="G3" i="2" s="1"/>
  <c r="I3" i="2" s="1"/>
  <c r="J15" i="9"/>
  <c r="W59" i="7"/>
  <c r="W61" i="7" s="1"/>
  <c r="W54" i="7"/>
  <c r="X52" i="7" s="1"/>
  <c r="X54" i="7" s="1"/>
  <c r="Y52" i="7" s="1"/>
  <c r="Y59" i="7" s="1"/>
  <c r="G20" i="9"/>
  <c r="H20" i="9" s="1"/>
  <c r="U65" i="7"/>
  <c r="E8" i="3"/>
  <c r="E31" i="1"/>
  <c r="E3" i="5"/>
  <c r="J16" i="9" l="1"/>
  <c r="X59" i="7"/>
  <c r="X61" i="7" s="1"/>
  <c r="Y61" i="7" s="1"/>
  <c r="Y54" i="7"/>
  <c r="Z52" i="7" s="1"/>
  <c r="Z59" i="7" s="1"/>
  <c r="G21" i="9"/>
  <c r="H21" i="9" s="1"/>
  <c r="V65" i="7"/>
  <c r="E16" i="3"/>
  <c r="E5" i="2" l="1"/>
  <c r="J17" i="9"/>
  <c r="Z61" i="7"/>
  <c r="Z54" i="7"/>
  <c r="AA52" i="7" s="1"/>
  <c r="AA59" i="7" s="1"/>
  <c r="G22" i="9"/>
  <c r="H22" i="9" s="1"/>
  <c r="W65" i="7"/>
  <c r="E6" i="2" l="1"/>
  <c r="G5" i="2"/>
  <c r="J19" i="9"/>
  <c r="J18" i="9"/>
  <c r="AA61" i="7"/>
  <c r="AA54" i="7"/>
  <c r="AB52" i="7" s="1"/>
  <c r="G23" i="9"/>
  <c r="H23" i="9" s="1"/>
  <c r="X65" i="7"/>
  <c r="E8" i="2" l="1"/>
  <c r="E11" i="2"/>
  <c r="G6" i="2"/>
  <c r="I5" i="2"/>
  <c r="I6" i="2" s="1"/>
  <c r="AB59" i="7"/>
  <c r="AB61" i="7" s="1"/>
  <c r="AB54" i="7"/>
  <c r="AC52" i="7" s="1"/>
  <c r="G24" i="9"/>
  <c r="H24" i="9" s="1"/>
  <c r="Y65" i="7"/>
  <c r="J20" i="9" l="1"/>
  <c r="AC59" i="7"/>
  <c r="AC61" i="7" s="1"/>
  <c r="AC54" i="7"/>
  <c r="AD52" i="7" s="1"/>
  <c r="G25" i="9"/>
  <c r="H25" i="9" s="1"/>
  <c r="Z65" i="7"/>
  <c r="J21" i="9" l="1"/>
  <c r="AD59" i="7"/>
  <c r="AD61" i="7" s="1"/>
  <c r="AD54" i="7"/>
  <c r="AE52" i="7" s="1"/>
  <c r="G26" i="9"/>
  <c r="H26" i="9" s="1"/>
  <c r="AA65" i="7"/>
  <c r="J22" i="9" l="1"/>
  <c r="AE59" i="7"/>
  <c r="AE61" i="7" s="1"/>
  <c r="AE54" i="7"/>
  <c r="AF52" i="7" s="1"/>
  <c r="G27" i="9"/>
  <c r="H27" i="9" s="1"/>
  <c r="AB65" i="7"/>
  <c r="J24" i="9" l="1"/>
  <c r="J23" i="9"/>
  <c r="AF59" i="7"/>
  <c r="AF61" i="7" s="1"/>
  <c r="AF54" i="7"/>
  <c r="AG52" i="7" s="1"/>
  <c r="G28" i="9"/>
  <c r="H28" i="9" s="1"/>
  <c r="AC65" i="7"/>
  <c r="AG59" i="7" l="1"/>
  <c r="AG61" i="7" s="1"/>
  <c r="AG54" i="7"/>
  <c r="AH52" i="7" s="1"/>
  <c r="G29" i="9"/>
  <c r="H29" i="9" s="1"/>
  <c r="AD65" i="7"/>
  <c r="J25" i="9" l="1"/>
  <c r="AH59" i="7"/>
  <c r="AH61" i="7" s="1"/>
  <c r="AH54" i="7"/>
  <c r="AI52" i="7" s="1"/>
  <c r="G30" i="9"/>
  <c r="H30" i="9" s="1"/>
  <c r="AE65" i="7"/>
  <c r="J26" i="9" l="1"/>
  <c r="AI59" i="7"/>
  <c r="AI61" i="7" s="1"/>
  <c r="AI54" i="7"/>
  <c r="AJ52" i="7" s="1"/>
  <c r="G31" i="9"/>
  <c r="H31" i="9" s="1"/>
  <c r="AF65" i="7"/>
  <c r="J27" i="9" l="1"/>
  <c r="AJ59" i="7"/>
  <c r="AJ61" i="7" s="1"/>
  <c r="AJ54" i="7"/>
  <c r="AK52" i="7" s="1"/>
  <c r="G32" i="9"/>
  <c r="H32" i="9" s="1"/>
  <c r="AG65" i="7"/>
  <c r="J28" i="9" l="1"/>
  <c r="AK59" i="7"/>
  <c r="AK61" i="7" s="1"/>
  <c r="AK54" i="7"/>
  <c r="AL52" i="7" s="1"/>
  <c r="AL59" i="7" s="1"/>
  <c r="G33" i="9"/>
  <c r="H33" i="9" s="1"/>
  <c r="AH65" i="7"/>
  <c r="J29" i="9" l="1"/>
  <c r="AL54" i="7"/>
  <c r="AM52" i="7" s="1"/>
  <c r="AM59" i="7" s="1"/>
  <c r="G34" i="9"/>
  <c r="H34" i="9" s="1"/>
  <c r="AI65" i="7"/>
  <c r="J30" i="9" l="1"/>
  <c r="AL36" i="7"/>
  <c r="AM54" i="7"/>
  <c r="AN52" i="7" s="1"/>
  <c r="AN59" i="7" s="1"/>
  <c r="G35" i="9"/>
  <c r="AJ65" i="7"/>
  <c r="J31" i="9" l="1"/>
  <c r="AL42" i="7"/>
  <c r="AL40" i="7"/>
  <c r="AL45" i="7" s="1"/>
  <c r="AL61" i="7"/>
  <c r="AN54" i="7"/>
  <c r="AO52" i="7" s="1"/>
  <c r="AO59" i="7" s="1"/>
  <c r="G36" i="9"/>
  <c r="AK65" i="7"/>
  <c r="AQ36" i="7"/>
  <c r="M38" i="9" l="1"/>
  <c r="AL49" i="7"/>
  <c r="F38" i="9"/>
  <c r="H35" i="9"/>
  <c r="J32" i="9"/>
  <c r="AL47" i="7"/>
  <c r="AO54" i="7"/>
  <c r="AQ42" i="7"/>
  <c r="AQ40" i="7"/>
  <c r="AQ45" i="7" s="1"/>
  <c r="G37" i="9"/>
  <c r="AL65" i="7"/>
  <c r="J34" i="9" l="1"/>
  <c r="J33" i="9"/>
  <c r="AP52" i="7"/>
  <c r="G38" i="9"/>
  <c r="AP54" i="7" l="1"/>
  <c r="AQ52" i="7" s="1"/>
  <c r="AQ59" i="7" s="1"/>
  <c r="AP59" i="7"/>
  <c r="AM36" i="7"/>
  <c r="AR36" i="7"/>
  <c r="AQ54" i="7" l="1"/>
  <c r="AR52" i="7" s="1"/>
  <c r="AR59" i="7" s="1"/>
  <c r="AM40" i="7"/>
  <c r="AM45" i="7" s="1"/>
  <c r="AM42" i="7"/>
  <c r="AM61" i="7"/>
  <c r="AN61" i="7" s="1"/>
  <c r="AO61" i="7" s="1"/>
  <c r="AR40" i="7"/>
  <c r="AR45" i="7" s="1"/>
  <c r="AR42" i="7"/>
  <c r="M39" i="9" l="1"/>
  <c r="F39" i="9"/>
  <c r="AM49" i="7"/>
  <c r="AN49" i="7" s="1"/>
  <c r="AO49" i="7" s="1"/>
  <c r="AR54" i="7"/>
  <c r="AS52" i="7" s="1"/>
  <c r="AS59" i="7" s="1"/>
  <c r="J35" i="9"/>
  <c r="AM47" i="7"/>
  <c r="AM65" i="7"/>
  <c r="G39" i="9" s="1"/>
  <c r="AS54" i="7" l="1"/>
  <c r="AT52" i="7" s="1"/>
  <c r="AT59" i="7" s="1"/>
  <c r="H36" i="9"/>
  <c r="AN65" i="7"/>
  <c r="AT54" i="7" l="1"/>
  <c r="AU52" i="7" s="1"/>
  <c r="AU59" i="7" s="1"/>
  <c r="H38" i="9"/>
  <c r="H37" i="9"/>
  <c r="AO65" i="7"/>
  <c r="AU54" i="7"/>
  <c r="J37" i="9" l="1"/>
  <c r="J36" i="9"/>
  <c r="AP36" i="7"/>
  <c r="AP40" i="7" s="1"/>
  <c r="AP42" i="7"/>
  <c r="AP61" i="7"/>
  <c r="AQ61" i="7" s="1"/>
  <c r="AR61" i="7" s="1"/>
  <c r="AS61" i="7" s="1"/>
  <c r="AT61" i="7" s="1"/>
  <c r="AU61" i="7" s="1"/>
  <c r="AV52" i="7"/>
  <c r="AP45" i="7" l="1"/>
  <c r="AV54" i="7"/>
  <c r="AW52" i="7" s="1"/>
  <c r="AV59" i="7"/>
  <c r="J38" i="9"/>
  <c r="M43" i="9"/>
  <c r="AP65" i="7"/>
  <c r="AQ65" i="7"/>
  <c r="AV61" i="7"/>
  <c r="AP49" i="7" l="1"/>
  <c r="M42" i="9"/>
  <c r="F42" i="9"/>
  <c r="AW54" i="7"/>
  <c r="AX52" i="7" s="1"/>
  <c r="AX59" i="7" s="1"/>
  <c r="AW59" i="7"/>
  <c r="AW61" i="7" s="1"/>
  <c r="AR65" i="7"/>
  <c r="H39" i="9" l="1"/>
  <c r="AX61" i="7"/>
  <c r="AX54" i="7"/>
  <c r="AY52" i="7" s="1"/>
  <c r="AY54" i="7" s="1"/>
  <c r="AZ52" i="7" s="1"/>
  <c r="AZ59" i="7" s="1"/>
  <c r="AS65" i="7"/>
  <c r="J39" i="9" l="1"/>
  <c r="AY59" i="7"/>
  <c r="AY61" i="7" s="1"/>
  <c r="AZ61" i="7" s="1"/>
  <c r="AT65" i="7"/>
  <c r="AZ54" i="7"/>
  <c r="BA52" i="7" s="1"/>
  <c r="BA59" i="7" s="1"/>
  <c r="AU65" i="7" l="1"/>
  <c r="BA54" i="7"/>
  <c r="BA61" i="7"/>
  <c r="AV65" i="7" l="1"/>
  <c r="BB52" i="7"/>
  <c r="BB59" i="7" s="1"/>
  <c r="AW65" i="7" l="1"/>
  <c r="BB54" i="7"/>
  <c r="BB61" i="7"/>
  <c r="AX65" i="7" l="1"/>
  <c r="BC52" i="7"/>
  <c r="BC59" i="7" s="1"/>
  <c r="AY65" i="7" l="1"/>
  <c r="BC54" i="7"/>
  <c r="BC61" i="7"/>
  <c r="AZ65" i="7" l="1"/>
  <c r="BD52" i="7"/>
  <c r="BD59" i="7" s="1"/>
  <c r="BA65" i="7" l="1"/>
  <c r="BD54" i="7"/>
  <c r="BD61" i="7"/>
  <c r="BB65" i="7" l="1"/>
  <c r="BC65" i="7"/>
  <c r="BE52" i="7"/>
  <c r="BE59" i="7" s="1"/>
  <c r="BD65" i="7" l="1"/>
  <c r="BE54" i="7"/>
  <c r="BE61" i="7"/>
  <c r="BE65" i="7" l="1"/>
  <c r="BF52" i="7"/>
  <c r="BF59" i="7" s="1"/>
  <c r="BF54" i="7" l="1"/>
  <c r="BF61" i="7" l="1"/>
  <c r="BG52" i="7"/>
  <c r="BG59" i="7" s="1"/>
  <c r="BF65" i="7" l="1"/>
  <c r="BG54" i="7"/>
  <c r="BG61" i="7" l="1"/>
  <c r="BH52" i="7"/>
  <c r="BH59" i="7" s="1"/>
  <c r="BG65" i="7" l="1"/>
  <c r="BH54" i="7"/>
  <c r="BH61" i="7" l="1"/>
  <c r="BI52" i="7"/>
  <c r="BI59" i="7" s="1"/>
  <c r="BH65" i="7" l="1"/>
  <c r="BI54" i="7"/>
  <c r="BI61" i="7" l="1"/>
  <c r="BJ52" i="7"/>
  <c r="BJ59" i="7" s="1"/>
  <c r="BI65" i="7" l="1"/>
  <c r="BJ54" i="7"/>
  <c r="BJ61" i="7" l="1"/>
  <c r="BK52" i="7"/>
  <c r="BK59" i="7" s="1"/>
  <c r="BJ65" i="7" l="1"/>
  <c r="BK54" i="7"/>
  <c r="BK61" i="7" l="1"/>
  <c r="BL52" i="7"/>
  <c r="BL59" i="7" s="1"/>
  <c r="BK65" i="7" l="1"/>
  <c r="BL54" i="7"/>
  <c r="BL61" i="7" l="1"/>
  <c r="BM52" i="7"/>
  <c r="BM59" i="7" s="1"/>
  <c r="BL65" i="7" l="1"/>
  <c r="BM54" i="7"/>
  <c r="BM61" i="7" l="1"/>
  <c r="BN52" i="7"/>
  <c r="BN59" i="7" s="1"/>
  <c r="BM65" i="7" l="1"/>
  <c r="BN54" i="7"/>
  <c r="BN61" i="7" l="1"/>
  <c r="BO52" i="7"/>
  <c r="BO59" i="7" s="1"/>
  <c r="BN65" i="7" l="1"/>
  <c r="BO54" i="7"/>
  <c r="BO61" i="7" l="1"/>
  <c r="BP52" i="7"/>
  <c r="BP59" i="7" s="1"/>
  <c r="BO65" i="7" l="1"/>
  <c r="BP54" i="7"/>
  <c r="BP61" i="7" l="1"/>
  <c r="BQ52" i="7"/>
  <c r="BQ59" i="7" s="1"/>
  <c r="BP65" i="7" l="1"/>
  <c r="BQ54" i="7"/>
  <c r="BQ61" i="7" l="1"/>
  <c r="BR52" i="7"/>
  <c r="BR59" i="7" s="1"/>
  <c r="BQ65" i="7" l="1"/>
  <c r="BR54" i="7"/>
  <c r="BR61" i="7" l="1"/>
  <c r="BS52" i="7"/>
  <c r="BS59" i="7" s="1"/>
  <c r="BR65" i="7" l="1"/>
  <c r="BS54" i="7"/>
  <c r="BS61" i="7" l="1"/>
  <c r="BT52" i="7"/>
  <c r="BT59" i="7" s="1"/>
  <c r="BS65" i="7" l="1"/>
  <c r="BT54" i="7"/>
  <c r="BT61" i="7" l="1"/>
  <c r="BU52" i="7"/>
  <c r="BU59" i="7" s="1"/>
  <c r="BT65" i="7" l="1"/>
  <c r="BU54" i="7"/>
  <c r="BU61" i="7" l="1"/>
  <c r="BV52" i="7"/>
  <c r="BV59" i="7" s="1"/>
  <c r="BU65" i="7" l="1"/>
  <c r="BV54" i="7"/>
  <c r="BV61" i="7" l="1"/>
  <c r="BW52" i="7"/>
  <c r="BW59" i="7" s="1"/>
  <c r="BV65" i="7" l="1"/>
  <c r="BW54" i="7"/>
  <c r="BW61" i="7" l="1"/>
  <c r="BX52" i="7"/>
  <c r="BX59" i="7" s="1"/>
  <c r="BW65" i="7" l="1"/>
  <c r="BX54" i="7"/>
  <c r="BX61" i="7" l="1"/>
  <c r="BY52" i="7"/>
  <c r="BY59" i="7" s="1"/>
  <c r="BX65" i="7" l="1"/>
  <c r="BY54" i="7"/>
  <c r="BY61" i="7" l="1"/>
  <c r="BZ52" i="7"/>
  <c r="BZ59" i="7" s="1"/>
  <c r="BY65" i="7" l="1"/>
  <c r="BZ54" i="7"/>
  <c r="BZ61" i="7" l="1"/>
  <c r="CA52" i="7"/>
  <c r="CA59" i="7" s="1"/>
  <c r="BZ65" i="7" l="1"/>
  <c r="CA54" i="7"/>
  <c r="CA61" i="7" l="1"/>
  <c r="CB52" i="7"/>
  <c r="CB59" i="7" s="1"/>
  <c r="CA65" i="7" l="1"/>
  <c r="CB54" i="7"/>
  <c r="CB61" i="7" l="1"/>
  <c r="CC52" i="7"/>
  <c r="CC59" i="7" s="1"/>
  <c r="CB65" i="7" l="1"/>
  <c r="CC54" i="7"/>
  <c r="CC61" i="7" l="1"/>
  <c r="CD52" i="7"/>
  <c r="CD59" i="7" s="1"/>
  <c r="CC65" i="7" l="1"/>
  <c r="CD54" i="7"/>
  <c r="CD61" i="7" l="1"/>
  <c r="CE52" i="7"/>
  <c r="CE59" i="7" s="1"/>
  <c r="CD65" i="7" l="1"/>
  <c r="CE54" i="7"/>
  <c r="CE61" i="7" l="1"/>
  <c r="CF52" i="7"/>
  <c r="CF59" i="7" s="1"/>
  <c r="CE65" i="7" l="1"/>
  <c r="CF54" i="7"/>
  <c r="CF61" i="7" l="1"/>
  <c r="CG52" i="7"/>
  <c r="CG59" i="7" s="1"/>
  <c r="CF65" i="7" l="1"/>
  <c r="CG54" i="7"/>
  <c r="CG61" i="7" l="1"/>
  <c r="CH52" i="7"/>
  <c r="CH59" i="7" s="1"/>
  <c r="CG65" i="7" l="1"/>
  <c r="CH54" i="7"/>
  <c r="CH61" i="7" l="1"/>
  <c r="CI52" i="7"/>
  <c r="CI59" i="7" s="1"/>
  <c r="CH65" i="7" l="1"/>
  <c r="CI54" i="7"/>
  <c r="CI61" i="7" l="1"/>
  <c r="CJ52" i="7"/>
  <c r="CJ59" i="7" s="1"/>
  <c r="CI65" i="7" l="1"/>
  <c r="CJ54" i="7"/>
  <c r="CJ61" i="7" l="1"/>
  <c r="CK52" i="7"/>
  <c r="CK59" i="7" s="1"/>
  <c r="CJ65" i="7" l="1"/>
  <c r="CK54" i="7"/>
  <c r="CK61" i="7" l="1"/>
  <c r="CL52" i="7"/>
  <c r="CL59" i="7" s="1"/>
  <c r="CK65" i="7" l="1"/>
  <c r="CL54" i="7"/>
  <c r="CL61" i="7"/>
  <c r="CL65" i="7" l="1"/>
  <c r="CM52" i="7"/>
  <c r="CM59" i="7" s="1"/>
  <c r="CM54" i="7" l="1"/>
  <c r="CM61" i="7"/>
  <c r="CM65" i="7" l="1"/>
  <c r="CN52" i="7"/>
  <c r="CN59" i="7" s="1"/>
  <c r="CN54" i="7" l="1"/>
  <c r="CN61" i="7" l="1"/>
  <c r="CO52" i="7"/>
  <c r="CO59" i="7" s="1"/>
  <c r="CN65" i="7" l="1"/>
  <c r="CO54" i="7"/>
  <c r="CO61" i="7" l="1"/>
  <c r="CP52" i="7"/>
  <c r="CP59" i="7" s="1"/>
  <c r="CO65" i="7" l="1"/>
  <c r="CP54" i="7"/>
  <c r="CP61" i="7" l="1"/>
  <c r="CQ52" i="7"/>
  <c r="CQ59" i="7" s="1"/>
  <c r="CP65" i="7" l="1"/>
  <c r="CQ54" i="7"/>
  <c r="CQ61" i="7" l="1"/>
  <c r="CR52" i="7"/>
  <c r="CR59" i="7" s="1"/>
  <c r="CQ65" i="7" l="1"/>
  <c r="CR54" i="7"/>
  <c r="CR61" i="7" l="1"/>
  <c r="CS52" i="7"/>
  <c r="CS59" i="7" s="1"/>
  <c r="CR65" i="7" l="1"/>
  <c r="CS54" i="7"/>
  <c r="CS61" i="7" l="1"/>
  <c r="CT52" i="7"/>
  <c r="CT59" i="7" s="1"/>
  <c r="CS65" i="7" l="1"/>
  <c r="CT54" i="7"/>
  <c r="CT61" i="7" l="1"/>
  <c r="CU52" i="7"/>
  <c r="CU59" i="7" s="1"/>
  <c r="CT65" i="7" l="1"/>
  <c r="CU54" i="7"/>
  <c r="CU61" i="7" l="1"/>
  <c r="CU65" i="7" s="1"/>
  <c r="CV52" i="7"/>
  <c r="CV59" i="7" s="1"/>
  <c r="CV54" i="7" l="1"/>
  <c r="CV61" i="7" l="1"/>
  <c r="CW52" i="7"/>
  <c r="CW59" i="7" s="1"/>
  <c r="CV65" i="7" l="1"/>
  <c r="CW54" i="7"/>
  <c r="CW61" i="7" l="1"/>
  <c r="CX52" i="7"/>
  <c r="CX59" i="7" s="1"/>
  <c r="CW65" i="7" l="1"/>
  <c r="CX54" i="7"/>
  <c r="CX61" i="7" l="1"/>
  <c r="CY52" i="7"/>
  <c r="CY59" i="7" s="1"/>
  <c r="CX65" i="7" l="1"/>
  <c r="CY54" i="7"/>
  <c r="CY61" i="7" l="1"/>
  <c r="CZ52" i="7"/>
  <c r="CZ59" i="7" s="1"/>
  <c r="CY65" i="7" l="1"/>
  <c r="CZ54" i="7"/>
  <c r="CZ61" i="7" l="1"/>
  <c r="DA52" i="7"/>
  <c r="DA59" i="7" s="1"/>
  <c r="CZ65" i="7" l="1"/>
  <c r="DA54" i="7"/>
  <c r="DA61" i="7" l="1"/>
  <c r="DB52" i="7"/>
  <c r="DB59" i="7" s="1"/>
  <c r="DA65" i="7" l="1"/>
  <c r="DB54" i="7"/>
  <c r="DB61" i="7" l="1"/>
  <c r="DC52" i="7"/>
  <c r="DC59" i="7" s="1"/>
  <c r="DB65" i="7" l="1"/>
  <c r="DC54" i="7"/>
  <c r="DC61" i="7" l="1"/>
  <c r="DD52" i="7"/>
  <c r="DD59" i="7" s="1"/>
  <c r="DC65" i="7" l="1"/>
  <c r="DD54" i="7"/>
  <c r="DD61" i="7" l="1"/>
  <c r="DE52" i="7"/>
  <c r="DE59" i="7" s="1"/>
  <c r="DD65" i="7" l="1"/>
  <c r="DE54" i="7"/>
  <c r="DE61" i="7" l="1"/>
  <c r="DF52" i="7"/>
  <c r="DF59" i="7" s="1"/>
  <c r="DE65" i="7" l="1"/>
  <c r="DF54" i="7"/>
  <c r="DF61" i="7" l="1"/>
  <c r="DG52" i="7"/>
  <c r="DG59" i="7" s="1"/>
  <c r="DF65" i="7" l="1"/>
  <c r="DG54" i="7"/>
  <c r="DG61" i="7" l="1"/>
  <c r="DH52" i="7"/>
  <c r="DH59" i="7" s="1"/>
  <c r="DG65" i="7" l="1"/>
  <c r="DH54" i="7"/>
  <c r="DH61" i="7" l="1"/>
  <c r="DI52" i="7"/>
  <c r="DI59" i="7" s="1"/>
  <c r="DH65" i="7" l="1"/>
  <c r="DI54" i="7"/>
  <c r="DI61" i="7" l="1"/>
  <c r="DJ52" i="7"/>
  <c r="DJ59" i="7" s="1"/>
  <c r="DI65" i="7" l="1"/>
  <c r="DJ54" i="7"/>
  <c r="DJ61" i="7" l="1"/>
  <c r="DK52" i="7"/>
  <c r="DK59" i="7" s="1"/>
  <c r="DJ65" i="7" l="1"/>
  <c r="DK54" i="7"/>
  <c r="DK61" i="7" l="1"/>
  <c r="DL52" i="7"/>
  <c r="DL59" i="7" s="1"/>
  <c r="DK65" i="7" l="1"/>
  <c r="DL54" i="7"/>
  <c r="DL61" i="7" l="1"/>
  <c r="DM52" i="7"/>
  <c r="DM59" i="7" s="1"/>
  <c r="DL65" i="7" l="1"/>
  <c r="DM54" i="7"/>
  <c r="DM61" i="7" l="1"/>
  <c r="DN52" i="7"/>
  <c r="DN59" i="7" s="1"/>
  <c r="DM65" i="7" l="1"/>
  <c r="DN54" i="7"/>
  <c r="DN61" i="7" l="1"/>
  <c r="DO52" i="7"/>
  <c r="DO59" i="7" s="1"/>
  <c r="DN65" i="7" l="1"/>
  <c r="DO54" i="7"/>
  <c r="DO61" i="7" l="1"/>
  <c r="DP52" i="7"/>
  <c r="DP59" i="7" s="1"/>
  <c r="DO65" i="7" l="1"/>
  <c r="DP54" i="7"/>
  <c r="DP61" i="7" l="1"/>
  <c r="DQ52" i="7"/>
  <c r="DQ59" i="7" s="1"/>
  <c r="DP65" i="7" l="1"/>
  <c r="DQ54" i="7"/>
  <c r="DQ61" i="7" l="1"/>
  <c r="DR52" i="7"/>
  <c r="DR59" i="7" s="1"/>
  <c r="DQ65" i="7" l="1"/>
  <c r="DR54" i="7"/>
  <c r="DR61" i="7" l="1"/>
  <c r="DS52" i="7"/>
  <c r="DS59" i="7" s="1"/>
  <c r="DR65" i="7" l="1"/>
  <c r="DS54" i="7"/>
  <c r="DS61" i="7" l="1"/>
  <c r="DT52" i="7"/>
  <c r="DT59" i="7" s="1"/>
  <c r="DS65" i="7" l="1"/>
  <c r="DT54" i="7"/>
  <c r="DT61" i="7" l="1"/>
  <c r="DU52" i="7"/>
  <c r="DU59" i="7" s="1"/>
  <c r="DT65" i="7" l="1"/>
  <c r="DU54" i="7"/>
  <c r="DU61" i="7" l="1"/>
  <c r="DV52" i="7"/>
  <c r="DV59" i="7" s="1"/>
  <c r="DU65" i="7" l="1"/>
  <c r="DV54" i="7"/>
  <c r="DV61" i="7" l="1"/>
  <c r="DW52" i="7"/>
  <c r="DW59" i="7" s="1"/>
  <c r="DV65" i="7" l="1"/>
  <c r="DW54" i="7"/>
  <c r="DW61" i="7" l="1"/>
  <c r="DX52" i="7"/>
  <c r="DX59" i="7" s="1"/>
  <c r="DW65" i="7" l="1"/>
  <c r="DX54" i="7"/>
  <c r="DX61" i="7" l="1"/>
  <c r="DY52" i="7"/>
  <c r="DY59" i="7" s="1"/>
  <c r="DX65" i="7" l="1"/>
  <c r="DY54" i="7"/>
  <c r="DY61" i="7" l="1"/>
  <c r="DZ52" i="7"/>
  <c r="DZ59" i="7" s="1"/>
  <c r="DY65" i="7" l="1"/>
  <c r="DZ54" i="7"/>
  <c r="DZ61" i="7" l="1"/>
  <c r="EA52" i="7"/>
  <c r="EA59" i="7" s="1"/>
  <c r="DZ65" i="7" l="1"/>
  <c r="EA54" i="7"/>
  <c r="EA61" i="7" l="1"/>
  <c r="EB52" i="7"/>
  <c r="EB59" i="7" s="1"/>
  <c r="EA65" i="7" l="1"/>
  <c r="EB54" i="7"/>
  <c r="EB61" i="7" l="1"/>
  <c r="EC52" i="7"/>
  <c r="EC59" i="7" s="1"/>
  <c r="EB65" i="7" l="1"/>
  <c r="EC54" i="7"/>
  <c r="EC61" i="7" l="1"/>
  <c r="ED52" i="7"/>
  <c r="ED59" i="7" s="1"/>
  <c r="EC65" i="7" l="1"/>
  <c r="ED54" i="7"/>
  <c r="ED61" i="7" l="1"/>
  <c r="EE52" i="7"/>
  <c r="EE54" i="7" l="1"/>
  <c r="EF52" i="7" s="1"/>
  <c r="EE59" i="7"/>
  <c r="ED65" i="7"/>
  <c r="EF54" i="7" l="1"/>
  <c r="EG52" i="7" s="1"/>
  <c r="EF59" i="7"/>
  <c r="EE61" i="7"/>
  <c r="EG54" i="7" l="1"/>
  <c r="EG59" i="7"/>
  <c r="EF61" i="7"/>
  <c r="EE65" i="7"/>
  <c r="EH52" i="7"/>
  <c r="EH54" i="7" l="1"/>
  <c r="EI52" i="7" s="1"/>
  <c r="EH59" i="7"/>
  <c r="EG61" i="7"/>
  <c r="EF65" i="7"/>
  <c r="EI54" i="7" l="1"/>
  <c r="EJ52" i="7" s="1"/>
  <c r="EI59" i="7"/>
  <c r="EH61" i="7"/>
  <c r="EG65" i="7"/>
  <c r="EJ54" i="7" l="1"/>
  <c r="EK52" i="7" s="1"/>
  <c r="EJ59" i="7"/>
  <c r="EI61" i="7"/>
  <c r="EH65" i="7"/>
  <c r="EK54" i="7" l="1"/>
  <c r="EL52" i="7" s="1"/>
  <c r="EK59" i="7"/>
  <c r="EJ61" i="7"/>
  <c r="EI65" i="7"/>
  <c r="EL54" i="7" l="1"/>
  <c r="EM52" i="7" s="1"/>
  <c r="EL59" i="7"/>
  <c r="EK61" i="7"/>
  <c r="EJ65" i="7"/>
  <c r="EM54" i="7" l="1"/>
  <c r="EN52" i="7" s="1"/>
  <c r="EM59" i="7"/>
  <c r="EL61" i="7"/>
  <c r="EK65" i="7"/>
  <c r="EN54" i="7" l="1"/>
  <c r="EO52" i="7" s="1"/>
  <c r="EN59" i="7"/>
  <c r="EM61" i="7"/>
  <c r="EL65" i="7"/>
  <c r="EO54" i="7" l="1"/>
  <c r="EP52" i="7" s="1"/>
  <c r="EO59" i="7"/>
  <c r="EN61" i="7"/>
  <c r="EM65" i="7"/>
  <c r="EP54" i="7" l="1"/>
  <c r="EQ52" i="7" s="1"/>
  <c r="EP59" i="7"/>
  <c r="EO61" i="7"/>
  <c r="EN65" i="7"/>
  <c r="EQ54" i="7" l="1"/>
  <c r="ER52" i="7" s="1"/>
  <c r="EQ59" i="7"/>
  <c r="EP61" i="7"/>
  <c r="EO65" i="7"/>
  <c r="ER54" i="7" l="1"/>
  <c r="ES52" i="7" s="1"/>
  <c r="ER59" i="7"/>
  <c r="EQ61" i="7"/>
  <c r="EP65" i="7"/>
  <c r="ES54" i="7" l="1"/>
  <c r="ET52" i="7" s="1"/>
  <c r="ES59" i="7"/>
  <c r="ER61" i="7"/>
  <c r="EQ65" i="7"/>
  <c r="ET54" i="7" l="1"/>
  <c r="EU52" i="7" s="1"/>
  <c r="ET59" i="7"/>
  <c r="ES61" i="7"/>
  <c r="ER65" i="7"/>
  <c r="EU54" i="7" l="1"/>
  <c r="EV52" i="7" s="1"/>
  <c r="EU59" i="7"/>
  <c r="ET61" i="7"/>
  <c r="ES65" i="7"/>
  <c r="EV54" i="7" l="1"/>
  <c r="EW52" i="7" s="1"/>
  <c r="EV59" i="7"/>
  <c r="EU61" i="7"/>
  <c r="ET65" i="7"/>
  <c r="EW54" i="7" l="1"/>
  <c r="EX52" i="7" s="1"/>
  <c r="EW59" i="7"/>
  <c r="EV61" i="7"/>
  <c r="EU65" i="7"/>
  <c r="EX54" i="7" l="1"/>
  <c r="EY52" i="7" s="1"/>
  <c r="EX59" i="7"/>
  <c r="EW61" i="7"/>
  <c r="EV65" i="7"/>
  <c r="EY54" i="7" l="1"/>
  <c r="EZ52" i="7" s="1"/>
  <c r="EY59" i="7"/>
  <c r="EX61" i="7"/>
  <c r="EW65" i="7"/>
  <c r="EZ54" i="7" l="1"/>
  <c r="FA52" i="7" s="1"/>
  <c r="EZ59" i="7"/>
  <c r="EY61" i="7"/>
  <c r="EX65" i="7"/>
  <c r="FA54" i="7" l="1"/>
  <c r="FB52" i="7" s="1"/>
  <c r="FA59" i="7"/>
  <c r="EZ61" i="7"/>
  <c r="EY65" i="7"/>
  <c r="FB54" i="7" l="1"/>
  <c r="FC52" i="7" s="1"/>
  <c r="FB59" i="7"/>
  <c r="FA61" i="7"/>
  <c r="EZ65" i="7"/>
  <c r="FC54" i="7" l="1"/>
  <c r="FD52" i="7" s="1"/>
  <c r="FC59" i="7"/>
  <c r="FB61" i="7"/>
  <c r="FA65" i="7"/>
  <c r="FD54" i="7" l="1"/>
  <c r="FE52" i="7" s="1"/>
  <c r="FD59" i="7"/>
  <c r="FC61" i="7"/>
  <c r="FB65" i="7"/>
  <c r="FE54" i="7" l="1"/>
  <c r="FF52" i="7" s="1"/>
  <c r="FE59" i="7"/>
  <c r="FD61" i="7"/>
  <c r="FC65" i="7"/>
  <c r="FF54" i="7" l="1"/>
  <c r="FG52" i="7" s="1"/>
  <c r="FF59" i="7"/>
  <c r="FE61" i="7"/>
  <c r="FD65" i="7"/>
  <c r="FG54" i="7" l="1"/>
  <c r="FH52" i="7" s="1"/>
  <c r="FG59" i="7"/>
  <c r="FF61" i="7"/>
  <c r="FE65" i="7"/>
  <c r="FH54" i="7" l="1"/>
  <c r="FI52" i="7" s="1"/>
  <c r="FH59" i="7"/>
  <c r="FG61" i="7"/>
  <c r="FF65" i="7"/>
  <c r="FI54" i="7" l="1"/>
  <c r="FJ52" i="7" s="1"/>
  <c r="FI59" i="7"/>
  <c r="FH61" i="7"/>
  <c r="FG65" i="7"/>
  <c r="FJ54" i="7" l="1"/>
  <c r="FK52" i="7" s="1"/>
  <c r="FJ59" i="7"/>
  <c r="FI61" i="7"/>
  <c r="FH65" i="7"/>
  <c r="FK54" i="7" l="1"/>
  <c r="FL52" i="7" s="1"/>
  <c r="FK59" i="7"/>
  <c r="FJ61" i="7"/>
  <c r="FI65" i="7"/>
  <c r="FL54" i="7" l="1"/>
  <c r="FM52" i="7" s="1"/>
  <c r="FL59" i="7"/>
  <c r="FK61" i="7"/>
  <c r="FJ65" i="7"/>
  <c r="FM54" i="7" l="1"/>
  <c r="FN52" i="7" s="1"/>
  <c r="FM59" i="7"/>
  <c r="FL61" i="7"/>
  <c r="FL65" i="7" s="1"/>
  <c r="FK65" i="7"/>
  <c r="FN54" i="7" l="1"/>
  <c r="FO52" i="7" s="1"/>
  <c r="FN59" i="7"/>
  <c r="FM61" i="7"/>
  <c r="FM65" i="7" s="1"/>
  <c r="FO54" i="7" l="1"/>
  <c r="FP52" i="7" s="1"/>
  <c r="FO59" i="7"/>
  <c r="FN61" i="7"/>
  <c r="FN65" i="7" s="1"/>
  <c r="FP54" i="7" l="1"/>
  <c r="FQ52" i="7" s="1"/>
  <c r="FP59" i="7"/>
  <c r="FO61" i="7"/>
  <c r="FO65" i="7" s="1"/>
  <c r="FQ54" i="7" l="1"/>
  <c r="FR52" i="7" s="1"/>
  <c r="FQ59" i="7"/>
  <c r="FP61" i="7"/>
  <c r="FP65" i="7" s="1"/>
  <c r="FR54" i="7" l="1"/>
  <c r="FS52" i="7" s="1"/>
  <c r="FR59" i="7"/>
  <c r="FQ61" i="7"/>
  <c r="FQ65" i="7" s="1"/>
  <c r="FS54" i="7" l="1"/>
  <c r="FT52" i="7" s="1"/>
  <c r="FS59" i="7"/>
  <c r="FR61" i="7"/>
  <c r="FR65" i="7" s="1"/>
  <c r="FT54" i="7" l="1"/>
  <c r="FU52" i="7" s="1"/>
  <c r="FT59" i="7"/>
  <c r="FS61" i="7"/>
  <c r="FS65" i="7" s="1"/>
  <c r="FU54" i="7" l="1"/>
  <c r="FV52" i="7" s="1"/>
  <c r="FU59" i="7"/>
  <c r="FT61" i="7"/>
  <c r="FT65" i="7" s="1"/>
  <c r="FV54" i="7" l="1"/>
  <c r="FW52" i="7" s="1"/>
  <c r="FW59" i="7" s="1"/>
  <c r="FV59" i="7"/>
  <c r="FU61" i="7"/>
  <c r="FU65" i="7" s="1"/>
  <c r="FW54" i="7" l="1"/>
  <c r="FX52" i="7" s="1"/>
  <c r="FX59" i="7" s="1"/>
  <c r="FV61" i="7"/>
  <c r="FW61" i="7" s="1"/>
  <c r="FX54" i="7" l="1"/>
  <c r="FY52" i="7" s="1"/>
  <c r="FY59" i="7" s="1"/>
  <c r="FV65" i="7"/>
  <c r="FX61" i="7"/>
  <c r="FW65" i="7"/>
  <c r="FY54" i="7" l="1"/>
  <c r="FZ52" i="7" s="1"/>
  <c r="FZ59" i="7" s="1"/>
  <c r="FY61" i="7"/>
  <c r="FX65" i="7"/>
  <c r="FZ54" i="7" l="1"/>
  <c r="GA52" i="7" s="1"/>
  <c r="GA59" i="7" s="1"/>
  <c r="FZ61" i="7"/>
  <c r="FY65" i="7"/>
  <c r="GA54" i="7" l="1"/>
  <c r="GB52" i="7" s="1"/>
  <c r="GB59" i="7" s="1"/>
  <c r="GA61" i="7"/>
  <c r="FZ65" i="7"/>
  <c r="GB54" i="7" l="1"/>
  <c r="GC52" i="7" s="1"/>
  <c r="GC59" i="7" s="1"/>
  <c r="GB61" i="7"/>
  <c r="GA65" i="7"/>
  <c r="GC54" i="7" l="1"/>
  <c r="GD52" i="7" s="1"/>
  <c r="GD59" i="7" s="1"/>
  <c r="GC61" i="7"/>
  <c r="GB65" i="7"/>
  <c r="GD54" i="7" l="1"/>
  <c r="GE52" i="7" s="1"/>
  <c r="GE59" i="7" s="1"/>
  <c r="GD61" i="7"/>
  <c r="GE54" i="7"/>
  <c r="GF52" i="7" s="1"/>
  <c r="GF59" i="7" s="1"/>
  <c r="GC65" i="7"/>
  <c r="GE61" i="7" l="1"/>
  <c r="GD65" i="7"/>
  <c r="GF54" i="7"/>
  <c r="GG52" i="7" s="1"/>
  <c r="GG59" i="7" s="1"/>
  <c r="GF61" i="7" l="1"/>
  <c r="GG54" i="7"/>
  <c r="GH52" i="7" s="1"/>
  <c r="GH59" i="7" s="1"/>
  <c r="GE65" i="7"/>
  <c r="GG61" i="7" l="1"/>
  <c r="GF65" i="7"/>
  <c r="GH54" i="7"/>
  <c r="GI52" i="7" s="1"/>
  <c r="GI59" i="7" s="1"/>
  <c r="GH61" i="7" l="1"/>
  <c r="GI54" i="7"/>
  <c r="GJ52" i="7" s="1"/>
  <c r="GJ59" i="7" s="1"/>
  <c r="GG65" i="7"/>
  <c r="GI61" i="7" l="1"/>
  <c r="GH65" i="7"/>
  <c r="GJ54" i="7"/>
  <c r="GK52" i="7" s="1"/>
  <c r="GK59" i="7" s="1"/>
  <c r="GJ61" i="7" l="1"/>
  <c r="GK54" i="7"/>
  <c r="GL52" i="7" s="1"/>
  <c r="GL59" i="7" s="1"/>
  <c r="GI65" i="7"/>
  <c r="GK61" i="7" l="1"/>
  <c r="GJ65" i="7"/>
  <c r="GL54" i="7"/>
  <c r="GM52" i="7" s="1"/>
  <c r="GM59" i="7" s="1"/>
  <c r="GL61" i="7" l="1"/>
  <c r="GM54" i="7"/>
  <c r="GN52" i="7" s="1"/>
  <c r="GN59" i="7" s="1"/>
  <c r="GK65" i="7"/>
  <c r="GM61" i="7" l="1"/>
  <c r="GL65" i="7"/>
  <c r="GN54" i="7"/>
  <c r="GO52" i="7" s="1"/>
  <c r="GO59" i="7" s="1"/>
  <c r="GN61" i="7" l="1"/>
  <c r="GO54" i="7"/>
  <c r="GP52" i="7" s="1"/>
  <c r="GP59" i="7" s="1"/>
  <c r="GM65" i="7"/>
  <c r="GO61" i="7" l="1"/>
  <c r="GN65" i="7"/>
  <c r="GP54" i="7"/>
  <c r="GQ52" i="7" s="1"/>
  <c r="GQ59" i="7" s="1"/>
  <c r="GP61" i="7" l="1"/>
  <c r="GQ54" i="7"/>
  <c r="GR52" i="7" s="1"/>
  <c r="GR59" i="7" s="1"/>
  <c r="GO65" i="7"/>
  <c r="GQ61" i="7" l="1"/>
  <c r="GP65" i="7"/>
  <c r="GR54" i="7"/>
  <c r="GS52" i="7" s="1"/>
  <c r="GS59" i="7" s="1"/>
  <c r="GR61" i="7" l="1"/>
  <c r="GS54" i="7"/>
  <c r="GT52" i="7" s="1"/>
  <c r="GT59" i="7" s="1"/>
  <c r="GQ65" i="7"/>
  <c r="GS61" i="7" l="1"/>
  <c r="GR65" i="7"/>
  <c r="GT54" i="7"/>
  <c r="GU52" i="7" s="1"/>
  <c r="GU59" i="7" s="1"/>
  <c r="GT61" i="7" l="1"/>
  <c r="GU54" i="7"/>
  <c r="GV52" i="7" s="1"/>
  <c r="GV59" i="7" s="1"/>
  <c r="GS65" i="7"/>
  <c r="GU61" i="7" l="1"/>
  <c r="GT65" i="7"/>
  <c r="GV54" i="7"/>
  <c r="GW52" i="7" s="1"/>
  <c r="GW59" i="7" s="1"/>
  <c r="GV61" i="7" l="1"/>
  <c r="GW54" i="7"/>
  <c r="GX52" i="7" s="1"/>
  <c r="GX59" i="7" s="1"/>
  <c r="GU65" i="7"/>
  <c r="GW61" i="7" l="1"/>
  <c r="GV65" i="7"/>
  <c r="GX54" i="7"/>
  <c r="GY52" i="7" s="1"/>
  <c r="GY59" i="7" s="1"/>
  <c r="GX61" i="7" l="1"/>
  <c r="GY54" i="7"/>
  <c r="GZ52" i="7" s="1"/>
  <c r="GZ59" i="7" s="1"/>
  <c r="GW65" i="7"/>
  <c r="GY61" i="7" l="1"/>
  <c r="GX65" i="7"/>
  <c r="GZ54" i="7"/>
  <c r="HA52" i="7" s="1"/>
  <c r="HA59" i="7" s="1"/>
  <c r="GZ61" i="7" l="1"/>
  <c r="HA54" i="7"/>
  <c r="HB52" i="7" s="1"/>
  <c r="GY65" i="7"/>
  <c r="HA61" i="7" l="1"/>
  <c r="HA65" i="7" s="1"/>
  <c r="GZ65" i="7"/>
  <c r="HB59" i="7"/>
  <c r="HB54" i="7"/>
  <c r="J11" i="13" l="1"/>
  <c r="J10" i="13" l="1"/>
  <c r="E20" i="6"/>
  <c r="E24" i="6" s="1"/>
  <c r="E26" i="6" l="1"/>
  <c r="E30" i="6" s="1"/>
  <c r="J12" i="13"/>
  <c r="J7" i="13" l="1"/>
  <c r="J6" i="13"/>
  <c r="J8" i="13"/>
  <c r="J9" i="13"/>
  <c r="E7" i="6" l="1"/>
  <c r="E6" i="6"/>
  <c r="E9" i="6"/>
  <c r="E11" i="6" s="1"/>
  <c r="H25" i="2" l="1"/>
  <c r="H11" i="2" s="1"/>
  <c r="I21" i="2"/>
  <c r="G24" i="2"/>
  <c r="G25" i="2"/>
  <c r="E24" i="2"/>
  <c r="H49" i="9" l="1"/>
  <c r="H48" i="9"/>
  <c r="J48" i="9" s="1"/>
  <c r="K48" i="9" s="1"/>
  <c r="N5" i="9" s="1"/>
  <c r="H50" i="9"/>
  <c r="H51" i="9"/>
  <c r="J51" i="9" s="1"/>
  <c r="K51" i="9" s="1"/>
  <c r="N8" i="9" s="1"/>
  <c r="H53" i="9"/>
  <c r="J53" i="9" s="1"/>
  <c r="K53" i="9" s="1"/>
  <c r="N10" i="9" s="1"/>
  <c r="H52" i="9"/>
  <c r="J52" i="9" s="1"/>
  <c r="K52" i="9" s="1"/>
  <c r="N9" i="9" s="1"/>
  <c r="H54" i="9"/>
  <c r="J54" i="9" s="1"/>
  <c r="K54" i="9" s="1"/>
  <c r="N11" i="9" s="1"/>
  <c r="H55" i="9"/>
  <c r="J55" i="9" s="1"/>
  <c r="K55" i="9" s="1"/>
  <c r="N12" i="9" s="1"/>
  <c r="H56" i="9"/>
  <c r="H57" i="9"/>
  <c r="J57" i="9" s="1"/>
  <c r="K57" i="9" s="1"/>
  <c r="N14" i="9" s="1"/>
  <c r="H58" i="9"/>
  <c r="H59" i="9"/>
  <c r="J59" i="9" s="1"/>
  <c r="K59" i="9" s="1"/>
  <c r="N16" i="9" s="1"/>
  <c r="H60" i="9"/>
  <c r="H61" i="9"/>
  <c r="H62" i="9"/>
  <c r="J62" i="9" s="1"/>
  <c r="K62" i="9" s="1"/>
  <c r="N19" i="9" s="1"/>
  <c r="H63" i="9"/>
  <c r="J63" i="9" s="1"/>
  <c r="K63" i="9" s="1"/>
  <c r="N20" i="9" s="1"/>
  <c r="H64" i="9"/>
  <c r="H65" i="9"/>
  <c r="H66" i="9"/>
  <c r="J66" i="9" s="1"/>
  <c r="K66" i="9" s="1"/>
  <c r="N23" i="9" s="1"/>
  <c r="H67" i="9"/>
  <c r="J67" i="9" s="1"/>
  <c r="K67" i="9" s="1"/>
  <c r="N24" i="9" s="1"/>
  <c r="H68" i="9"/>
  <c r="H69" i="9"/>
  <c r="H70" i="9"/>
  <c r="J70" i="9" s="1"/>
  <c r="K70" i="9" s="1"/>
  <c r="N27" i="9" s="1"/>
  <c r="H71" i="9"/>
  <c r="J71" i="9" s="1"/>
  <c r="K71" i="9" s="1"/>
  <c r="N28" i="9" s="1"/>
  <c r="H72" i="9"/>
  <c r="H73" i="9"/>
  <c r="H74" i="9"/>
  <c r="J74" i="9" s="1"/>
  <c r="K74" i="9" s="1"/>
  <c r="N31" i="9" s="1"/>
  <c r="H75" i="9"/>
  <c r="J75" i="9" s="1"/>
  <c r="K75" i="9" s="1"/>
  <c r="N32" i="9" s="1"/>
  <c r="H76" i="9"/>
  <c r="H77" i="9"/>
  <c r="J77" i="9" s="1"/>
  <c r="K77" i="9" s="1"/>
  <c r="N34" i="9" s="1"/>
  <c r="H78" i="9"/>
  <c r="J78" i="9" s="1"/>
  <c r="K78" i="9" s="1"/>
  <c r="N35" i="9" s="1"/>
  <c r="H79" i="9"/>
  <c r="J79" i="9" s="1"/>
  <c r="K79" i="9" s="1"/>
  <c r="N36" i="9" s="1"/>
  <c r="H81" i="9"/>
  <c r="H80" i="9"/>
  <c r="J80" i="9" s="1"/>
  <c r="K80" i="9" s="1"/>
  <c r="N37" i="9" s="1"/>
  <c r="H82" i="9"/>
  <c r="I24" i="2"/>
  <c r="I25" i="2"/>
  <c r="E26" i="2"/>
  <c r="E10" i="2"/>
  <c r="E12" i="2" s="1"/>
  <c r="H47" i="9"/>
  <c r="J47" i="9" s="1"/>
  <c r="K47" i="9" s="1"/>
  <c r="N4" i="9" s="1"/>
  <c r="J49" i="9"/>
  <c r="K49" i="9" s="1"/>
  <c r="N6" i="9" s="1"/>
  <c r="J50" i="9"/>
  <c r="K50" i="9" s="1"/>
  <c r="N7" i="9" s="1"/>
  <c r="J56" i="9"/>
  <c r="K56" i="9" s="1"/>
  <c r="N13" i="9" s="1"/>
  <c r="J58" i="9"/>
  <c r="K58" i="9" s="1"/>
  <c r="N15" i="9" s="1"/>
  <c r="J60" i="9"/>
  <c r="K60" i="9" s="1"/>
  <c r="N17" i="9" s="1"/>
  <c r="J61" i="9"/>
  <c r="K61" i="9" s="1"/>
  <c r="N18" i="9" s="1"/>
  <c r="J64" i="9"/>
  <c r="K64" i="9" s="1"/>
  <c r="N21" i="9" s="1"/>
  <c r="J65" i="9"/>
  <c r="K65" i="9" s="1"/>
  <c r="N22" i="9" s="1"/>
  <c r="G11" i="2"/>
  <c r="J68" i="9"/>
  <c r="K68" i="9" s="1"/>
  <c r="N25" i="9" s="1"/>
  <c r="J69" i="9"/>
  <c r="K69" i="9" s="1"/>
  <c r="N26" i="9" s="1"/>
  <c r="J72" i="9"/>
  <c r="K72" i="9" s="1"/>
  <c r="N29" i="9" s="1"/>
  <c r="J73" i="9"/>
  <c r="K73" i="9" s="1"/>
  <c r="N30" i="9" s="1"/>
  <c r="J76" i="9"/>
  <c r="K76" i="9" s="1"/>
  <c r="N33" i="9" s="1"/>
  <c r="J81" i="9"/>
  <c r="K81" i="9" s="1"/>
  <c r="N38" i="9" s="1"/>
  <c r="H10" i="2"/>
  <c r="H12" i="2" s="1"/>
  <c r="H26" i="2"/>
  <c r="G26" i="2"/>
  <c r="K4" i="9" s="1"/>
  <c r="G10" i="2"/>
  <c r="I11" i="2" l="1"/>
  <c r="E21" i="3" s="1"/>
  <c r="N43" i="9"/>
  <c r="L43" i="9"/>
  <c r="K38" i="9"/>
  <c r="O38" i="9" s="1"/>
  <c r="K11" i="9"/>
  <c r="O11" i="9" s="1"/>
  <c r="K19" i="9"/>
  <c r="O19" i="9" s="1"/>
  <c r="K27" i="9"/>
  <c r="O27" i="9" s="1"/>
  <c r="K35" i="9"/>
  <c r="O35" i="9" s="1"/>
  <c r="K31" i="9"/>
  <c r="O31" i="9" s="1"/>
  <c r="K39" i="9"/>
  <c r="K12" i="9"/>
  <c r="O12" i="9" s="1"/>
  <c r="K20" i="9"/>
  <c r="O20" i="9" s="1"/>
  <c r="K28" i="9"/>
  <c r="O28" i="9" s="1"/>
  <c r="K22" i="9"/>
  <c r="O22" i="9" s="1"/>
  <c r="K8" i="9"/>
  <c r="O8" i="9" s="1"/>
  <c r="K17" i="9"/>
  <c r="O17" i="9" s="1"/>
  <c r="K26" i="9"/>
  <c r="O26" i="9" s="1"/>
  <c r="K6" i="9"/>
  <c r="O6" i="9" s="1"/>
  <c r="K13" i="9"/>
  <c r="O13" i="9" s="1"/>
  <c r="K21" i="9"/>
  <c r="O21" i="9" s="1"/>
  <c r="K29" i="9"/>
  <c r="O29" i="9" s="1"/>
  <c r="K30" i="9"/>
  <c r="O30" i="9" s="1"/>
  <c r="K32" i="9"/>
  <c r="O32" i="9" s="1"/>
  <c r="K33" i="9"/>
  <c r="O33" i="9" s="1"/>
  <c r="K18" i="9"/>
  <c r="O18" i="9" s="1"/>
  <c r="K5" i="9"/>
  <c r="O5" i="9" s="1"/>
  <c r="K14" i="9"/>
  <c r="O14" i="9" s="1"/>
  <c r="K24" i="9"/>
  <c r="O24" i="9" s="1"/>
  <c r="K25" i="9"/>
  <c r="O25" i="9" s="1"/>
  <c r="K37" i="9"/>
  <c r="O37" i="9" s="1"/>
  <c r="K34" i="9"/>
  <c r="O34" i="9" s="1"/>
  <c r="K7" i="9"/>
  <c r="O7" i="9" s="1"/>
  <c r="K15" i="9"/>
  <c r="O15" i="9" s="1"/>
  <c r="K23" i="9"/>
  <c r="O23" i="9" s="1"/>
  <c r="K16" i="9"/>
  <c r="O16" i="9" s="1"/>
  <c r="O9" i="9"/>
  <c r="K10" i="9"/>
  <c r="O10" i="9" s="1"/>
  <c r="K36" i="9"/>
  <c r="O36" i="9" s="1"/>
  <c r="I10" i="2"/>
  <c r="G12" i="2"/>
  <c r="I12" i="2" s="1"/>
  <c r="E19" i="3" s="1"/>
  <c r="E6" i="5"/>
  <c r="C48" i="9"/>
  <c r="J82" i="9"/>
  <c r="K82" i="9" s="1"/>
  <c r="N39" i="9" s="1"/>
  <c r="I26" i="2"/>
  <c r="O4" i="9"/>
  <c r="O39" i="9" l="1"/>
  <c r="P18" i="9"/>
  <c r="P7" i="9"/>
  <c r="P33" i="9"/>
  <c r="P17" i="9"/>
  <c r="P35" i="9"/>
  <c r="P23" i="9"/>
  <c r="P15" i="9"/>
  <c r="O43" i="9"/>
  <c r="P4" i="9"/>
  <c r="P8" i="9"/>
  <c r="P27" i="9"/>
  <c r="E5" i="5"/>
  <c r="E22" i="3"/>
  <c r="E23" i="3" s="1"/>
  <c r="E26" i="3" s="1"/>
  <c r="E29" i="3" s="1"/>
  <c r="E31" i="3" s="1"/>
  <c r="E33" i="3" s="1"/>
  <c r="E7" i="5" s="1"/>
  <c r="P36" i="9"/>
  <c r="P37" i="9"/>
  <c r="P30" i="9"/>
  <c r="P22" i="9"/>
  <c r="P19" i="9"/>
  <c r="P5" i="9"/>
  <c r="P26" i="9"/>
  <c r="P34" i="9"/>
  <c r="P25" i="9"/>
  <c r="P28" i="9"/>
  <c r="P11" i="9"/>
  <c r="P9" i="9"/>
  <c r="P24" i="9"/>
  <c r="P21" i="9"/>
  <c r="P20" i="9"/>
  <c r="P38" i="9"/>
  <c r="P6" i="9"/>
  <c r="P31" i="9"/>
  <c r="P32" i="9"/>
  <c r="K43" i="9"/>
  <c r="C47" i="9" s="1"/>
  <c r="P10" i="9"/>
  <c r="P29" i="9"/>
  <c r="P16" i="9"/>
  <c r="P14" i="9"/>
  <c r="P13" i="9"/>
  <c r="P12" i="9"/>
  <c r="P39" i="9"/>
  <c r="E8" i="5" l="1"/>
  <c r="E15" i="5" s="1"/>
  <c r="C49" i="9"/>
  <c r="P43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tc={856BFF6F-1673-4D14-80CE-B19D214A1E77}</author>
  </authors>
  <commentList>
    <comment ref="C4" authorId="0" shapeId="0" xr:uid="{856BFF6F-1673-4D14-80CE-B19D214A1E77}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90% of asset retirements based on 90% of capital replacement allowed by the IRAC.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Crockett, Gloria</author>
    <author>tc={839218C4-CD69-4EA3-9FAC-E8F04F37302B}</author>
  </authors>
  <commentList>
    <comment ref="R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Crockett, Gloria:</t>
        </r>
        <r>
          <rPr>
            <sz val="9"/>
            <color indexed="81"/>
            <rFont val="Tahoma"/>
            <family val="2"/>
          </rPr>
          <t xml:space="preserve">
Est WIP CIS in use in 2026</t>
        </r>
      </text>
    </comment>
    <comment ref="V1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Crockett, Gloria:</t>
        </r>
        <r>
          <rPr>
            <sz val="9"/>
            <color indexed="81"/>
            <rFont val="Tahoma"/>
            <family val="2"/>
          </rPr>
          <t xml:space="preserve">
Est WIP CIS in use in 2026</t>
        </r>
      </text>
    </comment>
    <comment ref="Z1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Crockett, Gloria:</t>
        </r>
        <r>
          <rPr>
            <sz val="9"/>
            <color indexed="81"/>
            <rFont val="Tahoma"/>
            <family val="2"/>
          </rPr>
          <t xml:space="preserve">
Est WIP CIS in use in 2026</t>
        </r>
      </text>
    </comment>
    <comment ref="AD16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Crockett, Gloria:</t>
        </r>
        <r>
          <rPr>
            <sz val="9"/>
            <color indexed="81"/>
            <rFont val="Tahoma"/>
            <family val="2"/>
          </rPr>
          <t xml:space="preserve">
Est WIP CIS in use in 2026</t>
        </r>
      </text>
    </comment>
    <comment ref="AH16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Crockett, Gloria:</t>
        </r>
        <r>
          <rPr>
            <sz val="9"/>
            <color indexed="81"/>
            <rFont val="Tahoma"/>
            <family val="2"/>
          </rPr>
          <t xml:space="preserve">
Est WIP CIS in use in 2026</t>
        </r>
      </text>
    </comment>
    <comment ref="AO49" authorId="1" shapeId="0" xr:uid="{839218C4-CD69-4EA3-9FAC-E8F04F37302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Cost of removal at end of life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tc={09201160-4284-4F5E-B9B0-AB970D9CE097}</author>
    <author>tc={20C65606-AA32-46A4-9911-080841AABE43}</author>
    <author>tc={322A700B-CA9C-479F-A85E-E46DEA4DFB7D}</author>
    <author>tc={33F277E5-2D59-4897-87DF-16D61B030D0A}</author>
    <author>tc={24336513-FDB6-414D-9995-E6EA0E4402DB}</author>
    <author>tc={960BDE4E-A319-445D-ADFD-D7BB0EFE1B00}</author>
  </authors>
  <commentList>
    <comment ref="E18" authorId="0" shapeId="0" xr:uid="{09201160-4284-4F5E-B9B0-AB970D9CE097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Cost of debt used to calc WACC is net of IDC charged to capital and Fiona interest charged to deferral account.</t>
        </r>
      </text>
    </comment>
    <comment ref="G18" authorId="1" shapeId="0" xr:uid="{20C65606-AA32-46A4-9911-080841AABE43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Cost of debt used to calc WACC is net of IDC and Fiona interest charged to deferral account.</t>
        </r>
      </text>
    </comment>
    <comment ref="H18" authorId="2" shapeId="0" xr:uid="{322A700B-CA9C-479F-A85E-E46DEA4DFB7D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Cost of debt used to calc WACC is net of IDC and Fiona interest charged to deferral account.</t>
        </r>
      </text>
    </comment>
    <comment ref="E19" authorId="3" shapeId="0" xr:uid="{33F277E5-2D59-4897-87DF-16D61B030D0A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Approved in rates UE23-04</t>
        </r>
      </text>
    </comment>
    <comment ref="G19" authorId="4" shapeId="0" xr:uid="{24336513-FDB6-414D-9995-E6EA0E4402D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Approved in rates UE23-04</t>
        </r>
      </text>
    </comment>
    <comment ref="H19" authorId="5" shapeId="0" xr:uid="{960BDE4E-A319-445D-ADFD-D7BB0EFE1B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Approved in rates UE23-04</t>
        </r>
      </text>
    </comment>
  </commentList>
</comments>
</file>

<file path=xl/sharedStrings.xml><?xml version="1.0" encoding="utf-8"?>
<sst xmlns="http://schemas.openxmlformats.org/spreadsheetml/2006/main" count="479" uniqueCount="309">
  <si>
    <t>Ref</t>
  </si>
  <si>
    <t>1</t>
  </si>
  <si>
    <t>2</t>
  </si>
  <si>
    <t>3</t>
  </si>
  <si>
    <t>5</t>
  </si>
  <si>
    <t>6</t>
  </si>
  <si>
    <t>7</t>
  </si>
  <si>
    <t>8</t>
  </si>
  <si>
    <t>9</t>
  </si>
  <si>
    <t>10</t>
  </si>
  <si>
    <t>11</t>
  </si>
  <si>
    <t>Depreciation Expense</t>
  </si>
  <si>
    <t>12</t>
  </si>
  <si>
    <t>13</t>
  </si>
  <si>
    <t>14</t>
  </si>
  <si>
    <t>15</t>
  </si>
  <si>
    <t>16</t>
  </si>
  <si>
    <t>Accumulated Depreciation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</si>
  <si>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</si>
  <si>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</si>
  <si>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</si>
  <si>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</si>
  <si>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</si>
  <si>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</si>
  <si>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</si>
  <si>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</si>
  <si>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</si>
  <si>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</si>
  <si>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</si>
  <si>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</si>
  <si>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</si>
  <si>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</si>
  <si>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</si>
  <si>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</si>
  <si>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</si>
  <si>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</si>
  <si>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Future Income Taxes</t>
  </si>
  <si>
    <t>4</t>
  </si>
  <si>
    <t xml:space="preserve">  Debt</t>
  </si>
  <si>
    <t xml:space="preserve">  Common Equity</t>
  </si>
  <si>
    <t xml:space="preserve">  Cost of Common Equity</t>
  </si>
  <si>
    <t>ref</t>
  </si>
  <si>
    <t>Ending UCC</t>
  </si>
  <si>
    <t>35</t>
  </si>
  <si>
    <t>36</t>
  </si>
  <si>
    <t>37</t>
  </si>
  <si>
    <t>38</t>
  </si>
  <si>
    <t>39</t>
  </si>
  <si>
    <t>40</t>
  </si>
  <si>
    <t>Depreciation</t>
  </si>
  <si>
    <t>Future Tax Rate</t>
  </si>
  <si>
    <t>Add: Depreciation</t>
  </si>
  <si>
    <t>Corporate Tax Rate</t>
  </si>
  <si>
    <t>Capital Cost Allowance</t>
  </si>
  <si>
    <t>Difference CCA/Depreciation</t>
  </si>
  <si>
    <t>Income Taxes</t>
  </si>
  <si>
    <t>Return on Rate Base</t>
  </si>
  <si>
    <t>Customer Contributions</t>
  </si>
  <si>
    <t>Depreciation Expense - Contributions</t>
  </si>
  <si>
    <t xml:space="preserve">  Amortization of Customer Contributions</t>
  </si>
  <si>
    <t>Return on Debt</t>
  </si>
  <si>
    <t>Return on Common Equity</t>
  </si>
  <si>
    <t>Debt Return</t>
  </si>
  <si>
    <t>WA Cost of Debt</t>
  </si>
  <si>
    <t>WA Cost of Common Equity</t>
  </si>
  <si>
    <t xml:space="preserve">  Depreciation Rate (Note 2)</t>
  </si>
  <si>
    <t>Capital Investment</t>
  </si>
  <si>
    <t xml:space="preserve">  Capital Investment</t>
  </si>
  <si>
    <t xml:space="preserve">  Costs of Removal (Note 3)</t>
  </si>
  <si>
    <t xml:space="preserve">  Total Return On Rate Base</t>
  </si>
  <si>
    <t>Less: CCA</t>
  </si>
  <si>
    <r>
      <t xml:space="preserve">  Retirements (</t>
    </r>
    <r>
      <rPr>
        <sz val="10"/>
        <rFont val="Arial"/>
        <family val="2"/>
      </rPr>
      <t>Note 1</t>
    </r>
    <r>
      <rPr>
        <sz val="10"/>
        <color theme="1"/>
        <rFont val="Arial"/>
        <family val="2"/>
      </rPr>
      <t>)</t>
    </r>
  </si>
  <si>
    <t>Total Income Tax Expense</t>
  </si>
  <si>
    <t>Return on Equity</t>
  </si>
  <si>
    <t>Income Taxes (000s)</t>
  </si>
  <si>
    <t>Project Rate Impact</t>
  </si>
  <si>
    <t>Income Tax Effects of Increased Return</t>
  </si>
  <si>
    <t>Rate Base &amp; Cost of Capital (000s)</t>
  </si>
  <si>
    <t xml:space="preserve">  Plant Investment for Depreciation</t>
  </si>
  <si>
    <t>Annual</t>
  </si>
  <si>
    <t xml:space="preserve">  Annual Contributions</t>
  </si>
  <si>
    <t xml:space="preserve">  Total Capital Investment</t>
  </si>
  <si>
    <t xml:space="preserve"> Total Change in Accumulated Depreciation</t>
  </si>
  <si>
    <t>Depreciation (000s)</t>
  </si>
  <si>
    <t xml:space="preserve">  Projected Rate Base</t>
  </si>
  <si>
    <t>C = A + B</t>
  </si>
  <si>
    <t>D</t>
  </si>
  <si>
    <t>E = C X D</t>
  </si>
  <si>
    <t>A</t>
  </si>
  <si>
    <t>F</t>
  </si>
  <si>
    <t>G = A + F</t>
  </si>
  <si>
    <t>E</t>
  </si>
  <si>
    <t>I = H + E</t>
  </si>
  <si>
    <t>K</t>
  </si>
  <si>
    <t>L = F X K</t>
  </si>
  <si>
    <t>B</t>
  </si>
  <si>
    <t>C</t>
  </si>
  <si>
    <t>F = C - E</t>
  </si>
  <si>
    <t>H = F X G</t>
  </si>
  <si>
    <t>I</t>
  </si>
  <si>
    <t>J</t>
  </si>
  <si>
    <t>L</t>
  </si>
  <si>
    <t>M</t>
  </si>
  <si>
    <t>Reference</t>
  </si>
  <si>
    <t>A = J from Page 1</t>
  </si>
  <si>
    <t>H = A / (1-17%) X 17%</t>
  </si>
  <si>
    <t>Weighted Average Cost of Capital ("WACC")</t>
  </si>
  <si>
    <t>Net Book Value (NBV) - Customer Contributions</t>
  </si>
  <si>
    <t>Net Book Value (NBV) - Plant Investment</t>
  </si>
  <si>
    <t>M = F - L</t>
  </si>
  <si>
    <t>J = C - I</t>
  </si>
  <si>
    <t>N = E + L</t>
  </si>
  <si>
    <t>C = H  from Page 2</t>
  </si>
  <si>
    <t>D = A + B + C</t>
  </si>
  <si>
    <t>F = D X O</t>
  </si>
  <si>
    <t>G = D X P</t>
  </si>
  <si>
    <t>H = F + G</t>
  </si>
  <si>
    <t>N</t>
  </si>
  <si>
    <t>O = I X K X M/ N</t>
  </si>
  <si>
    <t>P = J X L X M/ N</t>
  </si>
  <si>
    <t>R</t>
  </si>
  <si>
    <t>Q = O + P</t>
  </si>
  <si>
    <t xml:space="preserve">  Estimated Annual Project Revenue Requirement </t>
  </si>
  <si>
    <t>E = D / R</t>
  </si>
  <si>
    <t>A = N from Page 1</t>
  </si>
  <si>
    <t>E = N from Page 1</t>
  </si>
  <si>
    <t>Forecast Increase Annual Cost Benchmark General Service Customer (10,000 kWh per month) before tax</t>
  </si>
  <si>
    <t>Estimated Impact on Rate Base, Revenue Requirement and Customer Rates</t>
  </si>
  <si>
    <t>B = (A X 0%)</t>
  </si>
  <si>
    <t>Maritime Electric Financial Forecast</t>
  </si>
  <si>
    <t>Capital and Depreciation</t>
  </si>
  <si>
    <t>Balance</t>
  </si>
  <si>
    <t>ASSET CLASS</t>
  </si>
  <si>
    <t>Additions</t>
  </si>
  <si>
    <t>Retirements</t>
  </si>
  <si>
    <t>WIP</t>
  </si>
  <si>
    <t>Retirement</t>
  </si>
  <si>
    <t>Distribution Plant</t>
  </si>
  <si>
    <t>DEPRECIATION</t>
  </si>
  <si>
    <t>Rate</t>
  </si>
  <si>
    <t>Composite Rate</t>
  </si>
  <si>
    <t>A = $9,470</t>
  </si>
  <si>
    <t>CCA - Class 47</t>
  </si>
  <si>
    <t>C = A- B</t>
  </si>
  <si>
    <t>Future Income Tax Expense</t>
  </si>
  <si>
    <t>Future Income Tax Liability</t>
  </si>
  <si>
    <t>Income Tax Expense</t>
  </si>
  <si>
    <t>Current Income Tax Expense</t>
  </si>
  <si>
    <t>UCC, December 31, 2030</t>
  </si>
  <si>
    <t>NBV, December 31</t>
  </si>
  <si>
    <t>Annual Statutory Tax Rate</t>
  </si>
  <si>
    <t>Future Tax Liability</t>
  </si>
  <si>
    <t>Annual Investment</t>
  </si>
  <si>
    <t>NBV</t>
  </si>
  <si>
    <t>Cost of Removal</t>
  </si>
  <si>
    <t>Annual Revenue Requirement</t>
  </si>
  <si>
    <t>Equity Return</t>
  </si>
  <si>
    <t>Taxable Income</t>
  </si>
  <si>
    <t>Equity Return Grossed-up for Tax</t>
  </si>
  <si>
    <t>Annual Tax Expense</t>
  </si>
  <si>
    <t>Taxable Income Estimate</t>
  </si>
  <si>
    <t>Year</t>
  </si>
  <si>
    <t xml:space="preserve">  Depreciation Rate</t>
  </si>
  <si>
    <t>Cumulative difference between accounting depreciation &amp; CCA/Retirement Expense</t>
  </si>
  <si>
    <t>TOTAL</t>
  </si>
  <si>
    <t>Future Tax Liability ***</t>
  </si>
  <si>
    <t xml:space="preserve">POLES AND FIXTURES                           </t>
  </si>
  <si>
    <t xml:space="preserve">OVERHEAD CONDUCTORS                          </t>
  </si>
  <si>
    <t>ANNUAL</t>
  </si>
  <si>
    <t>ACCRUAL</t>
  </si>
  <si>
    <t>AMOUNT</t>
  </si>
  <si>
    <t>RESERVE</t>
  </si>
  <si>
    <t>VARIANCE</t>
  </si>
  <si>
    <t>AMORTIZATION</t>
  </si>
  <si>
    <t xml:space="preserve"> DEPRECIATION</t>
  </si>
  <si>
    <t>ORIGINAL COST</t>
  </si>
  <si>
    <t>DEPRECIABLE GROUP</t>
  </si>
  <si>
    <t>Composite Depreciation Rate</t>
  </si>
  <si>
    <t>From Table 3 of 2020 Depreciation Study</t>
  </si>
  <si>
    <t>G = C - E + F</t>
  </si>
  <si>
    <t>I = G X H</t>
  </si>
  <si>
    <t>J = H from Page 3</t>
  </si>
  <si>
    <t>K = G from Page 3 / (1-G)</t>
  </si>
  <si>
    <t>L = F from Page 3</t>
  </si>
  <si>
    <t>M = K + L</t>
  </si>
  <si>
    <t xml:space="preserve">O </t>
  </si>
  <si>
    <t>P = M + N + O</t>
  </si>
  <si>
    <t>Q</t>
  </si>
  <si>
    <t>R = P X Q</t>
  </si>
  <si>
    <t xml:space="preserve">M </t>
  </si>
  <si>
    <t>S = (N + O) X Q</t>
  </si>
  <si>
    <t>T = R + S</t>
  </si>
  <si>
    <t>Operating Cost Deferral</t>
  </si>
  <si>
    <t>Operating Cost Regulatory Deferral</t>
  </si>
  <si>
    <t>ACCUMILATED DEPRECIATION &amp; AMORTIZATION 2023-2030</t>
  </si>
  <si>
    <t>Annual Depreciation and Amortization</t>
  </si>
  <si>
    <t>Difference between tax accounting, depreciation &amp; CCA</t>
  </si>
  <si>
    <t>TOTAL FORECAST DEPRECIATION AND AMORTIZATION</t>
  </si>
  <si>
    <t>TOTAL DEPRECIATION &amp; AMORTIZATION</t>
  </si>
  <si>
    <t>LINE TRANSFORMERS</t>
  </si>
  <si>
    <t xml:space="preserve">A </t>
  </si>
  <si>
    <t>Amortization of Regulatory Deferral</t>
  </si>
  <si>
    <t xml:space="preserve">  Operating Costs Deferred </t>
  </si>
  <si>
    <t>B = M from Page 2</t>
  </si>
  <si>
    <t>B = N from Page 2</t>
  </si>
  <si>
    <t>C = F from Page 4</t>
  </si>
  <si>
    <t>D = G from Page 4</t>
  </si>
  <si>
    <t>E = O from Page 3</t>
  </si>
  <si>
    <t>F = A + B + C + D</t>
  </si>
  <si>
    <t>G = F / H</t>
  </si>
  <si>
    <t>H</t>
  </si>
  <si>
    <t>Asset</t>
  </si>
  <si>
    <t>Number Replaced</t>
  </si>
  <si>
    <t>Average Cost</t>
  </si>
  <si>
    <t>Retirement Value</t>
  </si>
  <si>
    <t>Poles (#)</t>
  </si>
  <si>
    <t>Conductor (km)</t>
  </si>
  <si>
    <t>Fibre</t>
  </si>
  <si>
    <t>Transformers (#)</t>
  </si>
  <si>
    <t xml:space="preserve">  Retirements</t>
  </si>
  <si>
    <t>Total Retirements</t>
  </si>
  <si>
    <t>Cost of Removal  deducted immediately for Tax</t>
  </si>
  <si>
    <t>Tax Gross Up on Equity Return</t>
  </si>
  <si>
    <t xml:space="preserve">  Customer Contributions per Table 1</t>
  </si>
  <si>
    <t xml:space="preserve">  Less: Customer Contributions </t>
  </si>
  <si>
    <t xml:space="preserve">  Less: Customer Contributions</t>
  </si>
  <si>
    <t>Total 2024 Depreciation Expense (Net of Contributions)</t>
  </si>
  <si>
    <t xml:space="preserve">  Customer Contributions</t>
  </si>
  <si>
    <t xml:space="preserve">  Capital Investment - Fiona Restoration</t>
  </si>
  <si>
    <t>Total Year 1 Amortization Expense (Net of Contributions)</t>
  </si>
  <si>
    <t xml:space="preserve"> Accumulated Amortiziation, Year 1</t>
  </si>
  <si>
    <t>Annual Project Revenue Requirement (000s)</t>
  </si>
  <si>
    <t>% Increase Forecast Annual Revenue Requirement</t>
  </si>
  <si>
    <t>Total Cost of Debt</t>
  </si>
  <si>
    <t>Total Cost of Equity</t>
  </si>
  <si>
    <t>Total Return on Rate Base</t>
  </si>
  <si>
    <t>Energy Charge per kWh - Revenue Requirement (A)</t>
  </si>
  <si>
    <t>Cumulative Change over 2022 Rates</t>
  </si>
  <si>
    <t>Average Annual Variance</t>
  </si>
  <si>
    <t>Residential - First Block</t>
  </si>
  <si>
    <t>Residential - Second Block</t>
  </si>
  <si>
    <t>General Service - First Block</t>
  </si>
  <si>
    <t>General Service - Second Block</t>
  </si>
  <si>
    <t>Small Industrial - First Block</t>
  </si>
  <si>
    <t>Small Industrial - Second Block</t>
  </si>
  <si>
    <t>Large Industrial</t>
  </si>
  <si>
    <t>Energy Charges per kWh - Other Amounts (B)</t>
  </si>
  <si>
    <t>ECAM Charge per kWh</t>
  </si>
  <si>
    <t xml:space="preserve"> Subtotal -  Total ECAM Charge per kWh</t>
  </si>
  <si>
    <t>RORA/2020 Revenue Deferral Refund per kWh</t>
  </si>
  <si>
    <t>n/a</t>
  </si>
  <si>
    <t>Provincial Costs Recoverable per kWh</t>
  </si>
  <si>
    <t>Provincial Energy Efficiency Program per kWh</t>
  </si>
  <si>
    <t xml:space="preserve">  Total Energy Charge per kWh Excluding Basic Revenue</t>
  </si>
  <si>
    <t>Total Energy Charge per kWh (A+B) - Option  - Negotiated Settlement Agreement</t>
  </si>
  <si>
    <t>D = 10,000 kWh X Fiona Rate Changes X 12 months</t>
  </si>
  <si>
    <t>G</t>
  </si>
  <si>
    <t>E = D / H</t>
  </si>
  <si>
    <t>B = A / F</t>
  </si>
  <si>
    <t>C = A / G</t>
  </si>
  <si>
    <t>A = 30,000 kWh X Fiona Rate Change X 12 months</t>
  </si>
  <si>
    <t>A = 10M kWh X Fiona Rate Change X 12 months</t>
  </si>
  <si>
    <t>Forecast Increase Annual Cost Benchmark Small Industrial Customer (30,000 kWh/100 KW per month) before tax</t>
  </si>
  <si>
    <t>Forecast Increase Annual Cost Benchmark Large Industrial Customer (10M kWh per month) before tax</t>
  </si>
  <si>
    <t>% Increase over 2025 Forecast Annual Cost for General Service Customer</t>
  </si>
  <si>
    <t>Total % Increase from 2025 Forecast Year End Rate Base</t>
  </si>
  <si>
    <t xml:space="preserve">CCA Deductions </t>
  </si>
  <si>
    <t>Forecast 2025 Average Capitalization (Total Debt plus Common Equity)</t>
  </si>
  <si>
    <t>Forecast 2025 Average Rate Base*</t>
  </si>
  <si>
    <t>* No Fiona related costs will be recovered through OATT (all distribution related).</t>
  </si>
  <si>
    <t xml:space="preserve">  Depreciation Expense </t>
  </si>
  <si>
    <t xml:space="preserve"> Accumulated Depreciation</t>
  </si>
  <si>
    <t>Less: Accumulated Depreciation</t>
  </si>
  <si>
    <t>Increase over 2025 Forecast Year End Rate Base</t>
  </si>
  <si>
    <t>Forecast Increase Annual Cost Benchmark Residential Customer (1,000 kWh per month) before tax</t>
  </si>
  <si>
    <t>A = 1,000 kWh X Fiona Rate Change X 12 months</t>
  </si>
  <si>
    <t>Composition of Total Energy Charge per kWh by Rate Class Effective March 1</t>
  </si>
  <si>
    <t>Forecast WACC</t>
  </si>
  <si>
    <t xml:space="preserve">  Cost of Debt, Forecast 2025</t>
  </si>
  <si>
    <t>Capital</t>
  </si>
  <si>
    <t>Operating</t>
  </si>
  <si>
    <t>Total</t>
  </si>
  <si>
    <t>Included in Rate Base</t>
  </si>
  <si>
    <t>Excluded from Rate Base &amp; Financed 100% Debt</t>
  </si>
  <si>
    <t xml:space="preserve">  Year 1 Amortization (5 months)</t>
  </si>
  <si>
    <t>Return on Rate Base($) on Capital</t>
  </si>
  <si>
    <t>% Increase over 2026 Forecast Annual Cost for Rural Residential Customer</t>
  </si>
  <si>
    <t>% Increase over 2026 Forecast Annual Cost for Urban Residential Customer</t>
  </si>
  <si>
    <t xml:space="preserve"> 2026 Annual Cost Benchmark Rural Residential Customer (1,000 kWh per month) excluding tax </t>
  </si>
  <si>
    <t xml:space="preserve"> 2026 Annual Cost Benchmark Urban Residential Customer (1,000 kWh per month) excluding tax </t>
  </si>
  <si>
    <t xml:space="preserve">2026 Annual Cost Benchmark General Service Customer (10,000 kWh per month) excluding tax </t>
  </si>
  <si>
    <t xml:space="preserve"> 2026 Annual Cost Benchmark Small Industrial Customer (30,000 kWh per month) </t>
  </si>
  <si>
    <t xml:space="preserve"> 2026 Annual Cost Benchmark Large  Industrial Customer (10M kWh per month) excluding tax</t>
  </si>
  <si>
    <t>% Increase over 2026 Forecast Annual Cost for Small Industrial Customer</t>
  </si>
  <si>
    <t>% Increase over 2026 Forecast Annual Cost for Large Industrial Customer</t>
  </si>
  <si>
    <t>Cost of Debt on Operating Cost Deferral</t>
  </si>
  <si>
    <t>2025 Revenue Requirement</t>
  </si>
  <si>
    <t>Total Change in Revenue Requirement Allocated to MECL *</t>
  </si>
  <si>
    <t xml:space="preserve">  Amortization Rate (8 Years or 96 Months)</t>
  </si>
  <si>
    <t xml:space="preserve">Net Book Value, Capital Investment </t>
  </si>
  <si>
    <t>Net Book Value, Operating &amp; Interest Deferral</t>
  </si>
  <si>
    <t xml:space="preserve">2025 Year End Rate Base </t>
  </si>
  <si>
    <t>Approved Rates</t>
  </si>
  <si>
    <t>October 1, 2023 ECAM Adjustment</t>
  </si>
  <si>
    <t>UE26-04 Fiona Adjustment</t>
  </si>
  <si>
    <t>Basic Energy Charge Adjustment for Fiona Recovery</t>
  </si>
  <si>
    <t>Retirements to be Included in Rates</t>
  </si>
  <si>
    <t xml:space="preserve">100% to MECL Customers </t>
  </si>
  <si>
    <t>Less: UE26-04 Disallowed Capital (10%)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</si>
</sst>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_-* #,##0_-;\-* #,##0_-;_-* &quot;-&quot;??_-;_-@_-"/>
    <numFmt numFmtId="168" formatCode="[$-409]mmm\-yy;@"/>
    <numFmt numFmtId="169" formatCode="#,##0;\(#,##0\)"/>
    <numFmt numFmtId="170" formatCode="_(&quot;$&quot;* #,##0.0000_);_(&quot;$&quot;* \(#,##0.0000\);_(&quot;$&quot;* &quot;-&quot;??_);_(@_)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 val="singleAccounting"/>
      <sz val="10"/>
      <color indexed="8"/>
      <name val="Arial"/>
      <family val="2"/>
    </font>
    <font>
      <u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u val="singleAccounting"/>
      <sz val="10"/>
      <color theme="1"/>
      <name val="Arial"/>
      <family val="2"/>
    </font>
    <font>
      <u/>
      <sz val="10"/>
      <color theme="1"/>
      <name val="Arial"/>
      <family val="2"/>
    </font>
    <font>
      <sz val="8"/>
      <color indexed="8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u val="singleAccounting"/>
      <sz val="8"/>
      <name val="Arial"/>
      <family val="2"/>
    </font>
    <font>
      <b/>
      <sz val="8"/>
      <name val="Arial"/>
      <family val="2"/>
    </font>
    <font>
      <b/>
      <u val="singleAccounting"/>
      <sz val="8"/>
      <name val="Arial"/>
      <family val="2"/>
    </font>
    <font>
      <u val="singleAccounting"/>
      <sz val="8"/>
      <color indexed="8"/>
      <name val="Arial"/>
      <family val="2"/>
    </font>
    <font>
      <u val="doubleAccounting"/>
      <sz val="8"/>
      <color indexed="8"/>
      <name val="Arial"/>
      <family val="2"/>
    </font>
    <font>
      <b/>
      <u val="doubleAccounting"/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Arial"/>
      <family val="2"/>
    </font>
    <font>
      <u val="doubleAccounting"/>
      <sz val="8"/>
      <name val="Arial"/>
      <family val="2"/>
    </font>
    <font>
      <b/>
      <sz val="10"/>
      <name val="Arial"/>
      <family val="2"/>
    </font>
    <font>
      <b/>
      <u/>
      <sz val="8"/>
      <name val="Arial"/>
      <family val="2"/>
    </font>
    <font>
      <b/>
      <u val="double"/>
      <sz val="8"/>
      <name val="Arial"/>
      <family val="2"/>
    </font>
    <font>
      <u val="singleAccounting"/>
      <sz val="10"/>
      <name val="Arial"/>
      <family val="2"/>
    </font>
    <font>
      <u val="doubleAccounting"/>
      <sz val="10"/>
      <name val="Arial"/>
      <family val="2"/>
    </font>
    <font>
      <b/>
      <sz val="10"/>
      <color rgb="FFFF0000"/>
      <name val="Arial"/>
      <family val="2"/>
    </font>
    <font>
      <u val="singleAccounting"/>
      <sz val="11"/>
      <color theme="1"/>
      <name val="Arial"/>
      <family val="2"/>
    </font>
    <font>
      <u val="doubleAccounting"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26" fillId="0" borderId="0" applyNumberFormat="0" applyFill="0" applyBorder="0" applyAlignment="0" applyProtection="0">
      <alignment vertical="top"/>
      <protection locked="0"/>
    </xf>
  </cellStyleXfs>
  <cellXfs count="336">
    <xf numFmtId="0" fontId="0" fillId="0" borderId="0" xfId="0"/>
    <xf numFmtId="0" fontId="2" fillId="0" borderId="0" xfId="0" applyFont="1"/>
    <xf numFmtId="0" fontId="2" fillId="0" borderId="0" xfId="0" quotePrefix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0" fontId="2" fillId="0" borderId="0" xfId="2" applyNumberFormat="1" applyFont="1"/>
    <xf numFmtId="0" fontId="5" fillId="0" borderId="0" xfId="0" applyFont="1"/>
    <xf numFmtId="43" fontId="0" fillId="0" borderId="0" xfId="0" applyNumberFormat="1"/>
    <xf numFmtId="164" fontId="0" fillId="0" borderId="0" xfId="0" applyNumberFormat="1"/>
    <xf numFmtId="0" fontId="7" fillId="0" borderId="0" xfId="0" applyFont="1"/>
    <xf numFmtId="0" fontId="6" fillId="0" borderId="0" xfId="0" applyFont="1"/>
    <xf numFmtId="0" fontId="7" fillId="0" borderId="4" xfId="0" applyFont="1" applyBorder="1"/>
    <xf numFmtId="0" fontId="7" fillId="0" borderId="3" xfId="0" applyFont="1" applyBorder="1"/>
    <xf numFmtId="165" fontId="9" fillId="0" borderId="4" xfId="3" applyNumberFormat="1" applyFont="1" applyBorder="1" applyAlignment="1">
      <alignment horizontal="left"/>
    </xf>
    <xf numFmtId="164" fontId="9" fillId="0" borderId="4" xfId="1" applyNumberFormat="1" applyFont="1" applyBorder="1" applyAlignment="1">
      <alignment horizontal="left"/>
    </xf>
    <xf numFmtId="0" fontId="6" fillId="0" borderId="3" xfId="0" applyFont="1" applyBorder="1"/>
    <xf numFmtId="0" fontId="6" fillId="0" borderId="4" xfId="0" applyFont="1" applyBorder="1"/>
    <xf numFmtId="0" fontId="13" fillId="0" borderId="3" xfId="0" applyFont="1" applyBorder="1"/>
    <xf numFmtId="0" fontId="15" fillId="0" borderId="3" xfId="0" applyFont="1" applyBorder="1"/>
    <xf numFmtId="0" fontId="6" fillId="0" borderId="5" xfId="0" applyFont="1" applyBorder="1"/>
    <xf numFmtId="0" fontId="6" fillId="0" borderId="7" xfId="0" applyFont="1" applyBorder="1"/>
    <xf numFmtId="0" fontId="7" fillId="3" borderId="4" xfId="0" applyFont="1" applyFill="1" applyBorder="1"/>
    <xf numFmtId="0" fontId="13" fillId="2" borderId="3" xfId="0" applyFont="1" applyFill="1" applyBorder="1"/>
    <xf numFmtId="0" fontId="7" fillId="2" borderId="4" xfId="0" applyFont="1" applyFill="1" applyBorder="1"/>
    <xf numFmtId="0" fontId="7" fillId="3" borderId="3" xfId="0" applyFont="1" applyFill="1" applyBorder="1"/>
    <xf numFmtId="164" fontId="9" fillId="3" borderId="4" xfId="1" applyNumberFormat="1" applyFont="1" applyFill="1" applyBorder="1" applyAlignment="1">
      <alignment horizontal="left"/>
    </xf>
    <xf numFmtId="164" fontId="11" fillId="3" borderId="4" xfId="1" applyNumberFormat="1" applyFont="1" applyFill="1" applyBorder="1" applyAlignment="1">
      <alignment horizontal="left"/>
    </xf>
    <xf numFmtId="165" fontId="9" fillId="3" borderId="4" xfId="3" applyNumberFormat="1" applyFont="1" applyFill="1" applyBorder="1" applyAlignment="1">
      <alignment horizontal="left"/>
    </xf>
    <xf numFmtId="10" fontId="12" fillId="3" borderId="4" xfId="2" applyNumberFormat="1" applyFont="1" applyFill="1" applyBorder="1" applyAlignment="1">
      <alignment horizontal="right"/>
    </xf>
    <xf numFmtId="0" fontId="6" fillId="3" borderId="3" xfId="0" applyFont="1" applyFill="1" applyBorder="1"/>
    <xf numFmtId="0" fontId="6" fillId="3" borderId="4" xfId="0" applyFont="1" applyFill="1" applyBorder="1"/>
    <xf numFmtId="0" fontId="6" fillId="2" borderId="4" xfId="0" applyFont="1" applyFill="1" applyBorder="1"/>
    <xf numFmtId="165" fontId="14" fillId="2" borderId="4" xfId="3" applyNumberFormat="1" applyFont="1" applyFill="1" applyBorder="1" applyAlignment="1">
      <alignment horizontal="left"/>
    </xf>
    <xf numFmtId="165" fontId="7" fillId="0" borderId="4" xfId="3" applyNumberFormat="1" applyFont="1" applyBorder="1"/>
    <xf numFmtId="164" fontId="16" fillId="0" borderId="4" xfId="1" applyNumberFormat="1" applyFont="1" applyBorder="1"/>
    <xf numFmtId="164" fontId="7" fillId="0" borderId="4" xfId="1" applyNumberFormat="1" applyFont="1" applyBorder="1"/>
    <xf numFmtId="164" fontId="16" fillId="0" borderId="4" xfId="0" applyNumberFormat="1" applyFont="1" applyBorder="1"/>
    <xf numFmtId="164" fontId="7" fillId="0" borderId="4" xfId="0" applyNumberFormat="1" applyFont="1" applyBorder="1"/>
    <xf numFmtId="10" fontId="17" fillId="3" borderId="4" xfId="2" applyNumberFormat="1" applyFont="1" applyFill="1" applyBorder="1"/>
    <xf numFmtId="164" fontId="16" fillId="0" borderId="4" xfId="1" applyNumberFormat="1" applyFont="1" applyFill="1" applyBorder="1"/>
    <xf numFmtId="165" fontId="13" fillId="0" borderId="4" xfId="3" applyNumberFormat="1" applyFont="1" applyBorder="1"/>
    <xf numFmtId="10" fontId="13" fillId="2" borderId="4" xfId="2" applyNumberFormat="1" applyFont="1" applyFill="1" applyBorder="1"/>
    <xf numFmtId="10" fontId="7" fillId="0" borderId="4" xfId="2" applyNumberFormat="1" applyFont="1" applyBorder="1"/>
    <xf numFmtId="10" fontId="17" fillId="0" borderId="4" xfId="2" applyNumberFormat="1" applyFont="1" applyBorder="1"/>
    <xf numFmtId="0" fontId="7" fillId="0" borderId="5" xfId="0" applyFont="1" applyBorder="1"/>
    <xf numFmtId="164" fontId="7" fillId="0" borderId="4" xfId="1" applyNumberFormat="1" applyFont="1" applyFill="1" applyBorder="1"/>
    <xf numFmtId="0" fontId="7" fillId="0" borderId="0" xfId="0" quotePrefix="1" applyFont="1"/>
    <xf numFmtId="0" fontId="8" fillId="0" borderId="0" xfId="0" applyFont="1" applyAlignment="1">
      <alignment horizontal="center"/>
    </xf>
    <xf numFmtId="0" fontId="7" fillId="0" borderId="3" xfId="0" applyFont="1" applyBorder="1" applyAlignment="1">
      <alignment wrapText="1"/>
    </xf>
    <xf numFmtId="44" fontId="7" fillId="0" borderId="4" xfId="3" applyFont="1" applyBorder="1"/>
    <xf numFmtId="10" fontId="7" fillId="0" borderId="0" xfId="2" applyNumberFormat="1" applyFont="1"/>
    <xf numFmtId="165" fontId="13" fillId="2" borderId="4" xfId="3" applyNumberFormat="1" applyFont="1" applyFill="1" applyBorder="1"/>
    <xf numFmtId="0" fontId="13" fillId="2" borderId="3" xfId="0" applyFont="1" applyFill="1" applyBorder="1" applyAlignment="1">
      <alignment wrapText="1"/>
    </xf>
    <xf numFmtId="44" fontId="13" fillId="2" borderId="4" xfId="3" applyFont="1" applyFill="1" applyBorder="1"/>
    <xf numFmtId="0" fontId="13" fillId="4" borderId="1" xfId="0" applyFont="1" applyFill="1" applyBorder="1" applyAlignment="1">
      <alignment vertical="center"/>
    </xf>
    <xf numFmtId="0" fontId="13" fillId="4" borderId="2" xfId="0" quotePrefix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/>
    </xf>
    <xf numFmtId="10" fontId="7" fillId="3" borderId="4" xfId="2" applyNumberFormat="1" applyFont="1" applyFill="1" applyBorder="1"/>
    <xf numFmtId="0" fontId="19" fillId="0" borderId="0" xfId="0" applyFont="1"/>
    <xf numFmtId="0" fontId="7" fillId="0" borderId="6" xfId="0" applyFont="1" applyBorder="1" applyAlignment="1">
      <alignment horizontal="center"/>
    </xf>
    <xf numFmtId="0" fontId="13" fillId="4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20" fillId="0" borderId="3" xfId="0" applyFont="1" applyBorder="1"/>
    <xf numFmtId="0" fontId="21" fillId="2" borderId="3" xfId="0" applyFont="1" applyFill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165" fontId="7" fillId="0" borderId="7" xfId="3" applyNumberFormat="1" applyFont="1" applyBorder="1"/>
    <xf numFmtId="0" fontId="7" fillId="3" borderId="5" xfId="0" applyFont="1" applyFill="1" applyBorder="1"/>
    <xf numFmtId="0" fontId="7" fillId="3" borderId="6" xfId="0" applyFont="1" applyFill="1" applyBorder="1" applyAlignment="1">
      <alignment horizontal="center"/>
    </xf>
    <xf numFmtId="165" fontId="14" fillId="3" borderId="7" xfId="3" applyNumberFormat="1" applyFont="1" applyFill="1" applyBorder="1" applyAlignment="1">
      <alignment horizontal="left"/>
    </xf>
    <xf numFmtId="164" fontId="2" fillId="0" borderId="7" xfId="1" applyNumberFormat="1" applyFont="1" applyBorder="1"/>
    <xf numFmtId="0" fontId="15" fillId="0" borderId="8" xfId="0" applyFont="1" applyBorder="1" applyAlignment="1">
      <alignment horizontal="center"/>
    </xf>
    <xf numFmtId="164" fontId="18" fillId="0" borderId="2" xfId="1" applyNumberFormat="1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7" fillId="0" borderId="2" xfId="0" applyFont="1" applyBorder="1"/>
    <xf numFmtId="164" fontId="9" fillId="0" borderId="4" xfId="1" applyNumberFormat="1" applyFont="1" applyFill="1" applyBorder="1" applyAlignment="1">
      <alignment horizontal="left"/>
    </xf>
    <xf numFmtId="165" fontId="14" fillId="0" borderId="4" xfId="3" applyNumberFormat="1" applyFont="1" applyFill="1" applyBorder="1" applyAlignment="1">
      <alignment horizontal="left"/>
    </xf>
    <xf numFmtId="166" fontId="7" fillId="3" borderId="4" xfId="2" applyNumberFormat="1" applyFont="1" applyFill="1" applyBorder="1"/>
    <xf numFmtId="0" fontId="13" fillId="0" borderId="3" xfId="0" applyFont="1" applyBorder="1" applyAlignment="1">
      <alignment wrapText="1"/>
    </xf>
    <xf numFmtId="0" fontId="13" fillId="0" borderId="0" xfId="0" applyFont="1" applyAlignment="1">
      <alignment horizontal="center" wrapText="1"/>
    </xf>
    <xf numFmtId="0" fontId="15" fillId="2" borderId="5" xfId="0" applyFont="1" applyFill="1" applyBorder="1"/>
    <xf numFmtId="0" fontId="15" fillId="0" borderId="1" xfId="0" applyFont="1" applyBorder="1"/>
    <xf numFmtId="0" fontId="15" fillId="0" borderId="5" xfId="0" applyFont="1" applyBorder="1"/>
    <xf numFmtId="0" fontId="15" fillId="0" borderId="6" xfId="0" applyFont="1" applyBorder="1" applyAlignment="1">
      <alignment horizontal="center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67" fontId="25" fillId="0" borderId="0" xfId="1" applyNumberFormat="1" applyFont="1" applyFill="1" applyBorder="1" applyAlignment="1">
      <alignment horizontal="left"/>
    </xf>
    <xf numFmtId="168" fontId="26" fillId="0" borderId="0" xfId="4" applyBorder="1" applyAlignment="1" applyProtection="1">
      <alignment horizontal="left"/>
    </xf>
    <xf numFmtId="0" fontId="25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167" fontId="24" fillId="0" borderId="0" xfId="1" applyNumberFormat="1" applyFont="1" applyBorder="1" applyAlignment="1">
      <alignment horizontal="left"/>
    </xf>
    <xf numFmtId="167" fontId="24" fillId="0" borderId="0" xfId="1" applyNumberFormat="1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/>
    <xf numFmtId="0" fontId="25" fillId="0" borderId="0" xfId="0" applyFont="1" applyAlignment="1" applyProtection="1">
      <alignment horizontal="left"/>
      <protection locked="0"/>
    </xf>
    <xf numFmtId="10" fontId="27" fillId="0" borderId="0" xfId="2" applyNumberFormat="1" applyFont="1"/>
    <xf numFmtId="0" fontId="27" fillId="0" borderId="0" xfId="0" applyFont="1"/>
    <xf numFmtId="167" fontId="27" fillId="0" borderId="0" xfId="1" applyNumberFormat="1" applyFont="1" applyFill="1"/>
    <xf numFmtId="0" fontId="27" fillId="0" borderId="2" xfId="0" applyFont="1" applyBorder="1" applyAlignment="1" applyProtection="1">
      <alignment horizontal="center"/>
      <protection locked="0"/>
    </xf>
    <xf numFmtId="0" fontId="27" fillId="0" borderId="1" xfId="0" applyFont="1" applyBorder="1" applyAlignment="1" applyProtection="1">
      <alignment horizontal="center"/>
      <protection locked="0"/>
    </xf>
    <xf numFmtId="0" fontId="27" fillId="0" borderId="8" xfId="0" applyFont="1" applyBorder="1" applyAlignment="1" applyProtection="1">
      <alignment horizontal="center"/>
      <protection locked="0"/>
    </xf>
    <xf numFmtId="0" fontId="27" fillId="0" borderId="8" xfId="0" applyFont="1" applyBorder="1" applyAlignment="1">
      <alignment horizontal="center"/>
    </xf>
    <xf numFmtId="0" fontId="24" fillId="0" borderId="0" xfId="0" applyFont="1" applyAlignment="1" applyProtection="1">
      <alignment horizontal="left"/>
      <protection locked="0"/>
    </xf>
    <xf numFmtId="0" fontId="27" fillId="0" borderId="4" xfId="0" applyFont="1" applyBorder="1" applyAlignment="1" applyProtection="1">
      <alignment horizontal="center"/>
      <protection locked="0"/>
    </xf>
    <xf numFmtId="0" fontId="27" fillId="0" borderId="3" xfId="0" applyFont="1" applyBorder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14" fontId="27" fillId="0" borderId="0" xfId="0" applyNumberFormat="1" applyFont="1" applyAlignment="1" applyProtection="1">
      <alignment horizontal="center"/>
      <protection locked="0"/>
    </xf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center"/>
    </xf>
    <xf numFmtId="0" fontId="27" fillId="0" borderId="4" xfId="0" applyFont="1" applyBorder="1" applyAlignment="1">
      <alignment horizontal="center"/>
    </xf>
    <xf numFmtId="0" fontId="25" fillId="0" borderId="0" xfId="0" applyFont="1" applyAlignment="1" applyProtection="1">
      <alignment horizontal="fill"/>
      <protection locked="0"/>
    </xf>
    <xf numFmtId="169" fontId="27" fillId="0" borderId="4" xfId="0" applyNumberFormat="1" applyFont="1" applyBorder="1"/>
    <xf numFmtId="169" fontId="27" fillId="0" borderId="3" xfId="0" applyNumberFormat="1" applyFont="1" applyBorder="1"/>
    <xf numFmtId="169" fontId="27" fillId="0" borderId="0" xfId="0" applyNumberFormat="1" applyFont="1"/>
    <xf numFmtId="41" fontId="27" fillId="0" borderId="4" xfId="0" applyNumberFormat="1" applyFont="1" applyBorder="1"/>
    <xf numFmtId="167" fontId="27" fillId="0" borderId="3" xfId="1" applyNumberFormat="1" applyFont="1" applyFill="1" applyBorder="1" applyProtection="1">
      <protection locked="0"/>
    </xf>
    <xf numFmtId="41" fontId="27" fillId="0" borderId="0" xfId="1" applyNumberFormat="1" applyFont="1" applyFill="1" applyBorder="1" applyProtection="1">
      <protection locked="0"/>
    </xf>
    <xf numFmtId="41" fontId="27" fillId="0" borderId="0" xfId="1" applyNumberFormat="1" applyFont="1" applyBorder="1" applyProtection="1">
      <protection locked="0"/>
    </xf>
    <xf numFmtId="164" fontId="27" fillId="0" borderId="0" xfId="1" applyNumberFormat="1" applyFont="1" applyBorder="1" applyProtection="1">
      <protection locked="0"/>
    </xf>
    <xf numFmtId="41" fontId="28" fillId="0" borderId="0" xfId="1" applyNumberFormat="1" applyFont="1" applyBorder="1" applyProtection="1">
      <protection locked="0"/>
    </xf>
    <xf numFmtId="167" fontId="27" fillId="0" borderId="3" xfId="1" applyNumberFormat="1" applyFont="1" applyBorder="1" applyProtection="1">
      <protection locked="0"/>
    </xf>
    <xf numFmtId="41" fontId="29" fillId="0" borderId="4" xfId="0" applyNumberFormat="1" applyFont="1" applyBorder="1"/>
    <xf numFmtId="41" fontId="29" fillId="0" borderId="3" xfId="1" applyNumberFormat="1" applyFont="1" applyBorder="1" applyProtection="1">
      <protection locked="0"/>
    </xf>
    <xf numFmtId="41" fontId="29" fillId="0" borderId="0" xfId="1" applyNumberFormat="1" applyFont="1" applyBorder="1" applyProtection="1">
      <protection locked="0"/>
    </xf>
    <xf numFmtId="10" fontId="27" fillId="0" borderId="0" xfId="2" applyNumberFormat="1" applyFont="1" applyFill="1"/>
    <xf numFmtId="41" fontId="27" fillId="0" borderId="3" xfId="0" applyNumberFormat="1" applyFont="1" applyBorder="1" applyProtection="1">
      <protection locked="0"/>
    </xf>
    <xf numFmtId="41" fontId="27" fillId="0" borderId="4" xfId="1" applyNumberFormat="1" applyFont="1" applyFill="1" applyBorder="1"/>
    <xf numFmtId="41" fontId="27" fillId="0" borderId="3" xfId="1" applyNumberFormat="1" applyFont="1" applyFill="1" applyBorder="1" applyProtection="1">
      <protection locked="0"/>
    </xf>
    <xf numFmtId="41" fontId="27" fillId="0" borderId="0" xfId="0" applyNumberFormat="1" applyFont="1"/>
    <xf numFmtId="41" fontId="27" fillId="0" borderId="4" xfId="1" applyNumberFormat="1" applyFont="1" applyFill="1" applyBorder="1" applyProtection="1">
      <protection locked="0"/>
    </xf>
    <xf numFmtId="41" fontId="27" fillId="0" borderId="7" xfId="0" applyNumberFormat="1" applyFont="1" applyBorder="1"/>
    <xf numFmtId="41" fontId="27" fillId="0" borderId="5" xfId="0" applyNumberFormat="1" applyFont="1" applyBorder="1"/>
    <xf numFmtId="41" fontId="27" fillId="0" borderId="6" xfId="0" applyNumberFormat="1" applyFont="1" applyBorder="1"/>
    <xf numFmtId="10" fontId="27" fillId="0" borderId="0" xfId="2" applyNumberFormat="1" applyFont="1" applyAlignment="1">
      <alignment horizontal="right"/>
    </xf>
    <xf numFmtId="167" fontId="27" fillId="0" borderId="0" xfId="1" applyNumberFormat="1" applyFont="1"/>
    <xf numFmtId="41" fontId="30" fillId="0" borderId="0" xfId="0" applyNumberFormat="1" applyFont="1"/>
    <xf numFmtId="164" fontId="30" fillId="0" borderId="0" xfId="1" applyNumberFormat="1" applyFont="1" applyFill="1" applyBorder="1"/>
    <xf numFmtId="0" fontId="24" fillId="0" borderId="0" xfId="0" applyFont="1"/>
    <xf numFmtId="10" fontId="27" fillId="0" borderId="10" xfId="2" applyNumberFormat="1" applyFont="1" applyFill="1" applyBorder="1" applyAlignment="1" applyProtection="1">
      <alignment horizontal="center"/>
      <protection locked="0"/>
    </xf>
    <xf numFmtId="0" fontId="27" fillId="0" borderId="10" xfId="0" applyFont="1" applyBorder="1" applyAlignment="1">
      <alignment horizontal="center"/>
    </xf>
    <xf numFmtId="10" fontId="27" fillId="0" borderId="11" xfId="2" applyNumberFormat="1" applyFont="1" applyFill="1" applyBorder="1"/>
    <xf numFmtId="3" fontId="27" fillId="0" borderId="11" xfId="0" applyNumberFormat="1" applyFont="1" applyBorder="1"/>
    <xf numFmtId="10" fontId="27" fillId="0" borderId="11" xfId="2" applyNumberFormat="1" applyFont="1" applyFill="1" applyBorder="1" applyProtection="1">
      <protection locked="0"/>
    </xf>
    <xf numFmtId="167" fontId="27" fillId="0" borderId="11" xfId="1" applyNumberFormat="1" applyFont="1" applyFill="1" applyBorder="1" applyProtection="1">
      <protection locked="0"/>
    </xf>
    <xf numFmtId="167" fontId="29" fillId="0" borderId="3" xfId="1" applyNumberFormat="1" applyFont="1" applyFill="1" applyBorder="1" applyProtection="1">
      <protection locked="0"/>
    </xf>
    <xf numFmtId="167" fontId="29" fillId="0" borderId="11" xfId="1" applyNumberFormat="1" applyFont="1" applyFill="1" applyBorder="1" applyProtection="1">
      <protection locked="0"/>
    </xf>
    <xf numFmtId="0" fontId="27" fillId="0" borderId="11" xfId="0" applyFont="1" applyBorder="1"/>
    <xf numFmtId="164" fontId="32" fillId="0" borderId="11" xfId="1" applyNumberFormat="1" applyFont="1" applyFill="1" applyBorder="1"/>
    <xf numFmtId="10" fontId="27" fillId="0" borderId="3" xfId="2" applyNumberFormat="1" applyFont="1" applyFill="1" applyBorder="1"/>
    <xf numFmtId="164" fontId="33" fillId="0" borderId="11" xfId="1" applyNumberFormat="1" applyFont="1" applyFill="1" applyBorder="1"/>
    <xf numFmtId="10" fontId="27" fillId="0" borderId="5" xfId="2" applyNumberFormat="1" applyFont="1" applyFill="1" applyBorder="1"/>
    <xf numFmtId="10" fontId="27" fillId="0" borderId="9" xfId="2" applyNumberFormat="1" applyFont="1" applyFill="1" applyBorder="1"/>
    <xf numFmtId="10" fontId="27" fillId="0" borderId="0" xfId="2" applyNumberFormat="1" applyFont="1" applyFill="1" applyBorder="1"/>
    <xf numFmtId="167" fontId="31" fillId="0" borderId="0" xfId="1" applyNumberFormat="1" applyFont="1"/>
    <xf numFmtId="0" fontId="30" fillId="0" borderId="0" xfId="0" applyFont="1"/>
    <xf numFmtId="165" fontId="34" fillId="0" borderId="0" xfId="3" applyNumberFormat="1" applyFont="1"/>
    <xf numFmtId="165" fontId="34" fillId="0" borderId="0" xfId="0" applyNumberFormat="1" applyFont="1"/>
    <xf numFmtId="10" fontId="30" fillId="0" borderId="0" xfId="2" applyNumberFormat="1" applyFont="1"/>
    <xf numFmtId="10" fontId="27" fillId="0" borderId="12" xfId="2" applyNumberFormat="1" applyFont="1" applyBorder="1"/>
    <xf numFmtId="10" fontId="27" fillId="0" borderId="12" xfId="0" applyNumberFormat="1" applyFont="1" applyBorder="1"/>
    <xf numFmtId="167" fontId="27" fillId="0" borderId="12" xfId="1" applyNumberFormat="1" applyFont="1" applyFill="1" applyBorder="1" applyProtection="1">
      <protection locked="0"/>
    </xf>
    <xf numFmtId="44" fontId="0" fillId="0" borderId="0" xfId="0" applyNumberFormat="1"/>
    <xf numFmtId="0" fontId="37" fillId="0" borderId="0" xfId="0" applyFont="1"/>
    <xf numFmtId="166" fontId="37" fillId="0" borderId="14" xfId="2" applyNumberFormat="1" applyFont="1" applyBorder="1" applyAlignment="1">
      <alignment horizontal="center"/>
    </xf>
    <xf numFmtId="165" fontId="37" fillId="0" borderId="15" xfId="3" applyNumberFormat="1" applyFont="1" applyBorder="1"/>
    <xf numFmtId="0" fontId="37" fillId="0" borderId="13" xfId="0" applyFont="1" applyBorder="1" applyAlignment="1">
      <alignment wrapText="1"/>
    </xf>
    <xf numFmtId="0" fontId="15" fillId="0" borderId="0" xfId="0" applyFont="1"/>
    <xf numFmtId="165" fontId="27" fillId="0" borderId="0" xfId="0" applyNumberFormat="1" applyFont="1"/>
    <xf numFmtId="164" fontId="27" fillId="0" borderId="0" xfId="1" applyNumberFormat="1" applyFont="1"/>
    <xf numFmtId="165" fontId="38" fillId="0" borderId="0" xfId="0" applyNumberFormat="1" applyFont="1"/>
    <xf numFmtId="9" fontId="27" fillId="0" borderId="0" xfId="2" applyFont="1"/>
    <xf numFmtId="164" fontId="27" fillId="0" borderId="0" xfId="0" applyNumberFormat="1" applyFont="1"/>
    <xf numFmtId="166" fontId="39" fillId="0" borderId="12" xfId="2" applyNumberFormat="1" applyFont="1" applyBorder="1"/>
    <xf numFmtId="0" fontId="39" fillId="0" borderId="12" xfId="0" applyFont="1" applyBorder="1" applyAlignment="1">
      <alignment horizontal="center"/>
    </xf>
    <xf numFmtId="3" fontId="39" fillId="0" borderId="12" xfId="0" quotePrefix="1" applyNumberFormat="1" applyFont="1" applyBorder="1" applyAlignment="1">
      <alignment horizontal="center" wrapText="1"/>
    </xf>
    <xf numFmtId="0" fontId="39" fillId="0" borderId="12" xfId="0" applyFont="1" applyBorder="1" applyAlignment="1">
      <alignment horizontal="center" wrapText="1"/>
    </xf>
    <xf numFmtId="166" fontId="39" fillId="0" borderId="12" xfId="2" applyNumberFormat="1" applyFont="1" applyBorder="1" applyAlignment="1">
      <alignment horizontal="center" wrapText="1"/>
    </xf>
    <xf numFmtId="41" fontId="39" fillId="0" borderId="12" xfId="0" applyNumberFormat="1" applyFont="1" applyBorder="1" applyAlignment="1">
      <alignment horizontal="center" wrapText="1"/>
    </xf>
    <xf numFmtId="0" fontId="10" fillId="0" borderId="12" xfId="0" applyFont="1" applyBorder="1" applyAlignment="1">
      <alignment horizontal="center"/>
    </xf>
    <xf numFmtId="164" fontId="10" fillId="0" borderId="12" xfId="1" applyNumberFormat="1" applyFont="1" applyBorder="1"/>
    <xf numFmtId="164" fontId="10" fillId="0" borderId="12" xfId="1" quotePrefix="1" applyNumberFormat="1" applyFont="1" applyFill="1" applyBorder="1" applyAlignment="1">
      <alignment horizontal="center"/>
    </xf>
    <xf numFmtId="167" fontId="10" fillId="0" borderId="12" xfId="1" applyNumberFormat="1" applyFont="1" applyBorder="1"/>
    <xf numFmtId="167" fontId="10" fillId="0" borderId="12" xfId="0" applyNumberFormat="1" applyFont="1" applyBorder="1"/>
    <xf numFmtId="166" fontId="10" fillId="0" borderId="12" xfId="2" quotePrefix="1" applyNumberFormat="1" applyFont="1" applyFill="1" applyBorder="1" applyAlignment="1">
      <alignment horizontal="center"/>
    </xf>
    <xf numFmtId="164" fontId="10" fillId="0" borderId="12" xfId="0" applyNumberFormat="1" applyFont="1" applyBorder="1"/>
    <xf numFmtId="0" fontId="10" fillId="0" borderId="0" xfId="0" applyFont="1" applyAlignment="1">
      <alignment horizontal="center"/>
    </xf>
    <xf numFmtId="164" fontId="10" fillId="0" borderId="0" xfId="1" applyNumberFormat="1" applyFont="1"/>
    <xf numFmtId="164" fontId="10" fillId="0" borderId="0" xfId="0" applyNumberFormat="1" applyFont="1"/>
    <xf numFmtId="3" fontId="39" fillId="0" borderId="0" xfId="0" quotePrefix="1" applyNumberFormat="1" applyFont="1" applyAlignment="1">
      <alignment horizontal="center"/>
    </xf>
    <xf numFmtId="166" fontId="39" fillId="0" borderId="0" xfId="2" quotePrefix="1" applyNumberFormat="1" applyFont="1" applyFill="1" applyBorder="1" applyAlignment="1">
      <alignment horizontal="center"/>
    </xf>
    <xf numFmtId="167" fontId="10" fillId="0" borderId="0" xfId="1" applyNumberFormat="1" applyFont="1"/>
    <xf numFmtId="167" fontId="10" fillId="0" borderId="0" xfId="0" applyNumberFormat="1" applyFont="1"/>
    <xf numFmtId="0" fontId="10" fillId="0" borderId="0" xfId="0" applyFont="1"/>
    <xf numFmtId="164" fontId="10" fillId="0" borderId="3" xfId="1" quotePrefix="1" applyNumberFormat="1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164" fontId="10" fillId="0" borderId="0" xfId="1" applyNumberFormat="1" applyFont="1" applyBorder="1"/>
    <xf numFmtId="164" fontId="10" fillId="0" borderId="4" xfId="0" applyNumberFormat="1" applyFont="1" applyBorder="1"/>
    <xf numFmtId="0" fontId="10" fillId="0" borderId="5" xfId="0" applyFont="1" applyBorder="1" applyAlignment="1">
      <alignment horizontal="center"/>
    </xf>
    <xf numFmtId="164" fontId="10" fillId="0" borderId="6" xfId="1" applyNumberFormat="1" applyFont="1" applyBorder="1"/>
    <xf numFmtId="164" fontId="10" fillId="0" borderId="7" xfId="0" applyNumberFormat="1" applyFont="1" applyBorder="1"/>
    <xf numFmtId="3" fontId="10" fillId="0" borderId="12" xfId="0" quotePrefix="1" applyNumberFormat="1" applyFont="1" applyBorder="1" applyAlignment="1">
      <alignment horizontal="right"/>
    </xf>
    <xf numFmtId="0" fontId="39" fillId="0" borderId="13" xfId="0" applyFont="1" applyBorder="1" applyAlignment="1">
      <alignment horizontal="center"/>
    </xf>
    <xf numFmtId="164" fontId="39" fillId="0" borderId="14" xfId="0" applyNumberFormat="1" applyFont="1" applyBorder="1"/>
    <xf numFmtId="3" fontId="39" fillId="0" borderId="14" xfId="0" quotePrefix="1" applyNumberFormat="1" applyFont="1" applyBorder="1" applyAlignment="1">
      <alignment horizontal="right"/>
    </xf>
    <xf numFmtId="166" fontId="39" fillId="0" borderId="15" xfId="2" quotePrefix="1" applyNumberFormat="1" applyFont="1" applyFill="1" applyBorder="1" applyAlignment="1">
      <alignment horizontal="center"/>
    </xf>
    <xf numFmtId="6" fontId="13" fillId="0" borderId="15" xfId="0" applyNumberFormat="1" applyFont="1" applyBorder="1"/>
    <xf numFmtId="10" fontId="27" fillId="0" borderId="6" xfId="2" applyNumberFormat="1" applyFont="1" applyBorder="1" applyAlignment="1">
      <alignment horizontal="center"/>
    </xf>
    <xf numFmtId="14" fontId="27" fillId="0" borderId="6" xfId="0" applyNumberFormat="1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3" fontId="27" fillId="0" borderId="9" xfId="0" applyNumberFormat="1" applyFont="1" applyBorder="1"/>
    <xf numFmtId="10" fontId="40" fillId="0" borderId="1" xfId="2" applyNumberFormat="1" applyFont="1" applyBorder="1"/>
    <xf numFmtId="10" fontId="27" fillId="0" borderId="8" xfId="2" applyNumberFormat="1" applyFont="1" applyBorder="1"/>
    <xf numFmtId="0" fontId="27" fillId="0" borderId="8" xfId="0" applyFont="1" applyBorder="1"/>
    <xf numFmtId="0" fontId="27" fillId="0" borderId="2" xfId="0" applyFont="1" applyBorder="1" applyAlignment="1">
      <alignment horizontal="center"/>
    </xf>
    <xf numFmtId="0" fontId="27" fillId="0" borderId="3" xfId="0" applyFont="1" applyBorder="1"/>
    <xf numFmtId="10" fontId="27" fillId="0" borderId="0" xfId="2" applyNumberFormat="1" applyFont="1" applyBorder="1"/>
    <xf numFmtId="0" fontId="27" fillId="0" borderId="7" xfId="0" applyFont="1" applyBorder="1" applyAlignment="1">
      <alignment horizontal="center"/>
    </xf>
    <xf numFmtId="164" fontId="27" fillId="0" borderId="3" xfId="0" applyNumberFormat="1" applyFont="1" applyBorder="1" applyAlignment="1">
      <alignment horizontal="left"/>
    </xf>
    <xf numFmtId="164" fontId="27" fillId="0" borderId="4" xfId="0" applyNumberFormat="1" applyFont="1" applyBorder="1"/>
    <xf numFmtId="164" fontId="29" fillId="0" borderId="0" xfId="0" applyNumberFormat="1" applyFont="1"/>
    <xf numFmtId="164" fontId="29" fillId="0" borderId="4" xfId="0" applyNumberFormat="1" applyFont="1" applyBorder="1"/>
    <xf numFmtId="164" fontId="38" fillId="0" borderId="0" xfId="0" applyNumberFormat="1" applyFont="1"/>
    <xf numFmtId="164" fontId="38" fillId="0" borderId="4" xfId="0" applyNumberFormat="1" applyFont="1" applyBorder="1"/>
    <xf numFmtId="10" fontId="30" fillId="0" borderId="5" xfId="2" applyNumberFormat="1" applyFont="1" applyBorder="1"/>
    <xf numFmtId="10" fontId="27" fillId="0" borderId="6" xfId="2" applyNumberFormat="1" applyFont="1" applyBorder="1"/>
    <xf numFmtId="0" fontId="27" fillId="0" borderId="6" xfId="0" applyFont="1" applyBorder="1"/>
    <xf numFmtId="10" fontId="41" fillId="0" borderId="7" xfId="2" applyNumberFormat="1" applyFont="1" applyBorder="1"/>
    <xf numFmtId="10" fontId="7" fillId="0" borderId="3" xfId="0" applyNumberFormat="1" applyFont="1" applyBorder="1"/>
    <xf numFmtId="43" fontId="27" fillId="0" borderId="0" xfId="0" applyNumberFormat="1" applyFont="1"/>
    <xf numFmtId="167" fontId="27" fillId="0" borderId="0" xfId="0" applyNumberFormat="1" applyFont="1"/>
    <xf numFmtId="164" fontId="39" fillId="0" borderId="12" xfId="1" applyNumberFormat="1" applyFont="1" applyBorder="1" applyAlignment="1">
      <alignment horizontal="center" wrapText="1"/>
    </xf>
    <xf numFmtId="10" fontId="25" fillId="0" borderId="0" xfId="0" applyNumberFormat="1" applyFont="1"/>
    <xf numFmtId="9" fontId="27" fillId="0" borderId="11" xfId="2" applyFont="1" applyFill="1" applyBorder="1"/>
    <xf numFmtId="164" fontId="27" fillId="0" borderId="0" xfId="1" applyNumberFormat="1" applyFont="1" applyFill="1"/>
    <xf numFmtId="167" fontId="13" fillId="0" borderId="15" xfId="0" applyNumberFormat="1" applyFont="1" applyBorder="1"/>
    <xf numFmtId="164" fontId="39" fillId="0" borderId="12" xfId="1" applyNumberFormat="1" applyFont="1" applyBorder="1" applyAlignment="1">
      <alignment horizontal="center"/>
    </xf>
    <xf numFmtId="166" fontId="13" fillId="0" borderId="4" xfId="2" applyNumberFormat="1" applyFont="1" applyBorder="1"/>
    <xf numFmtId="166" fontId="7" fillId="0" borderId="4" xfId="2" applyNumberFormat="1" applyFont="1" applyBorder="1"/>
    <xf numFmtId="166" fontId="7" fillId="0" borderId="4" xfId="0" applyNumberFormat="1" applyFont="1" applyBorder="1"/>
    <xf numFmtId="166" fontId="13" fillId="0" borderId="4" xfId="3" applyNumberFormat="1" applyFont="1" applyFill="1" applyBorder="1"/>
    <xf numFmtId="0" fontId="39" fillId="0" borderId="0" xfId="0" applyFont="1" applyAlignment="1">
      <alignment horizontal="left"/>
    </xf>
    <xf numFmtId="165" fontId="10" fillId="0" borderId="0" xfId="3" applyNumberFormat="1" applyFont="1"/>
    <xf numFmtId="164" fontId="42" fillId="0" borderId="0" xfId="1" applyNumberFormat="1" applyFont="1"/>
    <xf numFmtId="165" fontId="43" fillId="0" borderId="0" xfId="3" applyNumberFormat="1" applyFont="1"/>
    <xf numFmtId="0" fontId="37" fillId="0" borderId="13" xfId="0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0" fontId="37" fillId="0" borderId="15" xfId="0" applyFont="1" applyBorder="1" applyAlignment="1">
      <alignment horizontal="center"/>
    </xf>
    <xf numFmtId="0" fontId="37" fillId="4" borderId="12" xfId="0" applyFont="1" applyFill="1" applyBorder="1"/>
    <xf numFmtId="0" fontId="37" fillId="4" borderId="12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wrapText="1"/>
    </xf>
    <xf numFmtId="0" fontId="37" fillId="4" borderId="12" xfId="0" applyFont="1" applyFill="1" applyBorder="1" applyAlignment="1">
      <alignment horizontal="center" wrapText="1"/>
    </xf>
    <xf numFmtId="43" fontId="6" fillId="5" borderId="9" xfId="0" applyNumberFormat="1" applyFont="1" applyFill="1" applyBorder="1"/>
    <xf numFmtId="170" fontId="6" fillId="0" borderId="9" xfId="3" applyNumberFormat="1" applyFont="1" applyBorder="1"/>
    <xf numFmtId="166" fontId="6" fillId="0" borderId="9" xfId="2" applyNumberFormat="1" applyFont="1" applyBorder="1"/>
    <xf numFmtId="166" fontId="6" fillId="0" borderId="12" xfId="2" applyNumberFormat="1" applyFont="1" applyBorder="1"/>
    <xf numFmtId="170" fontId="6" fillId="0" borderId="12" xfId="0" applyNumberFormat="1" applyFont="1" applyBorder="1"/>
    <xf numFmtId="43" fontId="6" fillId="5" borderId="12" xfId="0" applyNumberFormat="1" applyFont="1" applyFill="1" applyBorder="1"/>
    <xf numFmtId="0" fontId="37" fillId="4" borderId="13" xfId="0" applyFont="1" applyFill="1" applyBorder="1" applyAlignment="1">
      <alignment horizontal="center"/>
    </xf>
    <xf numFmtId="10" fontId="6" fillId="0" borderId="9" xfId="2" applyNumberFormat="1" applyFont="1" applyBorder="1"/>
    <xf numFmtId="170" fontId="6" fillId="0" borderId="0" xfId="0" applyNumberFormat="1" applyFont="1"/>
    <xf numFmtId="170" fontId="37" fillId="0" borderId="12" xfId="0" applyNumberFormat="1" applyFont="1" applyBorder="1"/>
    <xf numFmtId="166" fontId="20" fillId="0" borderId="12" xfId="2" applyNumberFormat="1" applyFont="1" applyBorder="1" applyAlignment="1">
      <alignment horizontal="center"/>
    </xf>
    <xf numFmtId="164" fontId="37" fillId="5" borderId="12" xfId="1" applyNumberFormat="1" applyFont="1" applyFill="1" applyBorder="1" applyAlignment="1">
      <alignment horizontal="left"/>
    </xf>
    <xf numFmtId="10" fontId="37" fillId="0" borderId="12" xfId="2" applyNumberFormat="1" applyFont="1" applyBorder="1"/>
    <xf numFmtId="43" fontId="37" fillId="4" borderId="5" xfId="0" applyNumberFormat="1" applyFont="1" applyFill="1" applyBorder="1" applyAlignment="1">
      <alignment horizontal="center"/>
    </xf>
    <xf numFmtId="43" fontId="37" fillId="4" borderId="15" xfId="0" applyNumberFormat="1" applyFont="1" applyFill="1" applyBorder="1" applyAlignment="1">
      <alignment horizontal="center" wrapText="1"/>
    </xf>
    <xf numFmtId="170" fontId="6" fillId="0" borderId="12" xfId="3" applyNumberFormat="1" applyFont="1" applyBorder="1"/>
    <xf numFmtId="43" fontId="6" fillId="0" borderId="0" xfId="0" applyNumberFormat="1" applyFont="1"/>
    <xf numFmtId="164" fontId="9" fillId="0" borderId="7" xfId="1" applyNumberFormat="1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44" fontId="7" fillId="0" borderId="2" xfId="3" applyFont="1" applyBorder="1"/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166" fontId="7" fillId="0" borderId="7" xfId="2" applyNumberFormat="1" applyFont="1" applyBorder="1"/>
    <xf numFmtId="0" fontId="7" fillId="0" borderId="1" xfId="0" applyFont="1" applyBorder="1"/>
    <xf numFmtId="166" fontId="27" fillId="0" borderId="0" xfId="2" applyNumberFormat="1" applyFont="1"/>
    <xf numFmtId="164" fontId="10" fillId="0" borderId="15" xfId="1" applyNumberFormat="1" applyFont="1" applyBorder="1"/>
    <xf numFmtId="166" fontId="10" fillId="0" borderId="15" xfId="2" quotePrefix="1" applyNumberFormat="1" applyFont="1" applyFill="1" applyBorder="1" applyAlignment="1">
      <alignment horizontal="center"/>
    </xf>
    <xf numFmtId="167" fontId="10" fillId="0" borderId="15" xfId="1" applyNumberFormat="1" applyFont="1" applyBorder="1"/>
    <xf numFmtId="167" fontId="10" fillId="0" borderId="15" xfId="0" applyNumberFormat="1" applyFont="1" applyBorder="1"/>
    <xf numFmtId="10" fontId="7" fillId="0" borderId="4" xfId="2" applyNumberFormat="1" applyFont="1" applyFill="1" applyBorder="1"/>
    <xf numFmtId="164" fontId="27" fillId="0" borderId="0" xfId="1" applyNumberFormat="1" applyFont="1" applyFill="1" applyBorder="1"/>
    <xf numFmtId="164" fontId="10" fillId="0" borderId="12" xfId="1" applyNumberFormat="1" applyFont="1" applyFill="1" applyBorder="1"/>
    <xf numFmtId="167" fontId="10" fillId="0" borderId="12" xfId="1" applyNumberFormat="1" applyFont="1" applyFill="1" applyBorder="1"/>
    <xf numFmtId="3" fontId="10" fillId="0" borderId="15" xfId="0" quotePrefix="1" applyNumberFormat="1" applyFont="1" applyBorder="1" applyAlignment="1">
      <alignment horizontal="right"/>
    </xf>
    <xf numFmtId="164" fontId="10" fillId="0" borderId="0" xfId="0" applyNumberFormat="1" applyFont="1" applyAlignment="1">
      <alignment horizontal="center"/>
    </xf>
    <xf numFmtId="0" fontId="13" fillId="2" borderId="7" xfId="0" applyFont="1" applyFill="1" applyBorder="1" applyAlignment="1">
      <alignment horizontal="center"/>
    </xf>
    <xf numFmtId="165" fontId="13" fillId="2" borderId="9" xfId="3" applyNumberFormat="1" applyFont="1" applyFill="1" applyBorder="1"/>
    <xf numFmtId="6" fontId="44" fillId="0" borderId="15" xfId="0" applyNumberFormat="1" applyFont="1" applyBorder="1"/>
    <xf numFmtId="164" fontId="44" fillId="0" borderId="15" xfId="0" applyNumberFormat="1" applyFont="1" applyBorder="1"/>
    <xf numFmtId="167" fontId="44" fillId="0" borderId="15" xfId="0" applyNumberFormat="1" applyFont="1" applyBorder="1"/>
    <xf numFmtId="166" fontId="6" fillId="0" borderId="0" xfId="2" applyNumberFormat="1" applyFont="1"/>
    <xf numFmtId="43" fontId="10" fillId="0" borderId="12" xfId="1" quotePrefix="1" applyFont="1" applyBorder="1" applyAlignment="1">
      <alignment horizontal="right"/>
    </xf>
    <xf numFmtId="15" fontId="37" fillId="4" borderId="12" xfId="0" applyNumberFormat="1" applyFont="1" applyFill="1" applyBorder="1" applyAlignment="1">
      <alignment horizontal="center" wrapText="1"/>
    </xf>
    <xf numFmtId="164" fontId="6" fillId="0" borderId="0" xfId="1" applyNumberFormat="1" applyFont="1"/>
    <xf numFmtId="44" fontId="6" fillId="0" borderId="0" xfId="0" applyNumberFormat="1" applyFont="1"/>
    <xf numFmtId="165" fontId="6" fillId="0" borderId="0" xfId="0" applyNumberFormat="1" applyFont="1"/>
    <xf numFmtId="43" fontId="6" fillId="0" borderId="0" xfId="1" applyFont="1"/>
    <xf numFmtId="164" fontId="45" fillId="0" borderId="0" xfId="1" applyNumberFormat="1" applyFont="1" applyBorder="1"/>
    <xf numFmtId="165" fontId="6" fillId="0" borderId="0" xfId="0" applyNumberFormat="1" applyFont="1" applyBorder="1"/>
    <xf numFmtId="164" fontId="45" fillId="0" borderId="0" xfId="1" applyNumberFormat="1" applyFont="1"/>
    <xf numFmtId="165" fontId="46" fillId="0" borderId="0" xfId="0" applyNumberFormat="1" applyFont="1"/>
    <xf numFmtId="164" fontId="10" fillId="0" borderId="1" xfId="0" applyNumberFormat="1" applyFont="1" applyBorder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43" fontId="37" fillId="4" borderId="13" xfId="0" applyNumberFormat="1" applyFont="1" applyFill="1" applyBorder="1" applyAlignment="1">
      <alignment horizontal="center" wrapText="1"/>
    </xf>
    <xf numFmtId="43" fontId="37" fillId="4" borderId="14" xfId="0" applyNumberFormat="1" applyFont="1" applyFill="1" applyBorder="1" applyAlignment="1">
      <alignment horizontal="center" wrapText="1"/>
    </xf>
    <xf numFmtId="43" fontId="37" fillId="4" borderId="15" xfId="0" applyNumberFormat="1" applyFont="1" applyFill="1" applyBorder="1" applyAlignment="1">
      <alignment horizontal="center" wrapText="1"/>
    </xf>
    <xf numFmtId="0" fontId="37" fillId="4" borderId="13" xfId="0" applyFont="1" applyFill="1" applyBorder="1" applyAlignment="1">
      <alignment horizontal="center"/>
    </xf>
    <xf numFmtId="0" fontId="37" fillId="4" borderId="14" xfId="0" applyFont="1" applyFill="1" applyBorder="1" applyAlignment="1">
      <alignment horizontal="center"/>
    </xf>
    <xf numFmtId="0" fontId="37" fillId="4" borderId="15" xfId="0" applyFont="1" applyFill="1" applyBorder="1" applyAlignment="1">
      <alignment horizontal="center"/>
    </xf>
    <xf numFmtId="0" fontId="37" fillId="4" borderId="13" xfId="0" applyFont="1" applyFill="1" applyBorder="1" applyAlignment="1">
      <alignment horizontal="center" wrapText="1"/>
    </xf>
    <xf numFmtId="0" fontId="37" fillId="4" borderId="14" xfId="0" applyFont="1" applyFill="1" applyBorder="1" applyAlignment="1">
      <alignment horizontal="center" wrapText="1"/>
    </xf>
    <xf numFmtId="0" fontId="37" fillId="4" borderId="15" xfId="0" applyFont="1" applyFill="1" applyBorder="1" applyAlignment="1">
      <alignment horizontal="center" wrapText="1"/>
    </xf>
    <xf numFmtId="43" fontId="37" fillId="4" borderId="13" xfId="0" applyNumberFormat="1" applyFont="1" applyFill="1" applyBorder="1" applyAlignment="1">
      <alignment horizontal="center"/>
    </xf>
    <xf numFmtId="43" fontId="37" fillId="4" borderId="14" xfId="0" applyNumberFormat="1" applyFont="1" applyFill="1" applyBorder="1" applyAlignment="1">
      <alignment horizontal="center"/>
    </xf>
    <xf numFmtId="43" fontId="37" fillId="4" borderId="15" xfId="0" applyNumberFormat="1" applyFont="1" applyFill="1" applyBorder="1" applyAlignment="1">
      <alignment horizontal="center"/>
    </xf>
  </cellXfs>
  <cellStyles count="5">
    <cellStyle name="Comma" xfId="1" builtinId="3"/>
    <cellStyle name="Currency" xfId="3" builtinId="4"/>
    <cellStyle name="Hyperlink" xfId="4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rockett, Gloria" id="{EAF4E76F-61BD-42B4-8CE2-C362FF5D748D}" userId="S::CrockettGL@maritimeelectric.com::f3469a61-5495-491d-a9bc-dff649d2535d" providerId="AD"/>
  <person displayName="Crockett, Gloria" id="{329B85A4-DFE6-4721-B2A4-D3DC8E4CB4AE}" userId="S::crockettgl@maritimeelectric.com::f3469a61-5495-491d-a9bc-dff649d2535d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6-06-23T14:04:39.31" personId="{EAF4E76F-61BD-42B4-8CE2-C362FF5D748D}" id="{856BFF6F-1673-4D14-80CE-B19D214A1E77}">
    <text xml:space="preserve">90% of asset retirements based on 90% of capital replacement allowed by the IRAC.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O49" dT="2026-01-20T19:38:51.72" personId="{329B85A4-DFE6-4721-B2A4-D3DC8E4CB4AE}" id="{839218C4-CD69-4EA3-9FAC-E8F04F37302B}">
    <text>Cost of removal at end of life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18" dT="2026-01-24T18:14:29.28" personId="{329B85A4-DFE6-4721-B2A4-D3DC8E4CB4AE}" id="{09201160-4284-4F5E-B9B0-AB970D9CE097}">
    <text>Cost of debt used to calc WACC is net of IDC charged to capital and Fiona interest charged to deferral account.</text>
  </threadedComment>
  <threadedComment ref="G18" dT="2026-01-24T18:14:29.28" personId="{329B85A4-DFE6-4721-B2A4-D3DC8E4CB4AE}" id="{20C65606-AA32-46A4-9911-080841AABE43}">
    <text>Cost of debt used to calc WACC is net of IDC and Fiona interest charged to deferral account.</text>
  </threadedComment>
  <threadedComment ref="H18" dT="2026-01-24T18:14:29.28" personId="{329B85A4-DFE6-4721-B2A4-D3DC8E4CB4AE}" id="{322A700B-CA9C-479F-A85E-E46DEA4DFB7D}">
    <text>Cost of debt used to calc WACC is net of IDC and Fiona interest charged to deferral account.</text>
  </threadedComment>
  <threadedComment ref="E19" dT="2026-01-24T19:07:58.04" personId="{329B85A4-DFE6-4721-B2A4-D3DC8E4CB4AE}" id="{33F277E5-2D59-4897-87DF-16D61B030D0A}">
    <text>Approved in rates UE23-04</text>
  </threadedComment>
  <threadedComment ref="G19" dT="2026-01-24T19:07:58.04" personId="{329B85A4-DFE6-4721-B2A4-D3DC8E4CB4AE}" id="{24336513-FDB6-414D-9995-E6EA0E4402DB}">
    <text>Approved in rates UE23-04</text>
  </threadedComment>
  <threadedComment ref="H19" dT="2026-01-24T19:07:58.04" personId="{329B85A4-DFE6-4721-B2A4-D3DC8E4CB4AE}" id="{960BDE4E-A319-445D-ADFD-D7BB0EFE1B00}">
    <text>Approved in rates UE23-04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92"/>
  <sheetViews>
    <sheetView workbookViewId="0">
      <selection activeCell="C49" sqref="C49"/>
    </sheetView>
  </sheetViews>
  <sheetFormatPr defaultColWidth="9.140625" defaultRowHeight="12.75" x14ac:dyDescent="0.2"/>
  <cols>
    <col min="1" max="1" width="8.140625" style="1" customWidth="1"/>
    <col min="2" max="2" width="14.85546875" style="1" customWidth="1"/>
    <col min="3" max="3" width="15.5703125" style="1" customWidth="1"/>
    <col min="4" max="4" width="11.7109375" style="1" customWidth="1"/>
    <col min="5" max="5" width="17" style="1" customWidth="1"/>
    <col min="6" max="6" width="12.7109375" style="1" bestFit="1" customWidth="1"/>
    <col min="7" max="7" width="17" style="1" customWidth="1"/>
    <col min="8" max="8" width="12.28515625" style="1" bestFit="1" customWidth="1"/>
    <col min="9" max="9" width="12.28515625" style="1" customWidth="1"/>
    <col min="10" max="10" width="10.5703125" style="1" bestFit="1" customWidth="1"/>
    <col min="11" max="11" width="11.7109375" style="1" bestFit="1" customWidth="1"/>
    <col min="12" max="12" width="11.7109375" style="1" customWidth="1"/>
    <col min="13" max="13" width="12.85546875" style="1" bestFit="1" customWidth="1"/>
    <col min="14" max="14" width="10.7109375" style="1" bestFit="1" customWidth="1"/>
    <col min="15" max="15" width="14.28515625" style="1" customWidth="1"/>
    <col min="16" max="16" width="12.7109375" style="1" customWidth="1"/>
    <col min="17" max="16384" width="9.140625" style="1"/>
  </cols>
  <sheetData>
    <row r="2" spans="1:16" ht="63.75" x14ac:dyDescent="0.2">
      <c r="A2" s="186" t="s">
        <v>161</v>
      </c>
      <c r="B2" s="246" t="s">
        <v>152</v>
      </c>
      <c r="C2" s="251" t="s">
        <v>134</v>
      </c>
      <c r="D2" s="246" t="s">
        <v>154</v>
      </c>
      <c r="E2" s="246" t="s">
        <v>192</v>
      </c>
      <c r="F2" s="187" t="s">
        <v>153</v>
      </c>
      <c r="G2" s="191" t="s">
        <v>165</v>
      </c>
      <c r="H2" s="188" t="s">
        <v>282</v>
      </c>
      <c r="I2" s="188" t="s">
        <v>283</v>
      </c>
      <c r="J2" s="188" t="s">
        <v>273</v>
      </c>
      <c r="K2" s="189" t="s">
        <v>285</v>
      </c>
      <c r="L2" s="189" t="s">
        <v>295</v>
      </c>
      <c r="M2" s="189" t="s">
        <v>195</v>
      </c>
      <c r="N2" s="189" t="s">
        <v>159</v>
      </c>
      <c r="O2" s="190" t="s">
        <v>155</v>
      </c>
      <c r="P2" s="189" t="s">
        <v>307</v>
      </c>
    </row>
    <row r="3" spans="1:16" hidden="1" x14ac:dyDescent="0.2">
      <c r="A3" s="192"/>
      <c r="B3" s="193"/>
      <c r="C3" s="193"/>
      <c r="D3" s="193"/>
      <c r="E3" s="193"/>
      <c r="F3" s="193"/>
      <c r="G3" s="216"/>
      <c r="H3" s="216"/>
      <c r="I3" s="216"/>
      <c r="J3" s="197"/>
      <c r="K3" s="195"/>
      <c r="L3" s="195"/>
      <c r="M3" s="195"/>
      <c r="N3" s="195"/>
      <c r="O3" s="196"/>
      <c r="P3" s="193"/>
    </row>
    <row r="4" spans="1:16" x14ac:dyDescent="0.2">
      <c r="A4" s="192">
        <v>2026</v>
      </c>
      <c r="B4" s="299">
        <f>14755819.36*0.9</f>
        <v>13280237.424000001</v>
      </c>
      <c r="C4" s="299">
        <f>-Retirements!D9</f>
        <v>-1153022.2704219879</v>
      </c>
      <c r="D4" s="299">
        <f>4522970.73*0.9</f>
        <v>4070673.6570000006</v>
      </c>
      <c r="E4" s="299">
        <v>20232177</v>
      </c>
      <c r="F4" s="299">
        <f>+B4+C4+D4+E4-'Annual Depreciation and CCA'!D45</f>
        <v>34919823.176104955</v>
      </c>
      <c r="G4" s="194">
        <f>(+'Annual Depreciation and CCA'!D65)*-1</f>
        <v>-1520836.8179118906</v>
      </c>
      <c r="H4" s="216">
        <f>ROUND(+F4+G4,0)-I4</f>
        <v>14220568.21875</v>
      </c>
      <c r="I4" s="216">
        <f>+E$4-E$4*5/96</f>
        <v>19178417.78125</v>
      </c>
      <c r="J4" s="197">
        <f>+H4/('Rate Base &amp; Cost Capital'!E$28)</f>
        <v>2.3823940346858422E-2</v>
      </c>
      <c r="K4" s="300">
        <f>ROUND((+H4)*'Rate Base &amp; Cost Capital'!G$26,0)</f>
        <v>992576</v>
      </c>
      <c r="L4" s="300">
        <f>+I4*'Rate Base &amp; Cost Capital'!$H$24</f>
        <v>901942.46417730511</v>
      </c>
      <c r="M4" s="300">
        <f>ROUND('Annual Depreciation and CCA'!D45,0)</f>
        <v>1510243</v>
      </c>
      <c r="N4" s="300">
        <f>ROUND(+K47*0.3,0)</f>
        <v>253418</v>
      </c>
      <c r="O4" s="196">
        <f>ROUND(+K4+L4+M4+N4,-3)</f>
        <v>3658000</v>
      </c>
      <c r="P4" s="299">
        <f t="shared" ref="P4:P35" si="0">ROUND(+O4*1,-3)</f>
        <v>3658000</v>
      </c>
    </row>
    <row r="5" spans="1:16" x14ac:dyDescent="0.2">
      <c r="A5" s="192">
        <f t="shared" ref="A5:A42" si="1">+A4+1</f>
        <v>2027</v>
      </c>
      <c r="B5" s="193">
        <v>0</v>
      </c>
      <c r="C5" s="193"/>
      <c r="D5" s="193">
        <f>ROUND(B5/(1-17%)*17%,-3)</f>
        <v>0</v>
      </c>
      <c r="E5" s="193"/>
      <c r="F5" s="193">
        <f>+F4-'Annual Depreciation and CCA'!E45</f>
        <v>31934317.635381896</v>
      </c>
      <c r="G5" s="194">
        <f>(+'Annual Depreciation and CCA'!E65)*-1</f>
        <v>-1667691.1117286682</v>
      </c>
      <c r="H5" s="216">
        <f>ROUND(+F5+G5,-3)-I5</f>
        <v>13617604.34375</v>
      </c>
      <c r="I5" s="216">
        <f>+E$4-E$4*17/96</f>
        <v>16649395.65625</v>
      </c>
      <c r="J5" s="197">
        <f>+H5/('Rate Base &amp; Cost Capital'!E$28)</f>
        <v>2.2813785536703213E-2</v>
      </c>
      <c r="K5" s="195">
        <f>ROUND((+H5+H4)/2*'Rate Base &amp; Cost Capital'!E$26,0)</f>
        <v>971533</v>
      </c>
      <c r="L5" s="300">
        <f>+I5*'Rate Base &amp; Cost Capital'!$H$24</f>
        <v>783004.9963737044</v>
      </c>
      <c r="M5" s="195">
        <f>ROUND('Annual Depreciation and CCA'!E45,0)</f>
        <v>2985506</v>
      </c>
      <c r="N5" s="195">
        <f t="shared" ref="N5:N39" si="2">ROUND(+K48*0.3,0)</f>
        <v>248045</v>
      </c>
      <c r="O5" s="196">
        <f t="shared" ref="O5:O9" si="3">ROUND(+K5+L5+M5+N5,-3)</f>
        <v>4988000</v>
      </c>
      <c r="P5" s="193">
        <f t="shared" si="0"/>
        <v>4988000</v>
      </c>
    </row>
    <row r="6" spans="1:16" x14ac:dyDescent="0.2">
      <c r="A6" s="192">
        <f t="shared" si="1"/>
        <v>2028</v>
      </c>
      <c r="B6" s="193">
        <v>0</v>
      </c>
      <c r="C6" s="193"/>
      <c r="D6" s="193">
        <f>ROUND(B6/(1-17%)*17%,-3)</f>
        <v>0</v>
      </c>
      <c r="E6" s="193"/>
      <c r="F6" s="193">
        <f>+F5-'Annual Depreciation and CCA'!F45</f>
        <v>28948812.094658837</v>
      </c>
      <c r="G6" s="194">
        <f>(+'Annual Depreciation and CCA'!F65)*-1</f>
        <v>-1791841.4600627501</v>
      </c>
      <c r="H6" s="216">
        <f>ROUND(+F6+G6,-3)-I6</f>
        <v>13036626.46875</v>
      </c>
      <c r="I6" s="216">
        <f>+E$4-E$4*29/96</f>
        <v>14120373.53125</v>
      </c>
      <c r="J6" s="197">
        <f>+H6/('Rate Base &amp; Cost Capital'!E$28)</f>
        <v>2.1840464216209509E-2</v>
      </c>
      <c r="K6" s="195">
        <f>ROUND((+H6+H5)/2*'Rate Base &amp; Cost Capital'!E$26,0)</f>
        <v>930215</v>
      </c>
      <c r="L6" s="300">
        <f>+I6*'Rate Base &amp; Cost Capital'!$H$24</f>
        <v>664067.52857010369</v>
      </c>
      <c r="M6" s="195">
        <f>ROUND('Annual Depreciation and CCA'!F45,0)</f>
        <v>2985506</v>
      </c>
      <c r="N6" s="195">
        <f t="shared" si="2"/>
        <v>237496</v>
      </c>
      <c r="O6" s="196">
        <f t="shared" si="3"/>
        <v>4817000</v>
      </c>
      <c r="P6" s="193">
        <f t="shared" si="0"/>
        <v>4817000</v>
      </c>
    </row>
    <row r="7" spans="1:16" x14ac:dyDescent="0.2">
      <c r="A7" s="192">
        <f t="shared" si="1"/>
        <v>2029</v>
      </c>
      <c r="B7" s="193">
        <v>0</v>
      </c>
      <c r="C7" s="193"/>
      <c r="D7" s="193">
        <f>ROUND(B7/(1-17%)*17%,-3)</f>
        <v>0</v>
      </c>
      <c r="E7" s="193"/>
      <c r="F7" s="193">
        <f>+F6-'Annual Depreciation and CCA'!G45</f>
        <v>25963306.553935777</v>
      </c>
      <c r="G7" s="194">
        <f>(+'Annual Depreciation and CCA'!G65)*-1</f>
        <v>-1867431.6440626241</v>
      </c>
      <c r="H7" s="216">
        <f>ROUND(+F7+G7,-3)-I7</f>
        <v>12504648.59375</v>
      </c>
      <c r="I7" s="216">
        <f>+E$4-E$4*41/96</f>
        <v>11591351.40625</v>
      </c>
      <c r="J7" s="197">
        <f>+H7/('Rate Base &amp; Cost Capital'!E$28)</f>
        <v>2.0949233362076835E-2</v>
      </c>
      <c r="K7" s="195">
        <f>ROUND((+H7+H6)/2*'Rate Base &amp; Cost Capital'!E$26,0)</f>
        <v>891373</v>
      </c>
      <c r="L7" s="300">
        <f>+I7*'Rate Base &amp; Cost Capital'!$H$24</f>
        <v>545130.0607665031</v>
      </c>
      <c r="M7" s="195">
        <f>ROUND('Annual Depreciation and CCA'!G45,0)</f>
        <v>2985506</v>
      </c>
      <c r="N7" s="195">
        <f t="shared" si="2"/>
        <v>227579</v>
      </c>
      <c r="O7" s="196">
        <f t="shared" si="3"/>
        <v>4650000</v>
      </c>
      <c r="P7" s="193">
        <f t="shared" si="0"/>
        <v>4650000</v>
      </c>
    </row>
    <row r="8" spans="1:16" x14ac:dyDescent="0.2">
      <c r="A8" s="192">
        <f t="shared" si="1"/>
        <v>2030</v>
      </c>
      <c r="B8" s="193">
        <v>0</v>
      </c>
      <c r="C8" s="193"/>
      <c r="D8" s="193">
        <f>ROUND(B8/(1-17%)*17%,-3)</f>
        <v>0</v>
      </c>
      <c r="E8" s="193"/>
      <c r="F8" s="193">
        <f>+F7-'Annual Depreciation and CCA'!H45</f>
        <v>22977801.013212718</v>
      </c>
      <c r="G8" s="194">
        <f>(+'Annual Depreciation and CCA'!H65)*-1</f>
        <v>-1926019.011365155</v>
      </c>
      <c r="H8" s="216">
        <f>ROUND(+F8+G8,-3)-I8</f>
        <v>11989670.71875</v>
      </c>
      <c r="I8" s="216">
        <f>+E$4-E$4*53/96</f>
        <v>9062329.28125</v>
      </c>
      <c r="J8" s="197">
        <f>+H8/('Rate Base &amp; Cost Capital'!E$28)</f>
        <v>2.0086482873824519E-2</v>
      </c>
      <c r="K8" s="195">
        <f>ROUND((+H8+H7)/2*'Rate Base &amp; Cost Capital'!E$26,0)</f>
        <v>854835</v>
      </c>
      <c r="L8" s="300">
        <f>+I8*'Rate Base &amp; Cost Capital'!$H$24</f>
        <v>426192.59296290239</v>
      </c>
      <c r="M8" s="195">
        <f>ROUND('Annual Depreciation and CCA'!H45,0)</f>
        <v>2985506</v>
      </c>
      <c r="N8" s="195">
        <f t="shared" si="2"/>
        <v>218251</v>
      </c>
      <c r="O8" s="196">
        <f t="shared" si="3"/>
        <v>4485000</v>
      </c>
      <c r="P8" s="193">
        <f t="shared" si="0"/>
        <v>4485000</v>
      </c>
    </row>
    <row r="9" spans="1:16" x14ac:dyDescent="0.2">
      <c r="A9" s="192">
        <f t="shared" si="1"/>
        <v>2031</v>
      </c>
      <c r="B9" s="193">
        <v>0</v>
      </c>
      <c r="C9" s="193"/>
      <c r="D9" s="193">
        <f t="shared" ref="D9:D35" si="4">ROUND(B9/(1-17%)*17%,-3)</f>
        <v>0</v>
      </c>
      <c r="E9" s="193"/>
      <c r="F9" s="193">
        <f>+F8-'Annual Depreciation and CCA'!I45</f>
        <v>19992295.472489659</v>
      </c>
      <c r="G9" s="194">
        <f>(+'Annual Depreciation and CCA'!I65)*-1</f>
        <v>-1968963.7873061299</v>
      </c>
      <c r="H9" s="216">
        <f t="shared" ref="H9:H12" si="5">ROUND(+F9+G9,-3)-I9</f>
        <v>11489692.84375</v>
      </c>
      <c r="I9" s="216">
        <f>+E$4-E$4*65/96</f>
        <v>6533307.15625</v>
      </c>
      <c r="J9" s="197">
        <f>+H9/('Rate Base &amp; Cost Capital'!E$28)</f>
        <v>1.9248862120172523E-2</v>
      </c>
      <c r="K9" s="195">
        <f>ROUND((+H9+H8)/2*'Rate Base &amp; Cost Capital'!E$26,0)</f>
        <v>819414</v>
      </c>
      <c r="L9" s="300">
        <f>+I9*'Rate Base &amp; Cost Capital'!$H$24</f>
        <v>307255.12515930174</v>
      </c>
      <c r="M9" s="195">
        <f>ROUND('Annual Depreciation and CCA'!I45,0)</f>
        <v>2985506</v>
      </c>
      <c r="N9" s="195">
        <f t="shared" si="2"/>
        <v>209207</v>
      </c>
      <c r="O9" s="196">
        <f t="shared" si="3"/>
        <v>4321000</v>
      </c>
      <c r="P9" s="193">
        <f t="shared" si="0"/>
        <v>4321000</v>
      </c>
    </row>
    <row r="10" spans="1:16" x14ac:dyDescent="0.2">
      <c r="A10" s="192">
        <f t="shared" si="1"/>
        <v>2032</v>
      </c>
      <c r="B10" s="193">
        <v>0</v>
      </c>
      <c r="C10" s="193"/>
      <c r="D10" s="193">
        <f t="shared" si="4"/>
        <v>0</v>
      </c>
      <c r="E10" s="193"/>
      <c r="F10" s="193">
        <f>+F9-'Annual Depreciation and CCA'!J45</f>
        <v>17006789.931766599</v>
      </c>
      <c r="G10" s="194">
        <f>(+'Annual Depreciation and CCA'!J65)*-1</f>
        <v>-1997517.3791944734</v>
      </c>
      <c r="H10" s="216">
        <f t="shared" si="5"/>
        <v>11004714.96875</v>
      </c>
      <c r="I10" s="216">
        <f>+E$4-E$4*77/96</f>
        <v>4004285.03125</v>
      </c>
      <c r="J10" s="197">
        <f>+H10/('Rate Base &amp; Cost Capital'!E$28)</f>
        <v>1.8436371101120837E-2</v>
      </c>
      <c r="K10" s="195">
        <f>ROUND((+H10+H9)/2*'Rate Base &amp; Cost Capital'!E$26,0)</f>
        <v>785040</v>
      </c>
      <c r="L10" s="300">
        <f>+I10*'Rate Base &amp; Cost Capital'!$H$24</f>
        <v>188317.65735570106</v>
      </c>
      <c r="M10" s="195">
        <f>ROUND('Annual Depreciation and CCA'!J45,0)</f>
        <v>2985506</v>
      </c>
      <c r="N10" s="195">
        <f t="shared" si="2"/>
        <v>200431</v>
      </c>
      <c r="O10" s="196">
        <f t="shared" ref="O10:O35" si="6">ROUND(+K10+M10+N10,-3)</f>
        <v>3971000</v>
      </c>
      <c r="P10" s="193">
        <f t="shared" si="0"/>
        <v>3971000</v>
      </c>
    </row>
    <row r="11" spans="1:16" x14ac:dyDescent="0.2">
      <c r="A11" s="192">
        <f t="shared" si="1"/>
        <v>2033</v>
      </c>
      <c r="B11" s="193">
        <v>0</v>
      </c>
      <c r="C11" s="193"/>
      <c r="D11" s="193">
        <f t="shared" si="4"/>
        <v>0</v>
      </c>
      <c r="E11" s="193"/>
      <c r="F11" s="193">
        <f>+F10-'Annual Depreciation and CCA'!K45</f>
        <v>14021284.39104354</v>
      </c>
      <c r="G11" s="198">
        <f>-'Annual Depreciation and CCA'!K65</f>
        <v>-2012831.081754396</v>
      </c>
      <c r="H11" s="216">
        <f t="shared" si="5"/>
        <v>10532737.09375</v>
      </c>
      <c r="I11" s="216">
        <f>+E$4-E$4*89/96</f>
        <v>1475262.90625</v>
      </c>
      <c r="J11" s="197">
        <f>+H11/('Rate Base &amp; Cost Capital'!E$28)</f>
        <v>1.7645659185389431E-2</v>
      </c>
      <c r="K11" s="195">
        <f>ROUND((+H11+H10)/2*'Rate Base &amp; Cost Capital'!E$26,0)</f>
        <v>751643</v>
      </c>
      <c r="L11" s="300">
        <f>+I11*'Rate Base &amp; Cost Capital'!$H$24</f>
        <v>69380.18955210039</v>
      </c>
      <c r="M11" s="195">
        <f>ROUND('Annual Depreciation and CCA'!K45,0)</f>
        <v>2985506</v>
      </c>
      <c r="N11" s="195">
        <f t="shared" si="2"/>
        <v>191904</v>
      </c>
      <c r="O11" s="196">
        <f t="shared" si="6"/>
        <v>3929000</v>
      </c>
      <c r="P11" s="193">
        <f t="shared" si="0"/>
        <v>3929000</v>
      </c>
    </row>
    <row r="12" spans="1:16" x14ac:dyDescent="0.2">
      <c r="A12" s="192">
        <f t="shared" si="1"/>
        <v>2034</v>
      </c>
      <c r="B12" s="193">
        <v>0</v>
      </c>
      <c r="C12" s="193"/>
      <c r="D12" s="193">
        <f t="shared" si="4"/>
        <v>0</v>
      </c>
      <c r="E12" s="193"/>
      <c r="F12" s="193">
        <f>+F11-'Annual Depreciation and CCA'!L45</f>
        <v>12089538.069070481</v>
      </c>
      <c r="G12" s="198">
        <f>-'Annual Depreciation and CCA'!L65</f>
        <v>-2015964.0861321716</v>
      </c>
      <c r="H12" s="216">
        <f t="shared" si="5"/>
        <v>10074000</v>
      </c>
      <c r="I12" s="309">
        <f>+E$4-E$4*96/96</f>
        <v>0</v>
      </c>
      <c r="J12" s="197">
        <f>+H12/('Rate Base &amp; Cost Capital'!E$28)</f>
        <v>1.6877129757572246E-2</v>
      </c>
      <c r="K12" s="195">
        <f>ROUND((+H12+H11)/2*'Rate Base &amp; Cost Capital'!E$26,0)</f>
        <v>719161</v>
      </c>
      <c r="L12" s="300">
        <f>+I12*'Rate Base &amp; Cost Capital'!$H$24</f>
        <v>0</v>
      </c>
      <c r="M12" s="195">
        <f>ROUND('Annual Depreciation and CCA'!L45,0)</f>
        <v>1931746</v>
      </c>
      <c r="N12" s="195">
        <f t="shared" si="2"/>
        <v>183611</v>
      </c>
      <c r="O12" s="196">
        <f t="shared" si="6"/>
        <v>2835000</v>
      </c>
      <c r="P12" s="193">
        <f t="shared" si="0"/>
        <v>2835000</v>
      </c>
    </row>
    <row r="13" spans="1:16" x14ac:dyDescent="0.2">
      <c r="A13" s="192">
        <f t="shared" si="1"/>
        <v>2035</v>
      </c>
      <c r="B13" s="193">
        <v>0</v>
      </c>
      <c r="C13" s="193"/>
      <c r="D13" s="193">
        <f t="shared" si="4"/>
        <v>0</v>
      </c>
      <c r="E13" s="193"/>
      <c r="F13" s="193">
        <f>+F12-'Annual Depreciation and CCA'!M45</f>
        <v>11633054.653347421</v>
      </c>
      <c r="G13" s="198">
        <f>-'Annual Depreciation and CCA'!M65</f>
        <v>-2007890.8481823714</v>
      </c>
      <c r="H13" s="216">
        <f t="shared" ref="H13:H39" si="7">ROUND(+F13+G13,-3)</f>
        <v>9625000</v>
      </c>
      <c r="I13" s="216"/>
      <c r="J13" s="197">
        <f>+H13/('Rate Base &amp; Cost Capital'!E$28)</f>
        <v>1.6124913035202783E-2</v>
      </c>
      <c r="K13" s="195">
        <f>ROUND((+H13+H12)/2*'Rate Base &amp; Cost Capital'!E$26,0)</f>
        <v>687482</v>
      </c>
      <c r="L13" s="300">
        <f>+I13*'Rate Base &amp; Cost Capital'!$H$24</f>
        <v>0</v>
      </c>
      <c r="M13" s="195">
        <f>ROUND('Annual Depreciation and CCA'!M45,0)</f>
        <v>456483</v>
      </c>
      <c r="N13" s="195">
        <f t="shared" si="2"/>
        <v>175523</v>
      </c>
      <c r="O13" s="196">
        <f t="shared" si="6"/>
        <v>1319000</v>
      </c>
      <c r="P13" s="193">
        <f t="shared" si="0"/>
        <v>1319000</v>
      </c>
    </row>
    <row r="14" spans="1:16" x14ac:dyDescent="0.2">
      <c r="A14" s="192">
        <f t="shared" si="1"/>
        <v>2036</v>
      </c>
      <c r="B14" s="193">
        <v>0</v>
      </c>
      <c r="C14" s="193"/>
      <c r="D14" s="193">
        <f t="shared" si="4"/>
        <v>0</v>
      </c>
      <c r="E14" s="193"/>
      <c r="F14" s="193">
        <f>+F13-'Annual Depreciation and CCA'!N$45</f>
        <v>11176571.237624362</v>
      </c>
      <c r="G14" s="198">
        <f>-'Annual Depreciation and CCA'!N65</f>
        <v>-1989507.8672912018</v>
      </c>
      <c r="H14" s="216">
        <f t="shared" si="7"/>
        <v>9187000</v>
      </c>
      <c r="I14" s="216"/>
      <c r="J14" s="197">
        <f>+H14/('Rate Base &amp; Cost Capital'!E$28)</f>
        <v>1.5391124784873556E-2</v>
      </c>
      <c r="K14" s="195">
        <f>ROUND((+H14+H13)/2*'Rate Base &amp; Cost Capital'!E$26,0)</f>
        <v>656526</v>
      </c>
      <c r="L14" s="195"/>
      <c r="M14" s="195">
        <f>ROUND('Annual Depreciation and CCA'!N45,0)</f>
        <v>456483</v>
      </c>
      <c r="N14" s="195">
        <f t="shared" si="2"/>
        <v>167620</v>
      </c>
      <c r="O14" s="196">
        <f t="shared" si="6"/>
        <v>1281000</v>
      </c>
      <c r="P14" s="193">
        <f t="shared" si="0"/>
        <v>1281000</v>
      </c>
    </row>
    <row r="15" spans="1:16" x14ac:dyDescent="0.2">
      <c r="A15" s="192">
        <f t="shared" si="1"/>
        <v>2037</v>
      </c>
      <c r="B15" s="193">
        <v>0</v>
      </c>
      <c r="C15" s="193"/>
      <c r="D15" s="193">
        <f t="shared" si="4"/>
        <v>0</v>
      </c>
      <c r="E15" s="193"/>
      <c r="F15" s="193">
        <f>+F14-'Annual Depreciation and CCA'!O$45</f>
        <v>10720087.821901303</v>
      </c>
      <c r="G15" s="198">
        <f>-'Annual Depreciation and CCA'!O65</f>
        <v>-1961639.9228939724</v>
      </c>
      <c r="H15" s="216">
        <f t="shared" si="7"/>
        <v>8758000</v>
      </c>
      <c r="I15" s="216"/>
      <c r="J15" s="197">
        <f>+H15/('Rate Base &amp; Cost Capital'!E$28)</f>
        <v>1.4672414375304518E-2</v>
      </c>
      <c r="K15" s="195">
        <f>ROUND((+H15+H14)/2*'Rate Base &amp; Cost Capital'!E$26,0)</f>
        <v>626268</v>
      </c>
      <c r="L15" s="195"/>
      <c r="M15" s="195">
        <f>ROUND('Annual Depreciation and CCA'!O45,0)</f>
        <v>456483</v>
      </c>
      <c r="N15" s="195">
        <f t="shared" si="2"/>
        <v>159895</v>
      </c>
      <c r="O15" s="196">
        <f t="shared" si="6"/>
        <v>1243000</v>
      </c>
      <c r="P15" s="193">
        <f t="shared" si="0"/>
        <v>1243000</v>
      </c>
    </row>
    <row r="16" spans="1:16" x14ac:dyDescent="0.2">
      <c r="A16" s="192">
        <f t="shared" si="1"/>
        <v>2038</v>
      </c>
      <c r="B16" s="193">
        <v>0</v>
      </c>
      <c r="C16" s="193"/>
      <c r="D16" s="193">
        <f t="shared" si="4"/>
        <v>0</v>
      </c>
      <c r="E16" s="193"/>
      <c r="F16" s="193">
        <f>+F15-'Annual Depreciation and CCA'!P$45</f>
        <v>10263604.406178243</v>
      </c>
      <c r="G16" s="198">
        <f>-'Annual Depreciation and CCA'!P65</f>
        <v>-1925045.8120711681</v>
      </c>
      <c r="H16" s="216">
        <f t="shared" si="7"/>
        <v>8339000</v>
      </c>
      <c r="I16" s="216"/>
      <c r="J16" s="197">
        <f>+H16/('Rate Base &amp; Cost Capital'!E$28)</f>
        <v>1.3970457122135691E-2</v>
      </c>
      <c r="K16" s="195">
        <f>ROUND((+H16+H15)/2*'Rate Base &amp; Cost Capital'!E$26,0)</f>
        <v>596674</v>
      </c>
      <c r="L16" s="195"/>
      <c r="M16" s="195">
        <f>ROUND('Annual Depreciation and CCA'!P45,0)</f>
        <v>456483</v>
      </c>
      <c r="N16" s="195">
        <f t="shared" si="2"/>
        <v>152339</v>
      </c>
      <c r="O16" s="196">
        <f t="shared" si="6"/>
        <v>1205000</v>
      </c>
      <c r="P16" s="193">
        <f t="shared" si="0"/>
        <v>1205000</v>
      </c>
    </row>
    <row r="17" spans="1:16" x14ac:dyDescent="0.2">
      <c r="A17" s="192">
        <f t="shared" si="1"/>
        <v>2039</v>
      </c>
      <c r="B17" s="193">
        <v>0</v>
      </c>
      <c r="C17" s="193"/>
      <c r="D17" s="193">
        <f t="shared" si="4"/>
        <v>0</v>
      </c>
      <c r="E17" s="193"/>
      <c r="F17" s="193">
        <f>+F16-'Annual Depreciation and CCA'!Q$45</f>
        <v>9807120.9904551841</v>
      </c>
      <c r="G17" s="198">
        <f>-'Annual Depreciation and CCA'!Q65</f>
        <v>-1880423.6281368344</v>
      </c>
      <c r="H17" s="216">
        <f t="shared" si="7"/>
        <v>7927000</v>
      </c>
      <c r="I17" s="216"/>
      <c r="J17" s="197">
        <f>+H17/('Rate Base &amp; Cost Capital'!E$28)</f>
        <v>1.328022707844701E-2</v>
      </c>
      <c r="K17" s="195">
        <f>ROUND((+H17+H16)/2*'Rate Base &amp; Cost Capital'!E$26,0)</f>
        <v>567672</v>
      </c>
      <c r="L17" s="195"/>
      <c r="M17" s="195">
        <f>ROUND('Annual Depreciation and CCA'!Q45,0)</f>
        <v>456483</v>
      </c>
      <c r="N17" s="195">
        <f t="shared" si="2"/>
        <v>144934</v>
      </c>
      <c r="O17" s="196">
        <f t="shared" si="6"/>
        <v>1169000</v>
      </c>
      <c r="P17" s="193">
        <f t="shared" si="0"/>
        <v>1169000</v>
      </c>
    </row>
    <row r="18" spans="1:16" x14ac:dyDescent="0.2">
      <c r="A18" s="192">
        <f t="shared" si="1"/>
        <v>2040</v>
      </c>
      <c r="B18" s="193">
        <v>0</v>
      </c>
      <c r="C18" s="193"/>
      <c r="D18" s="193">
        <f t="shared" si="4"/>
        <v>0</v>
      </c>
      <c r="E18" s="193"/>
      <c r="F18" s="193">
        <f>+F17-'Annual Depreciation and CCA'!R$45</f>
        <v>9350637.5747321248</v>
      </c>
      <c r="G18" s="198">
        <f>-'Annual Depreciation and CCA'!R65</f>
        <v>-1828415.6169398942</v>
      </c>
      <c r="H18" s="216">
        <f t="shared" si="7"/>
        <v>7522000</v>
      </c>
      <c r="I18" s="216"/>
      <c r="J18" s="197">
        <f>+H18/('Rate Base &amp; Cost Capital'!E$28)</f>
        <v>1.2601724244238477E-2</v>
      </c>
      <c r="K18" s="195">
        <f>ROUND((+H18+H17)/2*'Rate Base &amp; Cost Capital'!E$26,0)</f>
        <v>539160</v>
      </c>
      <c r="L18" s="195"/>
      <c r="M18" s="195">
        <f>ROUND('Annual Depreciation and CCA'!R45,0)</f>
        <v>456483</v>
      </c>
      <c r="N18" s="195">
        <f t="shared" si="2"/>
        <v>137655</v>
      </c>
      <c r="O18" s="196">
        <f t="shared" si="6"/>
        <v>1133000</v>
      </c>
      <c r="P18" s="193">
        <f t="shared" si="0"/>
        <v>1133000</v>
      </c>
    </row>
    <row r="19" spans="1:16" x14ac:dyDescent="0.2">
      <c r="A19" s="192">
        <f t="shared" si="1"/>
        <v>2041</v>
      </c>
      <c r="B19" s="193">
        <v>0</v>
      </c>
      <c r="C19" s="193"/>
      <c r="D19" s="193">
        <f t="shared" si="4"/>
        <v>0</v>
      </c>
      <c r="E19" s="193"/>
      <c r="F19" s="193">
        <f>+F18-'Annual Depreciation and CCA'!S$45</f>
        <v>8894154.1590090655</v>
      </c>
      <c r="G19" s="198">
        <f>-'Annual Depreciation and CCA'!S65</f>
        <v>-1769612.644661356</v>
      </c>
      <c r="H19" s="216">
        <f t="shared" si="7"/>
        <v>7125000</v>
      </c>
      <c r="I19" s="216"/>
      <c r="J19" s="197">
        <f>+H19/('Rate Base &amp; Cost Capital'!E$28)</f>
        <v>1.1936623935150112E-2</v>
      </c>
      <c r="K19" s="195">
        <f>ROUND((+H19+H18)/2*'Rate Base &amp; Cost Capital'!E$26,0)</f>
        <v>511170</v>
      </c>
      <c r="L19" s="195"/>
      <c r="M19" s="195">
        <f>ROUND('Annual Depreciation and CCA'!S45,0)</f>
        <v>456483</v>
      </c>
      <c r="N19" s="195">
        <f t="shared" si="2"/>
        <v>130509</v>
      </c>
      <c r="O19" s="196">
        <f t="shared" si="6"/>
        <v>1098000</v>
      </c>
      <c r="P19" s="193">
        <f t="shared" si="0"/>
        <v>1098000</v>
      </c>
    </row>
    <row r="20" spans="1:16" x14ac:dyDescent="0.2">
      <c r="A20" s="192">
        <f t="shared" si="1"/>
        <v>2042</v>
      </c>
      <c r="B20" s="193">
        <v>0</v>
      </c>
      <c r="C20" s="193"/>
      <c r="D20" s="193">
        <f t="shared" si="4"/>
        <v>0</v>
      </c>
      <c r="E20" s="193"/>
      <c r="F20" s="193">
        <f>+F19-'Annual Depreciation and CCA'!T$45</f>
        <v>8437670.7432860062</v>
      </c>
      <c r="G20" s="198">
        <f>-'Annual Depreciation and CCA'!T65</f>
        <v>-1704558.3081877469</v>
      </c>
      <c r="H20" s="216">
        <f t="shared" si="7"/>
        <v>6733000</v>
      </c>
      <c r="I20" s="216"/>
      <c r="J20" s="197">
        <f>+H20/('Rate Base &amp; Cost Capital'!E$28)</f>
        <v>1.1279900204261855E-2</v>
      </c>
      <c r="K20" s="195">
        <f>ROUND((+H20+H19)/2*'Rate Base &amp; Cost Capital'!E$26,0)</f>
        <v>483635</v>
      </c>
      <c r="L20" s="195"/>
      <c r="M20" s="195">
        <f>ROUND('Annual Depreciation and CCA'!T45,0)</f>
        <v>456483</v>
      </c>
      <c r="N20" s="195">
        <f t="shared" si="2"/>
        <v>123478</v>
      </c>
      <c r="O20" s="196">
        <f t="shared" si="6"/>
        <v>1064000</v>
      </c>
      <c r="P20" s="193">
        <f t="shared" si="0"/>
        <v>1064000</v>
      </c>
    </row>
    <row r="21" spans="1:16" x14ac:dyDescent="0.2">
      <c r="A21" s="192">
        <f t="shared" si="1"/>
        <v>2043</v>
      </c>
      <c r="B21" s="193">
        <v>0</v>
      </c>
      <c r="C21" s="193"/>
      <c r="D21" s="193">
        <f t="shared" si="4"/>
        <v>0</v>
      </c>
      <c r="E21" s="193"/>
      <c r="F21" s="193">
        <f>+F20-'Annual Depreciation and CCA'!U$45</f>
        <v>7981187.3275629468</v>
      </c>
      <c r="G21" s="198">
        <f>-'Annual Depreciation and CCA'!U65</f>
        <v>-1633752.7166546735</v>
      </c>
      <c r="H21" s="216">
        <f t="shared" si="7"/>
        <v>6347000</v>
      </c>
      <c r="I21" s="216"/>
      <c r="J21" s="197">
        <f>+H21/('Rate Base &amp; Cost Capital'!E$28)</f>
        <v>1.0633228367213721E-2</v>
      </c>
      <c r="K21" s="195">
        <f>ROUND((+H21+H20)/2*'Rate Base &amp; Cost Capital'!E$26,0)</f>
        <v>456483</v>
      </c>
      <c r="L21" s="195"/>
      <c r="M21" s="195">
        <f>ROUND('Annual Depreciation and CCA'!U45,0)</f>
        <v>456483</v>
      </c>
      <c r="N21" s="195">
        <f t="shared" si="2"/>
        <v>116546</v>
      </c>
      <c r="O21" s="196">
        <f t="shared" si="6"/>
        <v>1030000</v>
      </c>
      <c r="P21" s="193">
        <f t="shared" si="0"/>
        <v>1030000</v>
      </c>
    </row>
    <row r="22" spans="1:16" x14ac:dyDescent="0.2">
      <c r="A22" s="192">
        <f t="shared" si="1"/>
        <v>2044</v>
      </c>
      <c r="B22" s="193">
        <v>0</v>
      </c>
      <c r="C22" s="193"/>
      <c r="D22" s="193">
        <f t="shared" si="4"/>
        <v>0</v>
      </c>
      <c r="E22" s="193"/>
      <c r="F22" s="193">
        <f>+F21-'Annual Depreciation and CCA'!V$45</f>
        <v>7524703.9118398875</v>
      </c>
      <c r="G22" s="198">
        <f>-'Annual Depreciation and CCA'!V65</f>
        <v>-1557655.9704668925</v>
      </c>
      <c r="H22" s="216">
        <f t="shared" si="7"/>
        <v>5967000</v>
      </c>
      <c r="I22" s="216"/>
      <c r="J22" s="197">
        <f>+H22/('Rate Base &amp; Cost Capital'!E$28)</f>
        <v>9.9966084240057165E-3</v>
      </c>
      <c r="K22" s="195">
        <f>ROUND((+H22+H21)/2*'Rate Base &amp; Cost Capital'!E$26,0)</f>
        <v>429750</v>
      </c>
      <c r="L22" s="195"/>
      <c r="M22" s="195">
        <f>ROUND('Annual Depreciation and CCA'!V45,0)</f>
        <v>456483</v>
      </c>
      <c r="N22" s="195">
        <f t="shared" si="2"/>
        <v>109721</v>
      </c>
      <c r="O22" s="196">
        <f t="shared" si="6"/>
        <v>996000</v>
      </c>
      <c r="P22" s="193">
        <f t="shared" si="0"/>
        <v>996000</v>
      </c>
    </row>
    <row r="23" spans="1:16" x14ac:dyDescent="0.2">
      <c r="A23" s="192">
        <f t="shared" si="1"/>
        <v>2045</v>
      </c>
      <c r="B23" s="193">
        <v>0</v>
      </c>
      <c r="C23" s="193"/>
      <c r="D23" s="193">
        <f t="shared" si="4"/>
        <v>0</v>
      </c>
      <c r="E23" s="193"/>
      <c r="F23" s="193">
        <f>+F22-'Annual Depreciation and CCA'!W$45</f>
        <v>7068220.4961168282</v>
      </c>
      <c r="G23" s="198">
        <f>-'Annual Depreciation and CCA'!W65</f>
        <v>-1476691.3619967804</v>
      </c>
      <c r="H23" s="216">
        <f t="shared" si="7"/>
        <v>5592000</v>
      </c>
      <c r="I23" s="216"/>
      <c r="J23" s="197">
        <f>+H23/('Rate Base &amp; Cost Capital'!E$28)</f>
        <v>9.3683650589978153E-3</v>
      </c>
      <c r="K23" s="195">
        <f>ROUND((+H23+H22)/2*'Rate Base &amp; Cost Capital'!E$26,0)</f>
        <v>403401</v>
      </c>
      <c r="L23" s="195"/>
      <c r="M23" s="195">
        <f>ROUND('Annual Depreciation and CCA'!W45,0)</f>
        <v>456483</v>
      </c>
      <c r="N23" s="195">
        <f t="shared" si="2"/>
        <v>102994</v>
      </c>
      <c r="O23" s="196">
        <f t="shared" si="6"/>
        <v>963000</v>
      </c>
      <c r="P23" s="193">
        <f t="shared" si="0"/>
        <v>963000</v>
      </c>
    </row>
    <row r="24" spans="1:16" x14ac:dyDescent="0.2">
      <c r="A24" s="192">
        <f t="shared" si="1"/>
        <v>2046</v>
      </c>
      <c r="B24" s="193">
        <v>0</v>
      </c>
      <c r="C24" s="193"/>
      <c r="D24" s="193">
        <f t="shared" si="4"/>
        <v>0</v>
      </c>
      <c r="E24" s="193"/>
      <c r="F24" s="193">
        <f>+F23-'Annual Depreciation and CCA'!X$45</f>
        <v>6611737.0803937688</v>
      </c>
      <c r="G24" s="198">
        <f>-'Annual Depreciation and CCA'!X65</f>
        <v>-1391248.3202269238</v>
      </c>
      <c r="H24" s="216">
        <f t="shared" si="7"/>
        <v>5220000</v>
      </c>
      <c r="I24" s="216"/>
      <c r="J24" s="197">
        <f>+H24/('Rate Base &amp; Cost Capital'!E$28)</f>
        <v>8.7451476409099779E-3</v>
      </c>
      <c r="K24" s="195">
        <f>ROUND((+H24+H23)/2*'Rate Base &amp; Cost Capital'!E$26,0)</f>
        <v>377331</v>
      </c>
      <c r="L24" s="195"/>
      <c r="M24" s="195">
        <f>ROUND('Annual Depreciation and CCA'!X45,0)</f>
        <v>456483</v>
      </c>
      <c r="N24" s="195">
        <f t="shared" si="2"/>
        <v>96338</v>
      </c>
      <c r="O24" s="196">
        <f t="shared" si="6"/>
        <v>930000</v>
      </c>
      <c r="P24" s="193">
        <f t="shared" si="0"/>
        <v>930000</v>
      </c>
    </row>
    <row r="25" spans="1:16" x14ac:dyDescent="0.2">
      <c r="A25" s="192">
        <f t="shared" si="1"/>
        <v>2047</v>
      </c>
      <c r="B25" s="193">
        <v>0</v>
      </c>
      <c r="C25" s="193"/>
      <c r="D25" s="193">
        <f t="shared" si="4"/>
        <v>0</v>
      </c>
      <c r="E25" s="193"/>
      <c r="F25" s="193">
        <f>+F24-'Annual Depreciation and CCA'!Y$45</f>
        <v>6155253.6646707095</v>
      </c>
      <c r="G25" s="198">
        <f>-'Annual Depreciation and CCA'!Y65</f>
        <v>-1301685.1198213024</v>
      </c>
      <c r="H25" s="216">
        <f t="shared" si="7"/>
        <v>4854000</v>
      </c>
      <c r="I25" s="216"/>
      <c r="J25" s="197">
        <f>+H25/('Rate Base &amp; Cost Capital'!E$28)</f>
        <v>8.1319821166622661E-3</v>
      </c>
      <c r="K25" s="195">
        <f>ROUND((+H25+H24)/2*'Rate Base &amp; Cost Capital'!E$26,0)</f>
        <v>351576</v>
      </c>
      <c r="L25" s="195"/>
      <c r="M25" s="195">
        <f>ROUND('Annual Depreciation and CCA'!Y45,0)</f>
        <v>456483</v>
      </c>
      <c r="N25" s="195">
        <f t="shared" si="2"/>
        <v>89762</v>
      </c>
      <c r="O25" s="196">
        <f t="shared" si="6"/>
        <v>898000</v>
      </c>
      <c r="P25" s="193">
        <f t="shared" si="0"/>
        <v>898000</v>
      </c>
    </row>
    <row r="26" spans="1:16" x14ac:dyDescent="0.2">
      <c r="A26" s="192">
        <f t="shared" si="1"/>
        <v>2048</v>
      </c>
      <c r="B26" s="193">
        <v>0</v>
      </c>
      <c r="C26" s="193"/>
      <c r="D26" s="193">
        <f t="shared" si="4"/>
        <v>0</v>
      </c>
      <c r="E26" s="193"/>
      <c r="F26" s="193">
        <f>+F25-'Annual Depreciation and CCA'!Z$45</f>
        <v>5698770.2489476502</v>
      </c>
      <c r="G26" s="198">
        <f>-'Annual Depreciation and CCA'!Z65</f>
        <v>-1208331.3734707774</v>
      </c>
      <c r="H26" s="216">
        <f t="shared" si="7"/>
        <v>4490000</v>
      </c>
      <c r="I26" s="216"/>
      <c r="J26" s="197">
        <f>+H26/('Rate Base &amp; Cost Capital'!E$28)</f>
        <v>7.5221672236945973E-3</v>
      </c>
      <c r="K26" s="195">
        <f>ROUND((+H26+H25)/2*'Rate Base &amp; Cost Capital'!E$26,0)</f>
        <v>326099</v>
      </c>
      <c r="L26" s="195"/>
      <c r="M26" s="195">
        <f>ROUND('Annual Depreciation and CCA'!Z45,0)</f>
        <v>456483</v>
      </c>
      <c r="N26" s="195">
        <f t="shared" si="2"/>
        <v>83257</v>
      </c>
      <c r="O26" s="196">
        <f t="shared" si="6"/>
        <v>866000</v>
      </c>
      <c r="P26" s="193">
        <f t="shared" si="0"/>
        <v>866000</v>
      </c>
    </row>
    <row r="27" spans="1:16" x14ac:dyDescent="0.2">
      <c r="A27" s="192">
        <f t="shared" si="1"/>
        <v>2049</v>
      </c>
      <c r="B27" s="193">
        <v>0</v>
      </c>
      <c r="C27" s="193"/>
      <c r="D27" s="193">
        <f t="shared" si="4"/>
        <v>0</v>
      </c>
      <c r="E27" s="193"/>
      <c r="F27" s="193">
        <f>+F26-'Annual Depreciation and CCA'!AA$45</f>
        <v>5242286.8332245909</v>
      </c>
      <c r="G27" s="198">
        <f>-'Annual Depreciation and CCA'!AA65</f>
        <v>-1111490.3248509408</v>
      </c>
      <c r="H27" s="216">
        <f t="shared" si="7"/>
        <v>4131000</v>
      </c>
      <c r="I27" s="216"/>
      <c r="J27" s="197">
        <f>+H27/('Rate Base &amp; Cost Capital'!E$28)</f>
        <v>6.9207289089270336E-3</v>
      </c>
      <c r="K27" s="195">
        <f>ROUND((+H27+H26)/2*'Rate Base &amp; Cost Capital'!E$26,0)</f>
        <v>300867</v>
      </c>
      <c r="L27" s="195"/>
      <c r="M27" s="195">
        <f>ROUND('Annual Depreciation and CCA'!AA45,0)</f>
        <v>456483</v>
      </c>
      <c r="N27" s="195">
        <f t="shared" si="2"/>
        <v>76815</v>
      </c>
      <c r="O27" s="196">
        <f t="shared" si="6"/>
        <v>834000</v>
      </c>
      <c r="P27" s="193">
        <f t="shared" si="0"/>
        <v>834000</v>
      </c>
    </row>
    <row r="28" spans="1:16" x14ac:dyDescent="0.2">
      <c r="A28" s="192">
        <f t="shared" si="1"/>
        <v>2050</v>
      </c>
      <c r="B28" s="193">
        <v>0</v>
      </c>
      <c r="C28" s="193"/>
      <c r="D28" s="193">
        <f t="shared" si="4"/>
        <v>0</v>
      </c>
      <c r="E28" s="193"/>
      <c r="F28" s="193">
        <f>+F27-'Annual Depreciation and CCA'!AB$45</f>
        <v>4785803.4175015315</v>
      </c>
      <c r="G28" s="198">
        <f>-'Annual Depreciation and CCA'!AB65</f>
        <v>-1011440.9581433379</v>
      </c>
      <c r="H28" s="216">
        <f t="shared" si="7"/>
        <v>3774000</v>
      </c>
      <c r="I28" s="216"/>
      <c r="J28" s="197">
        <f>+H28/('Rate Base &amp; Cost Capital'!E$28)</f>
        <v>6.3226412254395129E-3</v>
      </c>
      <c r="K28" s="195">
        <f>ROUND((+H28+H27)/2*'Rate Base &amp; Cost Capital'!E$26,0)</f>
        <v>275879</v>
      </c>
      <c r="L28" s="195"/>
      <c r="M28" s="195">
        <f>ROUND('Annual Depreciation and CCA'!AB45,0)-1</f>
        <v>456482</v>
      </c>
      <c r="N28" s="195">
        <f t="shared" si="2"/>
        <v>70436</v>
      </c>
      <c r="O28" s="196">
        <f t="shared" si="6"/>
        <v>803000</v>
      </c>
      <c r="P28" s="193">
        <f t="shared" si="0"/>
        <v>803000</v>
      </c>
    </row>
    <row r="29" spans="1:16" x14ac:dyDescent="0.2">
      <c r="A29" s="192">
        <f t="shared" si="1"/>
        <v>2051</v>
      </c>
      <c r="B29" s="193">
        <v>0</v>
      </c>
      <c r="C29" s="193"/>
      <c r="D29" s="193">
        <f t="shared" si="4"/>
        <v>0</v>
      </c>
      <c r="E29" s="193"/>
      <c r="F29" s="193">
        <f>+F28-'Annual Depreciation and CCA'!AC$45</f>
        <v>4329320.0017784722</v>
      </c>
      <c r="G29" s="198">
        <f>-'Annual Depreciation and CCA'!AC65</f>
        <v>-908439.93879498972</v>
      </c>
      <c r="H29" s="216">
        <f t="shared" si="7"/>
        <v>3421000</v>
      </c>
      <c r="I29" s="216"/>
      <c r="J29" s="197">
        <f>+H29/('Rate Base &amp; Cost Capital'!E$28)</f>
        <v>5.7312548045120757E-3</v>
      </c>
      <c r="K29" s="195">
        <f>ROUND((+H29+H28)/2*'Rate Base &amp; Cost Capital'!E$26,0)</f>
        <v>251101</v>
      </c>
      <c r="L29" s="195"/>
      <c r="M29" s="195">
        <f>ROUND('Annual Depreciation and CCA'!AC45,0)-1</f>
        <v>456482</v>
      </c>
      <c r="N29" s="195">
        <f t="shared" si="2"/>
        <v>64109</v>
      </c>
      <c r="O29" s="196">
        <f t="shared" si="6"/>
        <v>772000</v>
      </c>
      <c r="P29" s="193">
        <f t="shared" si="0"/>
        <v>772000</v>
      </c>
    </row>
    <row r="30" spans="1:16" x14ac:dyDescent="0.2">
      <c r="A30" s="192">
        <f t="shared" si="1"/>
        <v>2052</v>
      </c>
      <c r="B30" s="193">
        <v>0</v>
      </c>
      <c r="C30" s="193"/>
      <c r="D30" s="193">
        <f t="shared" si="4"/>
        <v>0</v>
      </c>
      <c r="E30" s="193"/>
      <c r="F30" s="193">
        <f>+F29-'Annual Depreciation and CCA'!AD$45</f>
        <v>3872836.5860554129</v>
      </c>
      <c r="G30" s="198">
        <f>-'Annual Depreciation and CCA'!AD65</f>
        <v>-802723.39901715599</v>
      </c>
      <c r="H30" s="216">
        <f t="shared" si="7"/>
        <v>3070000</v>
      </c>
      <c r="I30" s="216"/>
      <c r="J30" s="197">
        <f>+H30/('Rate Base &amp; Cost Capital'!E$28)</f>
        <v>5.1432190148646799E-3</v>
      </c>
      <c r="K30" s="195">
        <f>ROUND((+H30+H29)/2*'Rate Base &amp; Cost Capital'!E$26,0)</f>
        <v>226532</v>
      </c>
      <c r="L30" s="195"/>
      <c r="M30" s="195">
        <f>ROUND('Annual Depreciation and CCA'!AD45,0)-1</f>
        <v>456482</v>
      </c>
      <c r="N30" s="195">
        <f t="shared" si="2"/>
        <v>57837</v>
      </c>
      <c r="O30" s="196">
        <f t="shared" si="6"/>
        <v>741000</v>
      </c>
      <c r="P30" s="193">
        <f t="shared" si="0"/>
        <v>741000</v>
      </c>
    </row>
    <row r="31" spans="1:16" x14ac:dyDescent="0.2">
      <c r="A31" s="192">
        <f t="shared" si="1"/>
        <v>2053</v>
      </c>
      <c r="B31" s="193">
        <v>0</v>
      </c>
      <c r="C31" s="193"/>
      <c r="D31" s="193">
        <f t="shared" si="4"/>
        <v>0</v>
      </c>
      <c r="E31" s="193"/>
      <c r="F31" s="193">
        <f>+F30-'Annual Depreciation and CCA'!AE$45</f>
        <v>3416353.1703323536</v>
      </c>
      <c r="G31" s="198">
        <f>-'Annual Depreciation and CCA'!AE65</f>
        <v>-694508.58044419542</v>
      </c>
      <c r="H31" s="216">
        <f t="shared" si="7"/>
        <v>2722000</v>
      </c>
      <c r="I31" s="216"/>
      <c r="J31" s="197">
        <f>+H31/('Rate Base &amp; Cost Capital'!E$28)</f>
        <v>4.5602091721373486E-3</v>
      </c>
      <c r="K31" s="195">
        <f>ROUND((+H31+H30)/2*'Rate Base &amp; Cost Capital'!E$26,0)</f>
        <v>202137</v>
      </c>
      <c r="L31" s="195"/>
      <c r="M31" s="195">
        <f>ROUND('Annual Depreciation and CCA'!AE45,0)-1</f>
        <v>456482</v>
      </c>
      <c r="N31" s="195">
        <f t="shared" si="2"/>
        <v>51608</v>
      </c>
      <c r="O31" s="196">
        <f t="shared" si="6"/>
        <v>710000</v>
      </c>
      <c r="P31" s="193">
        <f t="shared" si="0"/>
        <v>710000</v>
      </c>
    </row>
    <row r="32" spans="1:16" x14ac:dyDescent="0.2">
      <c r="A32" s="192">
        <f t="shared" si="1"/>
        <v>2054</v>
      </c>
      <c r="B32" s="193">
        <v>0</v>
      </c>
      <c r="C32" s="193"/>
      <c r="D32" s="193">
        <f t="shared" si="4"/>
        <v>0</v>
      </c>
      <c r="E32" s="193"/>
      <c r="F32" s="193">
        <f>+F31-'Annual Depreciation and CCA'!AF$45</f>
        <v>2959869.7546092942</v>
      </c>
      <c r="G32" s="198">
        <f>-'Annual Depreciation and CCA'!AF65</f>
        <v>-583995.34537971835</v>
      </c>
      <c r="H32" s="216">
        <f t="shared" si="7"/>
        <v>2376000</v>
      </c>
      <c r="I32" s="216"/>
      <c r="J32" s="197">
        <f>+H32/('Rate Base &amp; Cost Capital'!E$28)</f>
        <v>3.9805499606900586E-3</v>
      </c>
      <c r="K32" s="195">
        <f>ROUND((+H32+H31)/2*'Rate Base &amp; Cost Capital'!E$26,0)</f>
        <v>177917</v>
      </c>
      <c r="L32" s="195"/>
      <c r="M32" s="195">
        <f>ROUND('Annual Depreciation and CCA'!AF45,0)-1</f>
        <v>456482</v>
      </c>
      <c r="N32" s="195">
        <f t="shared" si="2"/>
        <v>45425</v>
      </c>
      <c r="O32" s="196">
        <f t="shared" si="6"/>
        <v>680000</v>
      </c>
      <c r="P32" s="193">
        <f t="shared" si="0"/>
        <v>680000</v>
      </c>
    </row>
    <row r="33" spans="1:16" x14ac:dyDescent="0.2">
      <c r="A33" s="192">
        <f t="shared" si="1"/>
        <v>2055</v>
      </c>
      <c r="B33" s="193">
        <v>0</v>
      </c>
      <c r="C33" s="193"/>
      <c r="D33" s="193">
        <f t="shared" si="4"/>
        <v>0</v>
      </c>
      <c r="E33" s="193"/>
      <c r="F33" s="193">
        <f>+F32-'Annual Depreciation and CCA'!AG$45</f>
        <v>2503386.3388862349</v>
      </c>
      <c r="G33" s="198">
        <f>-'Annual Depreciation and CCA'!AG65</f>
        <v>-471367.56714304606</v>
      </c>
      <c r="H33" s="216">
        <f t="shared" si="7"/>
        <v>2032000</v>
      </c>
      <c r="I33" s="216"/>
      <c r="J33" s="197">
        <f>+H33/('Rate Base &amp; Cost Capital'!E$28)</f>
        <v>3.4042413805228113E-3</v>
      </c>
      <c r="K33" s="195">
        <f>ROUND((+H33+H32)/2*'Rate Base &amp; Cost Capital'!E$26,0)</f>
        <v>153836</v>
      </c>
      <c r="L33" s="195"/>
      <c r="M33" s="195">
        <f>ROUND('Annual Depreciation and CCA'!AG45,0)-1</f>
        <v>456482</v>
      </c>
      <c r="N33" s="195">
        <f t="shared" si="2"/>
        <v>39276</v>
      </c>
      <c r="O33" s="196">
        <f t="shared" si="6"/>
        <v>650000</v>
      </c>
      <c r="P33" s="193">
        <f t="shared" si="0"/>
        <v>650000</v>
      </c>
    </row>
    <row r="34" spans="1:16" x14ac:dyDescent="0.2">
      <c r="A34" s="192">
        <f t="shared" si="1"/>
        <v>2056</v>
      </c>
      <c r="B34" s="193">
        <v>0</v>
      </c>
      <c r="C34" s="193"/>
      <c r="D34" s="193">
        <f t="shared" si="4"/>
        <v>0</v>
      </c>
      <c r="E34" s="193"/>
      <c r="F34" s="193">
        <f>+F33-'Annual Depreciation and CCA'!AH$45</f>
        <v>2046902.9231631754</v>
      </c>
      <c r="G34" s="198">
        <f>-'Annual Depreciation and CCA'!AH65</f>
        <v>-356794.40918795409</v>
      </c>
      <c r="H34" s="216">
        <f t="shared" si="7"/>
        <v>1690000</v>
      </c>
      <c r="I34" s="216"/>
      <c r="J34" s="197">
        <f>+H34/('Rate Base &amp; Cost Capital'!E$28)</f>
        <v>2.8312834316356057E-3</v>
      </c>
      <c r="K34" s="195">
        <f>ROUND((+H34+H33)/2*'Rate Base &amp; Cost Capital'!E$26,0)</f>
        <v>129895</v>
      </c>
      <c r="L34" s="195"/>
      <c r="M34" s="195">
        <f>ROUND('Annual Depreciation and CCA'!AH45,0)</f>
        <v>456483</v>
      </c>
      <c r="N34" s="195">
        <f t="shared" si="2"/>
        <v>33164</v>
      </c>
      <c r="O34" s="196">
        <f t="shared" si="6"/>
        <v>620000</v>
      </c>
      <c r="P34" s="193">
        <f t="shared" si="0"/>
        <v>620000</v>
      </c>
    </row>
    <row r="35" spans="1:16" x14ac:dyDescent="0.2">
      <c r="A35" s="192">
        <f t="shared" si="1"/>
        <v>2057</v>
      </c>
      <c r="B35" s="193">
        <v>0</v>
      </c>
      <c r="C35" s="193"/>
      <c r="D35" s="193">
        <f t="shared" si="4"/>
        <v>0</v>
      </c>
      <c r="E35" s="193"/>
      <c r="F35" s="193">
        <f>+F34-'Annual Depreciation and CCA'!AI$45</f>
        <v>1590419.5074401158</v>
      </c>
      <c r="G35" s="198">
        <f>-'Annual Depreciation and CCA'!AI65</f>
        <v>-240431.50189191604</v>
      </c>
      <c r="H35" s="216">
        <f t="shared" si="7"/>
        <v>1350000</v>
      </c>
      <c r="I35" s="216"/>
      <c r="J35" s="197">
        <f>+H35/('Rate Base &amp; Cost Capital'!E$28)</f>
        <v>2.2616761140284423E-3</v>
      </c>
      <c r="K35" s="195">
        <f>ROUND((+H35+H34)/2*'Rate Base &amp; Cost Capital'!E$26,0)</f>
        <v>106094</v>
      </c>
      <c r="L35" s="195"/>
      <c r="M35" s="195">
        <f>ROUND('Annual Depreciation and CCA'!AI45,0)</f>
        <v>456483</v>
      </c>
      <c r="N35" s="195">
        <f t="shared" si="2"/>
        <v>27087</v>
      </c>
      <c r="O35" s="196">
        <f t="shared" si="6"/>
        <v>590000</v>
      </c>
      <c r="P35" s="193">
        <f t="shared" si="0"/>
        <v>590000</v>
      </c>
    </row>
    <row r="36" spans="1:16" x14ac:dyDescent="0.2">
      <c r="A36" s="192">
        <f t="shared" si="1"/>
        <v>2058</v>
      </c>
      <c r="B36" s="193">
        <v>0</v>
      </c>
      <c r="C36" s="193"/>
      <c r="D36" s="193">
        <f t="shared" ref="D36:D39" si="8">ROUND(B36/(1-17%)*17%,-3)</f>
        <v>0</v>
      </c>
      <c r="E36" s="193"/>
      <c r="F36" s="193">
        <f>+F35-'Annual Depreciation and CCA'!AJ$45</f>
        <v>1133936.0917170562</v>
      </c>
      <c r="G36" s="198">
        <f>-'Annual Depreciation and CCA'!AJ65</f>
        <v>-122422.02520220762</v>
      </c>
      <c r="H36" s="216">
        <f t="shared" si="7"/>
        <v>1012000</v>
      </c>
      <c r="I36" s="216"/>
      <c r="J36" s="197">
        <f>+H36/('Rate Base &amp; Cost Capital'!E$28)</f>
        <v>1.6954194277013213E-3</v>
      </c>
      <c r="K36" s="195">
        <f>ROUND((+H36+H35)/2*'Rate Base &amp; Cost Capital'!E$26,0)</f>
        <v>82432</v>
      </c>
      <c r="L36" s="195"/>
      <c r="M36" s="195">
        <f>ROUND('Annual Depreciation and CCA'!AJ45,0)</f>
        <v>456483</v>
      </c>
      <c r="N36" s="195">
        <f t="shared" si="2"/>
        <v>21046</v>
      </c>
      <c r="O36" s="196">
        <f t="shared" ref="O36:O39" si="9">ROUND(+K36+M36+N36,-3)</f>
        <v>560000</v>
      </c>
      <c r="P36" s="193">
        <f t="shared" ref="P36:P39" si="10">ROUND(+O36*1,-3)</f>
        <v>560000</v>
      </c>
    </row>
    <row r="37" spans="1:16" x14ac:dyDescent="0.2">
      <c r="A37" s="192">
        <f t="shared" si="1"/>
        <v>2059</v>
      </c>
      <c r="B37" s="193">
        <v>0</v>
      </c>
      <c r="C37" s="193"/>
      <c r="D37" s="193">
        <f t="shared" si="8"/>
        <v>0</v>
      </c>
      <c r="E37" s="193"/>
      <c r="F37" s="193">
        <f>+F36-'Annual Depreciation and CCA'!AK$45</f>
        <v>677452.67599399667</v>
      </c>
      <c r="G37" s="198">
        <f>-'Annual Depreciation and CCA'!AK65</f>
        <v>-2897.7046703224419</v>
      </c>
      <c r="H37" s="216">
        <f t="shared" si="7"/>
        <v>675000</v>
      </c>
      <c r="I37" s="216"/>
      <c r="J37" s="197">
        <f>+H37/('Rate Base &amp; Cost Capital'!E$28)</f>
        <v>1.1308380570142211E-3</v>
      </c>
      <c r="K37" s="195">
        <f>ROUND((+H37+H36)/2*'Rate Base &amp; Cost Capital'!E$26,0)</f>
        <v>58875</v>
      </c>
      <c r="L37" s="195"/>
      <c r="M37" s="195">
        <f>ROUND('Annual Depreciation and CCA'!AK45,0)</f>
        <v>456483</v>
      </c>
      <c r="N37" s="195">
        <f t="shared" si="2"/>
        <v>15032</v>
      </c>
      <c r="O37" s="196">
        <f t="shared" si="9"/>
        <v>530000</v>
      </c>
      <c r="P37" s="193">
        <f t="shared" si="10"/>
        <v>530000</v>
      </c>
    </row>
    <row r="38" spans="1:16" x14ac:dyDescent="0.2">
      <c r="A38" s="192">
        <f t="shared" si="1"/>
        <v>2060</v>
      </c>
      <c r="B38" s="193">
        <v>0</v>
      </c>
      <c r="C38" s="193"/>
      <c r="D38" s="193">
        <f t="shared" si="8"/>
        <v>0</v>
      </c>
      <c r="E38" s="193"/>
      <c r="F38" s="193">
        <f>+F37-'Annual Depreciation and CCA'!AL$45</f>
        <v>220969.26027093717</v>
      </c>
      <c r="G38" s="198">
        <f>-'Annual Depreciation and CCA'!AL65</f>
        <v>118020.27219636536</v>
      </c>
      <c r="H38" s="216">
        <f t="shared" si="7"/>
        <v>339000</v>
      </c>
      <c r="I38" s="216"/>
      <c r="J38" s="197">
        <f>+H38/('Rate Base &amp; Cost Capital'!E$28)</f>
        <v>5.6793200196714221E-4</v>
      </c>
      <c r="K38" s="195">
        <f>ROUND((+H38+H37)/2*'Rate Base &amp; Cost Capital'!E$26,0)</f>
        <v>35388</v>
      </c>
      <c r="L38" s="195"/>
      <c r="M38" s="195">
        <f>ROUND('Annual Depreciation and CCA'!AL45,0)</f>
        <v>456483</v>
      </c>
      <c r="N38" s="195">
        <f t="shared" si="2"/>
        <v>9035</v>
      </c>
      <c r="O38" s="196">
        <f t="shared" si="9"/>
        <v>501000</v>
      </c>
      <c r="P38" s="193">
        <f t="shared" si="10"/>
        <v>501000</v>
      </c>
    </row>
    <row r="39" spans="1:16" x14ac:dyDescent="0.2">
      <c r="A39" s="192">
        <f t="shared" si="1"/>
        <v>2061</v>
      </c>
      <c r="B39" s="193">
        <v>0</v>
      </c>
      <c r="C39" s="193"/>
      <c r="D39" s="193">
        <f t="shared" si="8"/>
        <v>0</v>
      </c>
      <c r="E39" s="193"/>
      <c r="F39" s="193">
        <f>+F38-'Annual Depreciation and CCA'!AM$45</f>
        <v>0.26027093717129901</v>
      </c>
      <c r="G39" s="198">
        <f>-'Annual Depreciation and CCA'!AM65</f>
        <v>169566.08817415373</v>
      </c>
      <c r="H39" s="216">
        <f t="shared" si="7"/>
        <v>170000</v>
      </c>
      <c r="I39" s="216"/>
      <c r="J39" s="197">
        <f>+H39/('Rate Base &amp; Cost Capital'!E$28)</f>
        <v>2.8480365880358165E-4</v>
      </c>
      <c r="K39" s="195">
        <f>ROUND((+H39+H38)/2*'Rate Base &amp; Cost Capital'!E$26,0)</f>
        <v>17764</v>
      </c>
      <c r="L39" s="195"/>
      <c r="M39" s="195">
        <f>ROUND('Annual Depreciation and CCA'!AM45,0)</f>
        <v>220969</v>
      </c>
      <c r="N39" s="195">
        <f t="shared" si="2"/>
        <v>4535</v>
      </c>
      <c r="O39" s="196">
        <f t="shared" si="9"/>
        <v>243000</v>
      </c>
      <c r="P39" s="193">
        <f t="shared" si="10"/>
        <v>243000</v>
      </c>
    </row>
    <row r="40" spans="1:16" x14ac:dyDescent="0.2">
      <c r="A40" s="192">
        <f t="shared" si="1"/>
        <v>2062</v>
      </c>
      <c r="B40" s="193"/>
      <c r="C40" s="193"/>
      <c r="D40" s="193"/>
      <c r="E40" s="293"/>
      <c r="F40" s="193"/>
      <c r="G40" s="198"/>
      <c r="H40" s="216"/>
      <c r="I40" s="216"/>
      <c r="J40" s="197"/>
      <c r="K40" s="195"/>
      <c r="L40" s="195"/>
      <c r="M40" s="195"/>
      <c r="N40" s="195"/>
      <c r="O40" s="196"/>
      <c r="P40" s="193"/>
    </row>
    <row r="41" spans="1:16" x14ac:dyDescent="0.2">
      <c r="A41" s="192">
        <f t="shared" si="1"/>
        <v>2063</v>
      </c>
      <c r="B41" s="193"/>
      <c r="C41" s="193"/>
      <c r="D41" s="193"/>
      <c r="E41" s="293"/>
      <c r="F41" s="193"/>
      <c r="G41" s="198"/>
      <c r="H41" s="216"/>
      <c r="I41" s="216"/>
      <c r="J41" s="197"/>
      <c r="K41" s="195"/>
      <c r="L41" s="195"/>
      <c r="M41" s="195"/>
      <c r="N41" s="195"/>
      <c r="O41" s="196"/>
      <c r="P41" s="193"/>
    </row>
    <row r="42" spans="1:16" x14ac:dyDescent="0.2">
      <c r="A42" s="192">
        <f t="shared" si="1"/>
        <v>2064</v>
      </c>
      <c r="B42" s="193">
        <v>0</v>
      </c>
      <c r="C42" s="193"/>
      <c r="D42" s="293"/>
      <c r="E42" s="293"/>
      <c r="F42" s="193">
        <f>+F41-'Annual Depreciation and CCA'!AP$45</f>
        <v>0</v>
      </c>
      <c r="G42" s="193"/>
      <c r="H42" s="216"/>
      <c r="I42" s="301"/>
      <c r="J42" s="294"/>
      <c r="K42" s="295"/>
      <c r="L42" s="295"/>
      <c r="M42" s="195">
        <f>ROUND('Annual Depreciation and CCA'!AP45,0)</f>
        <v>0</v>
      </c>
      <c r="N42" s="295"/>
      <c r="O42" s="296"/>
      <c r="P42" s="293"/>
    </row>
    <row r="43" spans="1:16" x14ac:dyDescent="0.2">
      <c r="A43" s="217" t="s">
        <v>164</v>
      </c>
      <c r="B43" s="305">
        <f>SUM(B3:B35)</f>
        <v>13280237.424000001</v>
      </c>
      <c r="C43" s="305">
        <f>SUM(C3:C35)</f>
        <v>-1153022.2704219879</v>
      </c>
      <c r="D43" s="306">
        <f>SUM(D3:D36)</f>
        <v>4070673.6570000006</v>
      </c>
      <c r="E43" s="305">
        <f>SUM(E3:E35)</f>
        <v>20232177</v>
      </c>
      <c r="F43" s="221"/>
      <c r="G43" s="218"/>
      <c r="H43" s="219"/>
      <c r="I43" s="219"/>
      <c r="J43" s="220"/>
      <c r="K43" s="250">
        <f>SUM(K3:K36)</f>
        <v>16635707</v>
      </c>
      <c r="L43" s="250">
        <f>SUM(L3:L36)</f>
        <v>3885290.6149176219</v>
      </c>
      <c r="M43" s="307">
        <f>SUM(M3:M39)</f>
        <v>36430052</v>
      </c>
      <c r="N43" s="250">
        <f>SUM(N3:N36)</f>
        <v>4247316</v>
      </c>
      <c r="O43" s="250">
        <f>SUM(O3:O36)</f>
        <v>59809000</v>
      </c>
      <c r="P43" s="250">
        <f>SUM(P3:P36)</f>
        <v>59809000</v>
      </c>
    </row>
    <row r="44" spans="1:16" x14ac:dyDescent="0.2">
      <c r="A44" s="199"/>
      <c r="B44" s="200"/>
      <c r="C44" s="200"/>
      <c r="D44" s="200"/>
      <c r="E44" s="200"/>
      <c r="F44" s="200"/>
      <c r="G44" s="201"/>
      <c r="H44" s="202"/>
      <c r="I44" s="202"/>
      <c r="J44" s="203"/>
      <c r="K44" s="204"/>
      <c r="L44" s="204"/>
      <c r="M44" s="204"/>
      <c r="N44" s="204"/>
      <c r="O44" s="205"/>
      <c r="P44" s="200"/>
    </row>
    <row r="45" spans="1:16" x14ac:dyDescent="0.2">
      <c r="A45" s="199"/>
      <c r="B45" s="200"/>
      <c r="C45" s="200"/>
      <c r="D45" s="200"/>
      <c r="E45" s="200"/>
      <c r="F45" s="200"/>
      <c r="G45" s="319" t="s">
        <v>160</v>
      </c>
      <c r="H45" s="320"/>
      <c r="I45" s="320"/>
      <c r="J45" s="320"/>
      <c r="K45" s="321"/>
      <c r="L45" s="302"/>
      <c r="M45" s="204"/>
      <c r="N45" s="205"/>
      <c r="O45" s="200"/>
      <c r="P45" s="200"/>
    </row>
    <row r="46" spans="1:16" ht="51" x14ac:dyDescent="0.2">
      <c r="A46" s="206"/>
      <c r="B46" s="200"/>
      <c r="C46" s="200"/>
      <c r="D46" s="200"/>
      <c r="E46" s="200"/>
      <c r="F46" s="200"/>
      <c r="G46" s="207" t="s">
        <v>161</v>
      </c>
      <c r="H46" s="208" t="s">
        <v>156</v>
      </c>
      <c r="I46" s="208"/>
      <c r="J46" s="208" t="s">
        <v>158</v>
      </c>
      <c r="K46" s="209" t="s">
        <v>157</v>
      </c>
      <c r="L46" s="208"/>
      <c r="M46" s="206"/>
      <c r="N46" s="206"/>
      <c r="O46" s="206"/>
      <c r="P46" s="206"/>
    </row>
    <row r="47" spans="1:16" x14ac:dyDescent="0.2">
      <c r="A47" s="256" t="s">
        <v>233</v>
      </c>
      <c r="B47" s="200"/>
      <c r="C47" s="257">
        <f>+K43-C48+L43</f>
        <v>10543850.652806703</v>
      </c>
      <c r="D47" s="206"/>
      <c r="E47" s="206"/>
      <c r="F47" s="206"/>
      <c r="G47" s="210">
        <f t="shared" ref="G47:G82" si="11">A4</f>
        <v>2026</v>
      </c>
      <c r="H47" s="211">
        <f>(H4)*'Rate Base &amp; Cost Capital'!G$25</f>
        <v>591308.66641181684</v>
      </c>
      <c r="I47" s="211"/>
      <c r="J47" s="211">
        <f t="shared" ref="J47:J82" si="12">H47/(1-30%)</f>
        <v>844726.66630259552</v>
      </c>
      <c r="K47" s="212">
        <f t="shared" ref="K47:K79" si="13">SUM(J47:J47)</f>
        <v>844726.66630259552</v>
      </c>
      <c r="L47" s="208"/>
      <c r="M47" s="206"/>
      <c r="N47" s="206"/>
      <c r="O47" s="206"/>
      <c r="P47" s="206"/>
    </row>
    <row r="48" spans="1:16" ht="15" x14ac:dyDescent="0.35">
      <c r="A48" s="256" t="s">
        <v>234</v>
      </c>
      <c r="B48" s="200"/>
      <c r="C48" s="258">
        <f>SUM(H47:H83)</f>
        <v>9977146.9621109199</v>
      </c>
      <c r="D48" s="206"/>
      <c r="E48" s="206"/>
      <c r="F48" s="206"/>
      <c r="G48" s="210">
        <f t="shared" si="11"/>
        <v>2027</v>
      </c>
      <c r="H48" s="211">
        <f>(H4+H5)/2*'Rate Base &amp; Cost Capital'!G$25</f>
        <v>578772.67771796673</v>
      </c>
      <c r="I48" s="211"/>
      <c r="J48" s="211">
        <f t="shared" si="12"/>
        <v>826818.11102566682</v>
      </c>
      <c r="K48" s="212">
        <f t="shared" si="13"/>
        <v>826818.11102566682</v>
      </c>
      <c r="L48" s="208"/>
      <c r="M48" s="206"/>
      <c r="N48" s="206"/>
      <c r="O48" s="206"/>
      <c r="P48" s="206"/>
    </row>
    <row r="49" spans="1:16" ht="15" x14ac:dyDescent="0.35">
      <c r="A49" s="256" t="s">
        <v>235</v>
      </c>
      <c r="B49" s="200"/>
      <c r="C49" s="259">
        <f>SUM(C47:C48)</f>
        <v>20520997.614917621</v>
      </c>
      <c r="D49" s="206"/>
      <c r="E49" s="206"/>
      <c r="F49" s="206"/>
      <c r="G49" s="210">
        <f t="shared" si="11"/>
        <v>2028</v>
      </c>
      <c r="H49" s="211">
        <f>(H5+H6)/2*'Rate Base &amp; Cost Capital'!G$25</f>
        <v>554157.8027519047</v>
      </c>
      <c r="I49" s="211"/>
      <c r="J49" s="211">
        <f t="shared" si="12"/>
        <v>791654.00393129245</v>
      </c>
      <c r="K49" s="212">
        <f t="shared" si="13"/>
        <v>791654.00393129245</v>
      </c>
      <c r="L49" s="208"/>
      <c r="M49" s="206"/>
      <c r="N49" s="206"/>
      <c r="O49" s="206"/>
      <c r="P49" s="206"/>
    </row>
    <row r="50" spans="1:16" x14ac:dyDescent="0.2">
      <c r="A50" s="206"/>
      <c r="B50" s="206"/>
      <c r="C50" s="206"/>
      <c r="D50" s="206"/>
      <c r="E50" s="206"/>
      <c r="F50" s="206"/>
      <c r="G50" s="210">
        <f t="shared" si="11"/>
        <v>2029</v>
      </c>
      <c r="H50" s="211">
        <f>(H6+H7)/2*'Rate Base &amp; Cost Capital'!G$25</f>
        <v>531018.77025388717</v>
      </c>
      <c r="I50" s="211"/>
      <c r="J50" s="211">
        <f t="shared" si="12"/>
        <v>758598.24321983883</v>
      </c>
      <c r="K50" s="212">
        <f t="shared" si="13"/>
        <v>758598.24321983883</v>
      </c>
      <c r="L50" s="208"/>
      <c r="M50" s="206"/>
      <c r="N50" s="206"/>
      <c r="O50" s="206"/>
      <c r="P50" s="206"/>
    </row>
    <row r="51" spans="1:16" x14ac:dyDescent="0.2">
      <c r="A51" s="206"/>
      <c r="B51" s="206"/>
      <c r="C51" s="206"/>
      <c r="D51" s="206"/>
      <c r="E51" s="206"/>
      <c r="F51" s="206"/>
      <c r="G51" s="210">
        <f t="shared" si="11"/>
        <v>2030</v>
      </c>
      <c r="H51" s="211">
        <f>(H7+H8)/2*'Rate Base &amp; Cost Capital'!G$25</f>
        <v>509251.91822653892</v>
      </c>
      <c r="I51" s="211"/>
      <c r="J51" s="211">
        <f t="shared" si="12"/>
        <v>727502.74032362713</v>
      </c>
      <c r="K51" s="212">
        <f t="shared" si="13"/>
        <v>727502.74032362713</v>
      </c>
      <c r="L51" s="208"/>
      <c r="M51" s="206"/>
      <c r="N51" s="206"/>
      <c r="O51" s="206"/>
      <c r="P51" s="206"/>
    </row>
    <row r="52" spans="1:16" x14ac:dyDescent="0.2">
      <c r="A52" s="206"/>
      <c r="B52" s="206"/>
      <c r="C52" s="206"/>
      <c r="D52" s="206"/>
      <c r="E52" s="206"/>
      <c r="F52" s="206"/>
      <c r="G52" s="210">
        <f t="shared" si="11"/>
        <v>2031</v>
      </c>
      <c r="H52" s="211">
        <f>(H8+H9)/2*'Rate Base &amp; Cost Capital'!G$25</f>
        <v>488150.36582133343</v>
      </c>
      <c r="I52" s="211"/>
      <c r="J52" s="211">
        <f t="shared" si="12"/>
        <v>697357.66545904777</v>
      </c>
      <c r="K52" s="212">
        <f t="shared" si="13"/>
        <v>697357.66545904777</v>
      </c>
      <c r="L52" s="208"/>
      <c r="M52" s="206"/>
      <c r="N52" s="206"/>
      <c r="O52" s="206"/>
      <c r="P52" s="206"/>
    </row>
    <row r="53" spans="1:16" x14ac:dyDescent="0.2">
      <c r="A53" s="206"/>
      <c r="B53" s="206"/>
      <c r="C53" s="206"/>
      <c r="D53" s="206"/>
      <c r="E53" s="206"/>
      <c r="F53" s="206"/>
      <c r="G53" s="210">
        <f t="shared" si="11"/>
        <v>2032</v>
      </c>
      <c r="H53" s="211">
        <f>(H9+H10)/2*'Rate Base &amp; Cost Capital'!G$25</f>
        <v>467672.53181188676</v>
      </c>
      <c r="I53" s="211"/>
      <c r="J53" s="211">
        <f t="shared" si="12"/>
        <v>668103.61687412404</v>
      </c>
      <c r="K53" s="212">
        <f t="shared" si="13"/>
        <v>668103.61687412404</v>
      </c>
      <c r="L53" s="208"/>
      <c r="M53" s="206"/>
      <c r="N53" s="206"/>
      <c r="O53" s="206"/>
      <c r="P53" s="206"/>
    </row>
    <row r="54" spans="1:16" x14ac:dyDescent="0.2">
      <c r="A54" s="206"/>
      <c r="B54" s="206"/>
      <c r="C54" s="206"/>
      <c r="D54" s="206"/>
      <c r="E54" s="206"/>
      <c r="F54" s="206"/>
      <c r="G54" s="210">
        <f t="shared" si="11"/>
        <v>2033</v>
      </c>
      <c r="H54" s="211">
        <f>(H10+H11)/2*'Rate Base &amp; Cost Capital'!G$25</f>
        <v>447776.83497181494</v>
      </c>
      <c r="I54" s="211"/>
      <c r="J54" s="211">
        <f t="shared" si="12"/>
        <v>639681.19281687855</v>
      </c>
      <c r="K54" s="212">
        <f t="shared" si="13"/>
        <v>639681.19281687855</v>
      </c>
      <c r="L54" s="208"/>
      <c r="M54" s="206"/>
      <c r="N54" s="206"/>
      <c r="O54" s="206"/>
      <c r="P54" s="206"/>
    </row>
    <row r="55" spans="1:16" x14ac:dyDescent="0.2">
      <c r="A55" s="206"/>
      <c r="B55" s="206"/>
      <c r="C55" s="206"/>
      <c r="D55" s="206"/>
      <c r="E55" s="206"/>
      <c r="F55" s="206"/>
      <c r="G55" s="210">
        <f t="shared" si="11"/>
        <v>2034</v>
      </c>
      <c r="H55" s="211">
        <f>(H11+H12)/2*'Rate Base &amp; Cost Capital'!G$25</f>
        <v>428426.70006456668</v>
      </c>
      <c r="I55" s="211"/>
      <c r="J55" s="211">
        <f t="shared" si="12"/>
        <v>612038.14294938103</v>
      </c>
      <c r="K55" s="212">
        <f t="shared" si="13"/>
        <v>612038.14294938103</v>
      </c>
      <c r="L55" s="208"/>
      <c r="M55" s="206"/>
      <c r="N55" s="206"/>
      <c r="O55" s="206"/>
      <c r="P55" s="206"/>
    </row>
    <row r="56" spans="1:16" x14ac:dyDescent="0.2">
      <c r="A56" s="206"/>
      <c r="B56" s="206"/>
      <c r="C56" s="206"/>
      <c r="D56" s="206"/>
      <c r="E56" s="206"/>
      <c r="F56" s="206"/>
      <c r="G56" s="210">
        <f t="shared" si="11"/>
        <v>2035</v>
      </c>
      <c r="H56" s="211">
        <f>(H12+H13)/2*'Rate Base &amp; Cost Capital'!G$25</f>
        <v>409554.2892684167</v>
      </c>
      <c r="I56" s="211"/>
      <c r="J56" s="211">
        <f t="shared" si="12"/>
        <v>585077.55609773821</v>
      </c>
      <c r="K56" s="212">
        <f t="shared" si="13"/>
        <v>585077.55609773821</v>
      </c>
      <c r="L56" s="208"/>
      <c r="M56" s="206"/>
      <c r="N56" s="206"/>
      <c r="O56" s="206"/>
      <c r="P56" s="206"/>
    </row>
    <row r="57" spans="1:16" x14ac:dyDescent="0.2">
      <c r="A57" s="206"/>
      <c r="B57" s="206"/>
      <c r="C57" s="206"/>
      <c r="D57" s="206"/>
      <c r="E57" s="206"/>
      <c r="F57" s="206"/>
      <c r="G57" s="210">
        <f t="shared" si="11"/>
        <v>2036</v>
      </c>
      <c r="H57" s="211">
        <f>(H13+H14)/2*'Rate Base &amp; Cost Capital'!G$25</f>
        <v>391113.01536714833</v>
      </c>
      <c r="I57" s="211"/>
      <c r="J57" s="211">
        <f t="shared" si="12"/>
        <v>558732.87909592618</v>
      </c>
      <c r="K57" s="212">
        <f t="shared" si="13"/>
        <v>558732.87909592618</v>
      </c>
      <c r="L57" s="208"/>
      <c r="M57" s="206"/>
      <c r="N57" s="206"/>
      <c r="O57" s="206"/>
      <c r="P57" s="206"/>
    </row>
    <row r="58" spans="1:16" x14ac:dyDescent="0.2">
      <c r="A58" s="206"/>
      <c r="B58" s="206"/>
      <c r="C58" s="206"/>
      <c r="D58" s="206"/>
      <c r="E58" s="206"/>
      <c r="F58" s="206"/>
      <c r="G58" s="210">
        <f t="shared" si="11"/>
        <v>2037</v>
      </c>
      <c r="H58" s="211">
        <f>(H14+H15)/2*'Rate Base &amp; Cost Capital'!G$25</f>
        <v>373087.55372971913</v>
      </c>
      <c r="I58" s="211"/>
      <c r="J58" s="211">
        <f t="shared" si="12"/>
        <v>532982.21961388446</v>
      </c>
      <c r="K58" s="212">
        <f t="shared" si="13"/>
        <v>532982.21961388446</v>
      </c>
      <c r="L58" s="208"/>
      <c r="M58" s="206"/>
      <c r="N58" s="206"/>
      <c r="O58" s="206"/>
      <c r="P58" s="206"/>
    </row>
    <row r="59" spans="1:16" x14ac:dyDescent="0.2">
      <c r="A59" s="206"/>
      <c r="B59" s="206"/>
      <c r="C59" s="206"/>
      <c r="D59" s="206"/>
      <c r="E59" s="206"/>
      <c r="F59" s="206"/>
      <c r="G59" s="210">
        <f t="shared" si="11"/>
        <v>2038</v>
      </c>
      <c r="H59" s="211">
        <f>(H15+H16)/2*'Rate Base &amp; Cost Capital'!G$25</f>
        <v>355457.11374293722</v>
      </c>
      <c r="I59" s="211"/>
      <c r="J59" s="211">
        <f t="shared" si="12"/>
        <v>507795.87677562464</v>
      </c>
      <c r="K59" s="212">
        <f t="shared" si="13"/>
        <v>507795.87677562464</v>
      </c>
      <c r="L59" s="208"/>
      <c r="M59" s="206"/>
      <c r="N59" s="206"/>
      <c r="O59" s="206"/>
      <c r="P59" s="206"/>
    </row>
    <row r="60" spans="1:16" x14ac:dyDescent="0.2">
      <c r="A60" s="206"/>
      <c r="B60" s="206"/>
      <c r="C60" s="206"/>
      <c r="D60" s="206"/>
      <c r="E60" s="206"/>
      <c r="F60" s="206"/>
      <c r="G60" s="210">
        <f t="shared" si="11"/>
        <v>2039</v>
      </c>
      <c r="H60" s="211">
        <f>(H16+H17)/2*'Rate Base &amp; Cost Capital'!G$25</f>
        <v>338180.1141804186</v>
      </c>
      <c r="I60" s="211"/>
      <c r="J60" s="211">
        <f t="shared" si="12"/>
        <v>483114.44882916944</v>
      </c>
      <c r="K60" s="212">
        <f t="shared" si="13"/>
        <v>483114.44882916944</v>
      </c>
      <c r="L60" s="208"/>
      <c r="M60" s="206"/>
      <c r="N60" s="206"/>
      <c r="O60" s="206"/>
      <c r="P60" s="206"/>
    </row>
    <row r="61" spans="1:16" x14ac:dyDescent="0.2">
      <c r="A61" s="206"/>
      <c r="B61" s="206"/>
      <c r="C61" s="206"/>
      <c r="D61" s="206"/>
      <c r="E61" s="206"/>
      <c r="F61" s="206"/>
      <c r="G61" s="210">
        <f t="shared" si="11"/>
        <v>2040</v>
      </c>
      <c r="H61" s="211">
        <f>(H17+H18)/2*'Rate Base &amp; Cost Capital'!G$25</f>
        <v>321194.18320258742</v>
      </c>
      <c r="I61" s="211"/>
      <c r="J61" s="211">
        <f t="shared" si="12"/>
        <v>458848.83314655349</v>
      </c>
      <c r="K61" s="212">
        <f t="shared" si="13"/>
        <v>458848.83314655349</v>
      </c>
      <c r="L61" s="208"/>
      <c r="M61" s="206"/>
      <c r="N61" s="206"/>
      <c r="O61" s="206"/>
      <c r="P61" s="206"/>
    </row>
    <row r="62" spans="1:16" x14ac:dyDescent="0.2">
      <c r="A62" s="206"/>
      <c r="B62" s="206"/>
      <c r="C62" s="206"/>
      <c r="D62" s="206"/>
      <c r="E62" s="206"/>
      <c r="F62" s="206"/>
      <c r="G62" s="210">
        <f t="shared" si="11"/>
        <v>2041</v>
      </c>
      <c r="H62" s="211">
        <f>(H18+H19)/2*'Rate Base &amp; Cost Capital'!G$25</f>
        <v>304520.11142263561</v>
      </c>
      <c r="I62" s="211"/>
      <c r="J62" s="211">
        <f t="shared" si="12"/>
        <v>435028.73060376517</v>
      </c>
      <c r="K62" s="212">
        <f t="shared" si="13"/>
        <v>435028.73060376517</v>
      </c>
      <c r="L62" s="208"/>
      <c r="M62" s="206"/>
      <c r="N62" s="206"/>
      <c r="O62" s="206"/>
      <c r="P62" s="206"/>
    </row>
    <row r="63" spans="1:16" x14ac:dyDescent="0.2">
      <c r="A63" s="206"/>
      <c r="B63" s="206"/>
      <c r="C63" s="206"/>
      <c r="D63" s="206"/>
      <c r="E63" s="206"/>
      <c r="F63" s="206"/>
      <c r="G63" s="210">
        <f t="shared" si="11"/>
        <v>2042</v>
      </c>
      <c r="H63" s="211">
        <f>(H19+H20)/2*'Rate Base &amp; Cost Capital'!G$25</f>
        <v>288116.31761417934</v>
      </c>
      <c r="I63" s="211"/>
      <c r="J63" s="211">
        <f t="shared" si="12"/>
        <v>411594.73944882763</v>
      </c>
      <c r="K63" s="212">
        <f t="shared" si="13"/>
        <v>411594.73944882763</v>
      </c>
      <c r="L63" s="208"/>
      <c r="M63" s="206"/>
      <c r="N63" s="206"/>
      <c r="O63" s="206"/>
      <c r="P63" s="206"/>
    </row>
    <row r="64" spans="1:16" x14ac:dyDescent="0.2">
      <c r="A64" s="206"/>
      <c r="B64" s="206"/>
      <c r="C64" s="206"/>
      <c r="D64" s="206"/>
      <c r="E64" s="206"/>
      <c r="F64" s="206"/>
      <c r="G64" s="210">
        <f t="shared" si="11"/>
        <v>2043</v>
      </c>
      <c r="H64" s="211">
        <f>(H20+H21)/2*'Rate Base &amp; Cost Capital'!G$25</f>
        <v>271941.22055083455</v>
      </c>
      <c r="I64" s="211"/>
      <c r="J64" s="211">
        <f t="shared" si="12"/>
        <v>388487.45792976365</v>
      </c>
      <c r="K64" s="212">
        <f t="shared" si="13"/>
        <v>388487.45792976365</v>
      </c>
      <c r="L64" s="208"/>
      <c r="M64" s="206"/>
      <c r="N64" s="206"/>
      <c r="O64" s="206"/>
      <c r="P64" s="206"/>
    </row>
    <row r="65" spans="1:16" x14ac:dyDescent="0.2">
      <c r="A65" s="206"/>
      <c r="B65" s="206"/>
      <c r="C65" s="206"/>
      <c r="D65" s="206"/>
      <c r="E65" s="206"/>
      <c r="F65" s="206"/>
      <c r="G65" s="210">
        <f t="shared" si="11"/>
        <v>2044</v>
      </c>
      <c r="H65" s="211">
        <f>(H21+H22)/2*'Rate Base &amp; Cost Capital'!G$25</f>
        <v>256015.61084579333</v>
      </c>
      <c r="I65" s="211"/>
      <c r="J65" s="211">
        <f t="shared" si="12"/>
        <v>365736.58692256192</v>
      </c>
      <c r="K65" s="212">
        <f t="shared" si="13"/>
        <v>365736.58692256192</v>
      </c>
      <c r="L65" s="208"/>
      <c r="M65" s="206"/>
      <c r="N65" s="206"/>
      <c r="O65" s="206"/>
      <c r="P65" s="206"/>
    </row>
    <row r="66" spans="1:16" x14ac:dyDescent="0.2">
      <c r="A66" s="206"/>
      <c r="B66" s="206"/>
      <c r="C66" s="206"/>
      <c r="D66" s="206"/>
      <c r="E66" s="206"/>
      <c r="F66" s="206"/>
      <c r="G66" s="210">
        <f t="shared" si="11"/>
        <v>2045</v>
      </c>
      <c r="H66" s="211">
        <f>(H22+H23)/2*'Rate Base &amp; Cost Capital'!G$25</f>
        <v>240318.69788586366</v>
      </c>
      <c r="I66" s="211"/>
      <c r="J66" s="211">
        <f t="shared" si="12"/>
        <v>343312.42555123381</v>
      </c>
      <c r="K66" s="212">
        <f t="shared" si="13"/>
        <v>343312.42555123381</v>
      </c>
      <c r="L66" s="208"/>
      <c r="M66" s="206"/>
      <c r="N66" s="206"/>
      <c r="O66" s="206"/>
      <c r="P66" s="206"/>
    </row>
    <row r="67" spans="1:16" x14ac:dyDescent="0.2">
      <c r="A67" s="206"/>
      <c r="B67" s="206"/>
      <c r="C67" s="206"/>
      <c r="D67" s="206"/>
      <c r="E67" s="206"/>
      <c r="F67" s="206"/>
      <c r="G67" s="210">
        <f t="shared" si="11"/>
        <v>2046</v>
      </c>
      <c r="H67" s="211">
        <f>(H23+H24)/2*'Rate Base &amp; Cost Capital'!G$25</f>
        <v>224788.10983146969</v>
      </c>
      <c r="I67" s="211"/>
      <c r="J67" s="211">
        <f t="shared" si="12"/>
        <v>321125.87118781387</v>
      </c>
      <c r="K67" s="212">
        <f t="shared" si="13"/>
        <v>321125.87118781387</v>
      </c>
      <c r="L67" s="208"/>
      <c r="M67" s="206"/>
      <c r="N67" s="206"/>
      <c r="O67" s="206"/>
      <c r="P67" s="206"/>
    </row>
    <row r="68" spans="1:16" x14ac:dyDescent="0.2">
      <c r="A68" s="206"/>
      <c r="B68" s="206"/>
      <c r="C68" s="206"/>
      <c r="D68" s="206"/>
      <c r="E68" s="206"/>
      <c r="F68" s="206"/>
      <c r="G68" s="210">
        <f t="shared" si="11"/>
        <v>2047</v>
      </c>
      <c r="H68" s="211">
        <f>(H24+H25)/2*'Rate Base &amp; Cost Capital'!G$25</f>
        <v>209444.63729580332</v>
      </c>
      <c r="I68" s="211"/>
      <c r="J68" s="211">
        <f t="shared" si="12"/>
        <v>299206.62470829044</v>
      </c>
      <c r="K68" s="212">
        <f t="shared" si="13"/>
        <v>299206.62470829044</v>
      </c>
      <c r="L68" s="208"/>
      <c r="M68" s="206"/>
      <c r="N68" s="206"/>
      <c r="O68" s="206"/>
      <c r="P68" s="206"/>
    </row>
    <row r="69" spans="1:16" x14ac:dyDescent="0.2">
      <c r="A69" s="206"/>
      <c r="B69" s="206"/>
      <c r="C69" s="206"/>
      <c r="D69" s="206"/>
      <c r="E69" s="206"/>
      <c r="F69" s="206"/>
      <c r="G69" s="210">
        <f t="shared" si="11"/>
        <v>2048</v>
      </c>
      <c r="H69" s="211">
        <f>(H25+H26)/2*'Rate Base &amp; Cost Capital'!G$25</f>
        <v>194267.48966567265</v>
      </c>
      <c r="I69" s="211"/>
      <c r="J69" s="211">
        <f t="shared" si="12"/>
        <v>277524.98523667525</v>
      </c>
      <c r="K69" s="212">
        <f t="shared" si="13"/>
        <v>277524.98523667525</v>
      </c>
      <c r="L69" s="208"/>
      <c r="M69" s="206"/>
      <c r="N69" s="206"/>
      <c r="O69" s="206"/>
      <c r="P69" s="206"/>
    </row>
    <row r="70" spans="1:16" x14ac:dyDescent="0.2">
      <c r="A70" s="206"/>
      <c r="B70" s="206"/>
      <c r="C70" s="206"/>
      <c r="D70" s="206"/>
      <c r="E70" s="206"/>
      <c r="F70" s="206"/>
      <c r="G70" s="210">
        <f t="shared" si="11"/>
        <v>2049</v>
      </c>
      <c r="H70" s="211">
        <f>(H26+H27)/2*'Rate Base &amp; Cost Capital'!G$25</f>
        <v>179235.87632788569</v>
      </c>
      <c r="I70" s="211"/>
      <c r="J70" s="211">
        <f t="shared" si="12"/>
        <v>256051.25189697958</v>
      </c>
      <c r="K70" s="212">
        <f t="shared" si="13"/>
        <v>256051.25189697958</v>
      </c>
      <c r="L70" s="208"/>
      <c r="M70" s="206"/>
      <c r="N70" s="206"/>
      <c r="O70" s="206"/>
      <c r="P70" s="206"/>
    </row>
    <row r="71" spans="1:16" x14ac:dyDescent="0.2">
      <c r="A71" s="206"/>
      <c r="B71" s="206"/>
      <c r="C71" s="206"/>
      <c r="D71" s="206"/>
      <c r="E71" s="206"/>
      <c r="F71" s="206"/>
      <c r="G71" s="210">
        <f t="shared" si="11"/>
        <v>2050</v>
      </c>
      <c r="H71" s="211">
        <f>(H27+H28)/2*'Rate Base &amp; Cost Capital'!G$25</f>
        <v>164349.79728244245</v>
      </c>
      <c r="I71" s="211"/>
      <c r="J71" s="211">
        <f t="shared" si="12"/>
        <v>234785.42468920353</v>
      </c>
      <c r="K71" s="212">
        <f t="shared" si="13"/>
        <v>234785.42468920353</v>
      </c>
      <c r="L71" s="208"/>
      <c r="M71" s="206"/>
      <c r="N71" s="206"/>
      <c r="O71" s="206"/>
      <c r="P71" s="206"/>
    </row>
    <row r="72" spans="1:16" x14ac:dyDescent="0.2">
      <c r="A72" s="206"/>
      <c r="B72" s="206"/>
      <c r="C72" s="206"/>
      <c r="D72" s="206"/>
      <c r="E72" s="206"/>
      <c r="F72" s="206"/>
      <c r="G72" s="210">
        <f t="shared" si="11"/>
        <v>2051</v>
      </c>
      <c r="H72" s="211">
        <f>(H28+H29)/2*'Rate Base &amp; Cost Capital'!G$25</f>
        <v>149588.46191615096</v>
      </c>
      <c r="I72" s="211"/>
      <c r="J72" s="211">
        <f t="shared" si="12"/>
        <v>213697.80273735852</v>
      </c>
      <c r="K72" s="212">
        <f t="shared" si="13"/>
        <v>213697.80273735852</v>
      </c>
      <c r="L72" s="208"/>
      <c r="M72" s="206"/>
      <c r="N72" s="206"/>
      <c r="O72" s="206"/>
      <c r="P72" s="206"/>
    </row>
    <row r="73" spans="1:16" x14ac:dyDescent="0.2">
      <c r="A73" s="206"/>
      <c r="B73" s="206"/>
      <c r="C73" s="206"/>
      <c r="D73" s="206"/>
      <c r="E73" s="206"/>
      <c r="F73" s="206"/>
      <c r="G73" s="210">
        <f t="shared" si="11"/>
        <v>2052</v>
      </c>
      <c r="H73" s="211">
        <f>(H29+H30)/2*'Rate Base &amp; Cost Capital'!G$25</f>
        <v>134951.87022901126</v>
      </c>
      <c r="I73" s="211"/>
      <c r="J73" s="211">
        <f t="shared" si="12"/>
        <v>192788.38604144467</v>
      </c>
      <c r="K73" s="212">
        <f t="shared" si="13"/>
        <v>192788.38604144467</v>
      </c>
      <c r="L73" s="208"/>
      <c r="M73" s="206"/>
      <c r="N73" s="206"/>
      <c r="O73" s="206"/>
      <c r="P73" s="206"/>
    </row>
    <row r="74" spans="1:16" x14ac:dyDescent="0.2">
      <c r="A74" s="206"/>
      <c r="B74" s="206"/>
      <c r="C74" s="206"/>
      <c r="D74" s="206"/>
      <c r="E74" s="206"/>
      <c r="F74" s="206"/>
      <c r="G74" s="210">
        <f t="shared" si="11"/>
        <v>2053</v>
      </c>
      <c r="H74" s="211">
        <f>(H30+H31)/2*'Rate Base &amp; Cost Capital'!G$25</f>
        <v>120419.23160783133</v>
      </c>
      <c r="I74" s="211"/>
      <c r="J74" s="211">
        <f t="shared" si="12"/>
        <v>172027.47372547333</v>
      </c>
      <c r="K74" s="212">
        <f t="shared" si="13"/>
        <v>172027.47372547333</v>
      </c>
      <c r="L74" s="208"/>
      <c r="M74" s="206"/>
      <c r="N74" s="206"/>
      <c r="O74" s="206"/>
      <c r="P74" s="206"/>
    </row>
    <row r="75" spans="1:16" x14ac:dyDescent="0.2">
      <c r="A75" s="206"/>
      <c r="B75" s="206"/>
      <c r="C75" s="206"/>
      <c r="D75" s="206"/>
      <c r="E75" s="206"/>
      <c r="F75" s="206"/>
      <c r="G75" s="210">
        <f t="shared" si="11"/>
        <v>2054</v>
      </c>
      <c r="H75" s="211">
        <f>(H31+H32)/2*'Rate Base &amp; Cost Capital'!G$25</f>
        <v>105990.54605261121</v>
      </c>
      <c r="I75" s="211"/>
      <c r="J75" s="211">
        <f t="shared" si="12"/>
        <v>151415.0657894446</v>
      </c>
      <c r="K75" s="212">
        <f t="shared" si="13"/>
        <v>151415.0657894446</v>
      </c>
      <c r="L75" s="208"/>
      <c r="M75" s="206"/>
      <c r="N75" s="206"/>
      <c r="O75" s="206"/>
      <c r="P75" s="206"/>
    </row>
    <row r="76" spans="1:16" x14ac:dyDescent="0.2">
      <c r="A76" s="206"/>
      <c r="B76" s="206"/>
      <c r="C76" s="206"/>
      <c r="D76" s="206"/>
      <c r="E76" s="206"/>
      <c r="F76" s="206"/>
      <c r="G76" s="210">
        <f t="shared" si="11"/>
        <v>2055</v>
      </c>
      <c r="H76" s="211">
        <f>(H32+H33)/2*'Rate Base &amp; Cost Capital'!G$25</f>
        <v>91645.022950158935</v>
      </c>
      <c r="I76" s="211"/>
      <c r="J76" s="211">
        <f t="shared" si="12"/>
        <v>130921.46135736992</v>
      </c>
      <c r="K76" s="212">
        <f t="shared" si="13"/>
        <v>130921.46135736992</v>
      </c>
      <c r="L76" s="208"/>
      <c r="M76" s="206"/>
      <c r="N76" s="206"/>
      <c r="O76" s="206"/>
      <c r="P76" s="206"/>
    </row>
    <row r="77" spans="1:16" x14ac:dyDescent="0.2">
      <c r="A77" s="206"/>
      <c r="B77" s="206"/>
      <c r="C77" s="206"/>
      <c r="D77" s="206"/>
      <c r="E77" s="206"/>
      <c r="F77" s="206"/>
      <c r="G77" s="210">
        <f t="shared" si="11"/>
        <v>2056</v>
      </c>
      <c r="H77" s="211">
        <f>(H33+H34)/2*'Rate Base &amp; Cost Capital'!G$25</f>
        <v>77382.662300474491</v>
      </c>
      <c r="I77" s="211"/>
      <c r="J77" s="211">
        <f t="shared" si="12"/>
        <v>110546.66042924928</v>
      </c>
      <c r="K77" s="212">
        <f t="shared" si="13"/>
        <v>110546.66042924928</v>
      </c>
      <c r="L77" s="208"/>
      <c r="M77" s="206"/>
      <c r="N77" s="206"/>
      <c r="O77" s="206"/>
      <c r="P77" s="206"/>
    </row>
    <row r="78" spans="1:16" x14ac:dyDescent="0.2">
      <c r="A78" s="206"/>
      <c r="B78" s="206"/>
      <c r="C78" s="206"/>
      <c r="D78" s="206"/>
      <c r="E78" s="206"/>
      <c r="F78" s="206"/>
      <c r="G78" s="210">
        <f t="shared" si="11"/>
        <v>2057</v>
      </c>
      <c r="H78" s="211">
        <f>(H34+H35)/2*'Rate Base &amp; Cost Capital'!G$25</f>
        <v>63203.464103557882</v>
      </c>
      <c r="I78" s="211"/>
      <c r="J78" s="211">
        <f t="shared" si="12"/>
        <v>90290.663005082693</v>
      </c>
      <c r="K78" s="212">
        <f t="shared" si="13"/>
        <v>90290.663005082693</v>
      </c>
      <c r="L78" s="208"/>
      <c r="M78" s="206"/>
      <c r="N78" s="206"/>
      <c r="O78" s="206"/>
      <c r="P78" s="206"/>
    </row>
    <row r="79" spans="1:16" x14ac:dyDescent="0.2">
      <c r="A79" s="206"/>
      <c r="B79" s="206"/>
      <c r="C79" s="206"/>
      <c r="D79" s="206"/>
      <c r="E79" s="206"/>
      <c r="F79" s="206"/>
      <c r="G79" s="210">
        <f t="shared" si="11"/>
        <v>2058</v>
      </c>
      <c r="H79" s="211">
        <f>(H35+H36)/2*'Rate Base &amp; Cost Capital'!G$25</f>
        <v>49107.428359409118</v>
      </c>
      <c r="I79" s="211"/>
      <c r="J79" s="211">
        <f t="shared" si="12"/>
        <v>70153.469084870172</v>
      </c>
      <c r="K79" s="212">
        <f t="shared" si="13"/>
        <v>70153.469084870172</v>
      </c>
      <c r="L79" s="208"/>
      <c r="M79" s="206"/>
      <c r="N79" s="206"/>
      <c r="O79" s="206"/>
      <c r="P79" s="206"/>
    </row>
    <row r="80" spans="1:16" x14ac:dyDescent="0.2">
      <c r="A80" s="206"/>
      <c r="B80" s="206"/>
      <c r="C80" s="206"/>
      <c r="D80" s="206"/>
      <c r="E80" s="206"/>
      <c r="F80" s="206"/>
      <c r="G80" s="210">
        <f t="shared" si="11"/>
        <v>2059</v>
      </c>
      <c r="H80" s="211">
        <f>(H36+H37)/2*'Rate Base &amp; Cost Capital'!G$25</f>
        <v>35073.76445483623</v>
      </c>
      <c r="I80" s="211"/>
      <c r="J80" s="211">
        <f t="shared" si="12"/>
        <v>50105.377792623185</v>
      </c>
      <c r="K80" s="212">
        <f t="shared" ref="K80:K81" si="14">SUM(J80:J80)</f>
        <v>50105.377792623185</v>
      </c>
      <c r="L80" s="208"/>
      <c r="M80" s="206"/>
      <c r="N80" s="206"/>
      <c r="O80" s="206"/>
      <c r="P80" s="206"/>
    </row>
    <row r="81" spans="1:16" x14ac:dyDescent="0.2">
      <c r="A81" s="206"/>
      <c r="B81" s="206"/>
      <c r="C81" s="206"/>
      <c r="D81" s="206"/>
      <c r="E81" s="206"/>
      <c r="F81" s="206"/>
      <c r="G81" s="210">
        <f t="shared" si="11"/>
        <v>2060</v>
      </c>
      <c r="H81" s="211">
        <f>(H37+H38)/2*'Rate Base &amp; Cost Capital'!G$25</f>
        <v>21081.681776647267</v>
      </c>
      <c r="I81" s="211"/>
      <c r="J81" s="211">
        <f t="shared" si="12"/>
        <v>30116.68825235324</v>
      </c>
      <c r="K81" s="212">
        <f t="shared" si="14"/>
        <v>30116.68825235324</v>
      </c>
      <c r="L81" s="208"/>
      <c r="M81" s="206"/>
      <c r="N81" s="206"/>
      <c r="O81" s="206"/>
      <c r="P81" s="206"/>
    </row>
    <row r="82" spans="1:16" x14ac:dyDescent="0.2">
      <c r="A82" s="206"/>
      <c r="B82" s="206"/>
      <c r="C82" s="206"/>
      <c r="D82" s="206"/>
      <c r="E82" s="206"/>
      <c r="F82" s="206"/>
      <c r="G82" s="210">
        <f t="shared" si="11"/>
        <v>2061</v>
      </c>
      <c r="H82" s="211">
        <f>(H38+H39)/2*'Rate Base &amp; Cost Capital'!G$25</f>
        <v>10582.422114707553</v>
      </c>
      <c r="I82" s="211"/>
      <c r="J82" s="211">
        <f t="shared" si="12"/>
        <v>15117.745878153648</v>
      </c>
      <c r="K82" s="212">
        <f t="shared" ref="K82" si="15">SUM(J82:J82)</f>
        <v>15117.745878153648</v>
      </c>
      <c r="L82" s="208"/>
      <c r="M82" s="206"/>
      <c r="N82" s="206"/>
      <c r="O82" s="206"/>
      <c r="P82" s="206"/>
    </row>
    <row r="83" spans="1:16" x14ac:dyDescent="0.2">
      <c r="A83" s="206"/>
      <c r="B83" s="206"/>
      <c r="C83" s="206"/>
      <c r="D83" s="206"/>
      <c r="E83" s="206"/>
      <c r="F83" s="206"/>
      <c r="G83" s="210"/>
      <c r="H83" s="211"/>
      <c r="I83" s="211"/>
      <c r="J83" s="211"/>
      <c r="K83" s="212"/>
      <c r="L83" s="208"/>
      <c r="M83" s="206"/>
      <c r="N83" s="206"/>
      <c r="O83" s="206"/>
      <c r="P83" s="206"/>
    </row>
    <row r="84" spans="1:16" x14ac:dyDescent="0.2">
      <c r="A84" s="206"/>
      <c r="B84" s="206"/>
      <c r="C84" s="206"/>
      <c r="D84" s="206"/>
      <c r="E84" s="206"/>
      <c r="F84" s="206"/>
      <c r="G84" s="213"/>
      <c r="H84" s="214"/>
      <c r="I84" s="214"/>
      <c r="J84" s="214"/>
      <c r="K84" s="215"/>
      <c r="L84" s="208"/>
      <c r="M84" s="206"/>
      <c r="N84" s="206"/>
      <c r="O84" s="206"/>
      <c r="P84" s="206"/>
    </row>
    <row r="85" spans="1:16" x14ac:dyDescent="0.2">
      <c r="A85" s="206"/>
      <c r="B85" s="206"/>
      <c r="C85" s="206"/>
      <c r="D85" s="206"/>
      <c r="E85" s="206"/>
      <c r="F85" s="206"/>
      <c r="G85" s="199"/>
      <c r="H85" s="211"/>
      <c r="I85" s="211"/>
      <c r="J85" s="211"/>
      <c r="K85" s="211"/>
      <c r="L85" s="208"/>
      <c r="M85" s="206"/>
      <c r="N85" s="206"/>
      <c r="O85" s="206"/>
      <c r="P85" s="206"/>
    </row>
    <row r="86" spans="1:16" x14ac:dyDescent="0.2">
      <c r="A86" s="206"/>
      <c r="B86" s="206"/>
      <c r="C86" s="206"/>
      <c r="D86" s="206"/>
      <c r="E86" s="206"/>
      <c r="F86" s="206"/>
      <c r="L86" s="208"/>
      <c r="M86" s="206"/>
      <c r="N86" s="206"/>
      <c r="O86" s="206"/>
      <c r="P86" s="206"/>
    </row>
    <row r="87" spans="1:16" x14ac:dyDescent="0.2">
      <c r="A87" s="206"/>
      <c r="B87" s="206"/>
      <c r="C87" s="206"/>
      <c r="D87" s="206"/>
      <c r="E87" s="206"/>
      <c r="F87" s="206"/>
      <c r="L87" s="208"/>
      <c r="M87" s="206"/>
      <c r="N87" s="206"/>
      <c r="O87" s="206"/>
      <c r="P87" s="206"/>
    </row>
    <row r="88" spans="1:16" x14ac:dyDescent="0.2">
      <c r="A88" s="206"/>
      <c r="B88" s="206"/>
      <c r="C88" s="206"/>
      <c r="D88" s="206"/>
      <c r="E88" s="206"/>
      <c r="F88" s="206"/>
      <c r="L88" s="208"/>
      <c r="M88" s="201"/>
      <c r="N88" s="206"/>
      <c r="O88" s="206"/>
      <c r="P88" s="206"/>
    </row>
    <row r="90" spans="1:16" x14ac:dyDescent="0.2">
      <c r="A90" s="19"/>
    </row>
    <row r="92" spans="1:16" x14ac:dyDescent="0.2">
      <c r="A92" s="110"/>
    </row>
  </sheetData>
  <mergeCells count="1">
    <mergeCell ref="G45:K45"/>
  </mergeCells>
  <pageMargins left="0.7" right="0.7" top="0.75" bottom="0.75" header="0.3" footer="0.3"/>
  <pageSetup paperSize="5" scale="41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D9"/>
  <sheetViews>
    <sheetView workbookViewId="0">
      <selection activeCell="D8" sqref="D8"/>
    </sheetView>
  </sheetViews>
  <sheetFormatPr defaultRowHeight="14.25" x14ac:dyDescent="0.2"/>
  <cols>
    <col min="1" max="1" width="15.7109375" style="11" bestFit="1" customWidth="1"/>
    <col min="2" max="2" width="17" style="11" bestFit="1" customWidth="1"/>
    <col min="3" max="3" width="12.5703125" style="11" bestFit="1" customWidth="1"/>
    <col min="4" max="4" width="16.85546875" style="11" bestFit="1" customWidth="1"/>
    <col min="5" max="16384" width="9.140625" style="11"/>
  </cols>
  <sheetData>
    <row r="2" spans="1:4" x14ac:dyDescent="0.2">
      <c r="A2" s="11" t="s">
        <v>211</v>
      </c>
      <c r="B2" s="11" t="s">
        <v>212</v>
      </c>
      <c r="C2" s="11" t="s">
        <v>213</v>
      </c>
      <c r="D2" s="11" t="s">
        <v>214</v>
      </c>
    </row>
    <row r="3" spans="1:4" x14ac:dyDescent="0.2">
      <c r="A3" s="11" t="s">
        <v>215</v>
      </c>
      <c r="B3" s="311">
        <v>1275</v>
      </c>
      <c r="C3" s="312">
        <v>662.19</v>
      </c>
      <c r="D3" s="313">
        <f>+B3*C3</f>
        <v>844292.25000000012</v>
      </c>
    </row>
    <row r="4" spans="1:4" x14ac:dyDescent="0.2">
      <c r="A4" s="11" t="s">
        <v>216</v>
      </c>
      <c r="B4" s="311">
        <v>140</v>
      </c>
      <c r="C4" s="314">
        <f>30.68*0.5</f>
        <v>15.34</v>
      </c>
      <c r="D4" s="311">
        <f>+B4*C4</f>
        <v>2147.6</v>
      </c>
    </row>
    <row r="5" spans="1:4" x14ac:dyDescent="0.2">
      <c r="A5" s="11" t="s">
        <v>217</v>
      </c>
      <c r="B5" s="311"/>
      <c r="C5" s="314"/>
      <c r="D5" s="311">
        <v>72319.156024430864</v>
      </c>
    </row>
    <row r="6" spans="1:4" ht="16.5" x14ac:dyDescent="0.35">
      <c r="A6" s="11" t="s">
        <v>218</v>
      </c>
      <c r="B6" s="311">
        <v>445</v>
      </c>
      <c r="C6" s="314">
        <v>814.33</v>
      </c>
      <c r="D6" s="315">
        <f>+B6*C6</f>
        <v>362376.85000000003</v>
      </c>
    </row>
    <row r="7" spans="1:4" x14ac:dyDescent="0.2">
      <c r="A7" s="11" t="s">
        <v>220</v>
      </c>
      <c r="B7" s="311"/>
      <c r="D7" s="316">
        <f>SUM(D3:D6)</f>
        <v>1281135.8560244311</v>
      </c>
    </row>
    <row r="8" spans="1:4" ht="16.5" x14ac:dyDescent="0.35">
      <c r="A8" s="11" t="s">
        <v>308</v>
      </c>
      <c r="D8" s="317">
        <f>-D7*0.1</f>
        <v>-128113.58560244311</v>
      </c>
    </row>
    <row r="9" spans="1:4" ht="16.5" x14ac:dyDescent="0.35">
      <c r="A9" s="11" t="s">
        <v>306</v>
      </c>
      <c r="D9" s="318">
        <f>SUM(D7:D8)</f>
        <v>1153022.2704219879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B75"/>
  <sheetViews>
    <sheetView topLeftCell="A56" workbookViewId="0">
      <selection activeCell="B23" sqref="B23"/>
    </sheetView>
  </sheetViews>
  <sheetFormatPr defaultColWidth="7.85546875" defaultRowHeight="11.25" x14ac:dyDescent="0.2"/>
  <cols>
    <col min="1" max="1" width="5.5703125" style="110" customWidth="1"/>
    <col min="2" max="2" width="25.85546875" style="109" customWidth="1"/>
    <col min="3" max="3" width="11.5703125" style="110" customWidth="1"/>
    <col min="4" max="4" width="12.140625" style="110" customWidth="1"/>
    <col min="5" max="5" width="12.42578125" style="110" customWidth="1"/>
    <col min="6" max="6" width="11.85546875" style="110" customWidth="1"/>
    <col min="7" max="7" width="13.42578125" style="110" bestFit="1" customWidth="1"/>
    <col min="8" max="8" width="12" style="110" bestFit="1" customWidth="1"/>
    <col min="9" max="9" width="10.85546875" style="110" customWidth="1"/>
    <col min="10" max="10" width="12" style="110" bestFit="1" customWidth="1"/>
    <col min="11" max="11" width="12.85546875" style="110" customWidth="1"/>
    <col min="12" max="12" width="16.42578125" style="110" customWidth="1"/>
    <col min="13" max="13" width="15.42578125" style="110" bestFit="1" customWidth="1"/>
    <col min="14" max="14" width="11.5703125" style="110" customWidth="1"/>
    <col min="15" max="15" width="14.5703125" style="110" bestFit="1" customWidth="1"/>
    <col min="16" max="16" width="12.7109375" style="110" bestFit="1" customWidth="1"/>
    <col min="17" max="17" width="15.28515625" style="110" bestFit="1" customWidth="1"/>
    <col min="18" max="18" width="18.140625" style="110" bestFit="1" customWidth="1"/>
    <col min="19" max="19" width="14.85546875" style="110" customWidth="1"/>
    <col min="20" max="20" width="16.42578125" style="110" customWidth="1"/>
    <col min="21" max="22" width="11.5703125" style="110" customWidth="1"/>
    <col min="23" max="23" width="11.42578125" style="110" customWidth="1"/>
    <col min="24" max="25" width="12" style="110" bestFit="1" customWidth="1"/>
    <col min="26" max="26" width="11.28515625" style="110" bestFit="1" customWidth="1"/>
    <col min="27" max="27" width="12.85546875" style="110" customWidth="1"/>
    <col min="28" max="28" width="11.28515625" style="110" bestFit="1" customWidth="1"/>
    <col min="29" max="30" width="11.5703125" style="110" customWidth="1"/>
    <col min="31" max="31" width="11.42578125" style="110" customWidth="1"/>
    <col min="32" max="32" width="13.5703125" style="110" bestFit="1" customWidth="1"/>
    <col min="33" max="34" width="11.5703125" style="110" customWidth="1"/>
    <col min="35" max="35" width="11.42578125" style="110" customWidth="1"/>
    <col min="36" max="43" width="13.5703125" style="110" bestFit="1" customWidth="1"/>
    <col min="44" max="47" width="10.42578125" style="110" bestFit="1" customWidth="1"/>
    <col min="48" max="209" width="10.7109375" style="110" bestFit="1" customWidth="1"/>
    <col min="210" max="16384" width="7.85546875" style="110"/>
  </cols>
  <sheetData>
    <row r="1" spans="1:35" s="99" customFormat="1" ht="12.75" x14ac:dyDescent="0.2">
      <c r="A1" s="98" t="s">
        <v>129</v>
      </c>
      <c r="B1" s="98"/>
      <c r="G1" s="100"/>
      <c r="H1" s="101"/>
      <c r="P1" s="101"/>
      <c r="X1" s="101"/>
    </row>
    <row r="2" spans="1:35" s="99" customFormat="1" ht="12" x14ac:dyDescent="0.2">
      <c r="A2" s="98" t="s">
        <v>130</v>
      </c>
      <c r="B2" s="98"/>
    </row>
    <row r="3" spans="1:35" s="107" customFormat="1" ht="12" x14ac:dyDescent="0.2">
      <c r="A3" s="102"/>
      <c r="B3" s="102"/>
      <c r="C3" s="103"/>
      <c r="D3" s="103"/>
      <c r="E3" s="103"/>
      <c r="F3" s="103"/>
      <c r="G3" s="103"/>
      <c r="H3" s="103"/>
      <c r="I3" s="104"/>
      <c r="J3" s="103"/>
      <c r="K3" s="105"/>
      <c r="L3" s="106"/>
      <c r="M3" s="106"/>
      <c r="N3" s="106"/>
      <c r="O3" s="106"/>
      <c r="P3" s="103"/>
      <c r="Q3" s="104"/>
      <c r="R3" s="103"/>
      <c r="S3" s="105"/>
      <c r="T3" s="106"/>
      <c r="U3" s="106"/>
      <c r="V3" s="106"/>
      <c r="W3" s="106"/>
      <c r="X3" s="103"/>
      <c r="Y3" s="104"/>
      <c r="Z3" s="103"/>
      <c r="AA3" s="105"/>
      <c r="AB3" s="106"/>
      <c r="AC3" s="106"/>
      <c r="AD3" s="106"/>
      <c r="AE3" s="106"/>
      <c r="AF3" s="106"/>
      <c r="AG3" s="106"/>
      <c r="AH3" s="106"/>
      <c r="AI3" s="106"/>
    </row>
    <row r="4" spans="1:35" ht="12" x14ac:dyDescent="0.2">
      <c r="A4" s="108"/>
      <c r="D4" s="111"/>
    </row>
    <row r="5" spans="1:35" ht="12" x14ac:dyDescent="0.2">
      <c r="A5" s="107"/>
      <c r="C5" s="112" t="s">
        <v>131</v>
      </c>
      <c r="D5" s="113">
        <v>1</v>
      </c>
      <c r="E5" s="114">
        <f>D5</f>
        <v>1</v>
      </c>
      <c r="F5" s="114">
        <f>E5</f>
        <v>1</v>
      </c>
      <c r="G5" s="112" t="s">
        <v>131</v>
      </c>
      <c r="H5" s="113">
        <f>G6+1</f>
        <v>2</v>
      </c>
      <c r="I5" s="115">
        <f>H5</f>
        <v>2</v>
      </c>
      <c r="J5" s="115">
        <f>I5</f>
        <v>2</v>
      </c>
      <c r="K5" s="112" t="s">
        <v>131</v>
      </c>
      <c r="L5" s="113">
        <f>+K6+1</f>
        <v>3</v>
      </c>
      <c r="M5" s="115">
        <f>+L5</f>
        <v>3</v>
      </c>
      <c r="N5" s="115">
        <f>+M5</f>
        <v>3</v>
      </c>
      <c r="O5" s="112" t="s">
        <v>131</v>
      </c>
      <c r="P5" s="113">
        <f>O6+1</f>
        <v>4</v>
      </c>
      <c r="Q5" s="115">
        <f>P5</f>
        <v>4</v>
      </c>
      <c r="R5" s="115">
        <f>Q5</f>
        <v>4</v>
      </c>
      <c r="S5" s="112" t="s">
        <v>131</v>
      </c>
      <c r="T5" s="113">
        <f>+S6+1</f>
        <v>5</v>
      </c>
      <c r="U5" s="115">
        <f>+T5</f>
        <v>5</v>
      </c>
      <c r="V5" s="115">
        <f>+U5</f>
        <v>5</v>
      </c>
      <c r="W5" s="112" t="s">
        <v>131</v>
      </c>
      <c r="X5" s="113">
        <f>W6+1</f>
        <v>6</v>
      </c>
      <c r="Y5" s="115">
        <f>X5</f>
        <v>6</v>
      </c>
      <c r="Z5" s="115">
        <f>Y5</f>
        <v>6</v>
      </c>
      <c r="AA5" s="112" t="s">
        <v>131</v>
      </c>
      <c r="AB5" s="113">
        <f>+AA6+1</f>
        <v>7</v>
      </c>
      <c r="AC5" s="115">
        <f>+AB5</f>
        <v>7</v>
      </c>
      <c r="AD5" s="115">
        <f>+AC5</f>
        <v>7</v>
      </c>
      <c r="AE5" s="112" t="s">
        <v>131</v>
      </c>
      <c r="AF5" s="113">
        <f>+AE6+1</f>
        <v>8</v>
      </c>
      <c r="AG5" s="115">
        <f>+AF5</f>
        <v>8</v>
      </c>
      <c r="AH5" s="115">
        <f>+AG5</f>
        <v>8</v>
      </c>
      <c r="AI5" s="112" t="s">
        <v>131</v>
      </c>
    </row>
    <row r="6" spans="1:35" ht="12" x14ac:dyDescent="0.2">
      <c r="A6" s="116" t="s">
        <v>132</v>
      </c>
      <c r="C6" s="117">
        <v>2022</v>
      </c>
      <c r="D6" s="118" t="s">
        <v>133</v>
      </c>
      <c r="E6" s="119" t="s">
        <v>134</v>
      </c>
      <c r="F6" s="119" t="s">
        <v>135</v>
      </c>
      <c r="G6" s="117">
        <f>+F5</f>
        <v>1</v>
      </c>
      <c r="H6" s="118" t="s">
        <v>133</v>
      </c>
      <c r="I6" s="120" t="s">
        <v>134</v>
      </c>
      <c r="J6" s="120" t="str">
        <f>+F6</f>
        <v>WIP</v>
      </c>
      <c r="K6" s="117">
        <f>+I5</f>
        <v>2</v>
      </c>
      <c r="L6" s="118" t="s">
        <v>133</v>
      </c>
      <c r="M6" s="121" t="s">
        <v>136</v>
      </c>
      <c r="N6" s="122" t="str">
        <f>+J6</f>
        <v>WIP</v>
      </c>
      <c r="O6" s="123">
        <f>+M5</f>
        <v>3</v>
      </c>
      <c r="P6" s="118" t="s">
        <v>133</v>
      </c>
      <c r="Q6" s="120" t="s">
        <v>134</v>
      </c>
      <c r="R6" s="120" t="str">
        <f>+N6</f>
        <v>WIP</v>
      </c>
      <c r="S6" s="117">
        <f>+Q5</f>
        <v>4</v>
      </c>
      <c r="T6" s="118" t="s">
        <v>133</v>
      </c>
      <c r="U6" s="121" t="s">
        <v>136</v>
      </c>
      <c r="V6" s="122" t="str">
        <f>+R6</f>
        <v>WIP</v>
      </c>
      <c r="W6" s="123">
        <f>+U5</f>
        <v>5</v>
      </c>
      <c r="X6" s="118" t="s">
        <v>133</v>
      </c>
      <c r="Y6" s="120" t="s">
        <v>134</v>
      </c>
      <c r="Z6" s="120" t="str">
        <f>+V6</f>
        <v>WIP</v>
      </c>
      <c r="AA6" s="117">
        <f>+Y5</f>
        <v>6</v>
      </c>
      <c r="AB6" s="118" t="s">
        <v>133</v>
      </c>
      <c r="AC6" s="121" t="s">
        <v>136</v>
      </c>
      <c r="AD6" s="122" t="str">
        <f>+Z6</f>
        <v>WIP</v>
      </c>
      <c r="AE6" s="123">
        <f>+AC5</f>
        <v>7</v>
      </c>
      <c r="AF6" s="118" t="s">
        <v>133</v>
      </c>
      <c r="AG6" s="121" t="s">
        <v>136</v>
      </c>
      <c r="AH6" s="122" t="str">
        <f>+AD6</f>
        <v>WIP</v>
      </c>
      <c r="AI6" s="123">
        <f>+AG5</f>
        <v>8</v>
      </c>
    </row>
    <row r="7" spans="1:35" ht="12" x14ac:dyDescent="0.2">
      <c r="A7" s="124"/>
      <c r="C7" s="125"/>
      <c r="D7" s="126"/>
      <c r="E7" s="127"/>
      <c r="F7" s="127"/>
      <c r="G7" s="125"/>
      <c r="H7" s="126"/>
      <c r="I7" s="127"/>
      <c r="J7" s="127"/>
      <c r="K7" s="125"/>
      <c r="L7" s="126"/>
      <c r="M7" s="127"/>
      <c r="N7" s="127"/>
      <c r="O7" s="125"/>
      <c r="P7" s="126"/>
      <c r="Q7" s="127"/>
      <c r="R7" s="127"/>
      <c r="S7" s="125"/>
      <c r="T7" s="126"/>
      <c r="U7" s="127"/>
      <c r="V7" s="127"/>
      <c r="W7" s="125"/>
      <c r="X7" s="126"/>
      <c r="Y7" s="127"/>
      <c r="Z7" s="127"/>
      <c r="AA7" s="125"/>
      <c r="AB7" s="126"/>
      <c r="AC7" s="127"/>
      <c r="AD7" s="127"/>
      <c r="AE7" s="125"/>
      <c r="AF7" s="126"/>
      <c r="AG7" s="127"/>
      <c r="AH7" s="127"/>
      <c r="AI7" s="125"/>
    </row>
    <row r="8" spans="1:35" ht="12" hidden="1" x14ac:dyDescent="0.2">
      <c r="B8" s="108"/>
      <c r="C8" s="128"/>
      <c r="D8" s="129">
        <v>0</v>
      </c>
      <c r="E8" s="130"/>
      <c r="G8" s="128">
        <f t="shared" ref="G8:G17" si="0">SUM(C8+D8-E8)</f>
        <v>0</v>
      </c>
      <c r="H8" s="129">
        <v>0</v>
      </c>
      <c r="I8" s="131">
        <v>0</v>
      </c>
      <c r="J8" s="131"/>
      <c r="K8" s="128">
        <f>SUM(G8+H8-I8)</f>
        <v>0</v>
      </c>
      <c r="L8" s="129"/>
      <c r="M8" s="131"/>
      <c r="O8" s="128">
        <f>SUM(K8+L8-M8)</f>
        <v>0</v>
      </c>
      <c r="P8" s="129">
        <v>0</v>
      </c>
      <c r="Q8" s="131">
        <v>0</v>
      </c>
      <c r="R8" s="131"/>
      <c r="S8" s="128">
        <f>SUM(O8+P8-Q8)</f>
        <v>0</v>
      </c>
      <c r="T8" s="129"/>
      <c r="U8" s="131"/>
      <c r="W8" s="128">
        <f>SUM(S8+T8-U8)</f>
        <v>0</v>
      </c>
      <c r="X8" s="129">
        <v>0</v>
      </c>
      <c r="Y8" s="131"/>
      <c r="Z8" s="131"/>
      <c r="AA8" s="128">
        <f>SUM(W8+X8-Y8)</f>
        <v>0</v>
      </c>
      <c r="AB8" s="129"/>
      <c r="AC8" s="131"/>
      <c r="AE8" s="128">
        <f>SUM(AA8+AB8-AC8)</f>
        <v>0</v>
      </c>
      <c r="AF8" s="129"/>
      <c r="AG8" s="131"/>
      <c r="AI8" s="128">
        <f>SUM(AE8+AF8-AG8)</f>
        <v>0</v>
      </c>
    </row>
    <row r="9" spans="1:35" ht="12" hidden="1" x14ac:dyDescent="0.2">
      <c r="B9" s="108"/>
      <c r="C9" s="128"/>
      <c r="D9" s="131"/>
      <c r="E9" s="131"/>
      <c r="F9" s="131"/>
      <c r="G9" s="128">
        <f t="shared" si="0"/>
        <v>0</v>
      </c>
      <c r="H9" s="132"/>
      <c r="I9" s="131"/>
      <c r="J9" s="131"/>
      <c r="K9" s="128">
        <f t="shared" ref="K9:K17" si="1">SUM(G9+H9-I9)</f>
        <v>0</v>
      </c>
      <c r="L9" s="129"/>
      <c r="M9" s="131"/>
      <c r="N9" s="131"/>
      <c r="O9" s="128">
        <f t="shared" ref="O9:O17" si="2">SUM(K9+L9-M9)</f>
        <v>0</v>
      </c>
      <c r="P9" s="132"/>
      <c r="Q9" s="131"/>
      <c r="R9" s="131"/>
      <c r="S9" s="128">
        <f t="shared" ref="S9:S17" si="3">SUM(O9+P9-Q9)</f>
        <v>0</v>
      </c>
      <c r="T9" s="129"/>
      <c r="U9" s="131"/>
      <c r="V9" s="131"/>
      <c r="W9" s="128">
        <f t="shared" ref="W9" si="4">SUM(S9+T9-U9)</f>
        <v>0</v>
      </c>
      <c r="X9" s="132"/>
      <c r="Y9" s="131"/>
      <c r="Z9" s="131"/>
      <c r="AA9" s="128">
        <f t="shared" ref="AA9:AA17" si="5">SUM(W9+X9-Y9)</f>
        <v>0</v>
      </c>
      <c r="AB9" s="129"/>
      <c r="AC9" s="131"/>
      <c r="AD9" s="131"/>
      <c r="AE9" s="128">
        <f t="shared" ref="AE9" si="6">SUM(AA9+AB9-AC9)</f>
        <v>0</v>
      </c>
      <c r="AF9" s="129"/>
      <c r="AG9" s="131"/>
      <c r="AH9" s="131"/>
      <c r="AI9" s="128">
        <f t="shared" ref="AI9" si="7">SUM(AE9+AF9-AG9)</f>
        <v>0</v>
      </c>
    </row>
    <row r="10" spans="1:35" ht="12" hidden="1" x14ac:dyDescent="0.2">
      <c r="B10" s="108"/>
      <c r="C10" s="128"/>
      <c r="D10" s="131"/>
      <c r="E10" s="131"/>
      <c r="F10" s="130"/>
      <c r="G10" s="128">
        <f t="shared" si="0"/>
        <v>0</v>
      </c>
      <c r="H10" s="132"/>
      <c r="I10" s="131"/>
      <c r="J10" s="130"/>
      <c r="K10" s="128">
        <f t="shared" si="1"/>
        <v>0</v>
      </c>
      <c r="L10" s="129"/>
      <c r="M10" s="131"/>
      <c r="N10" s="131"/>
      <c r="O10" s="128">
        <f>SUM(K10+L10-M10)</f>
        <v>0</v>
      </c>
      <c r="P10" s="132"/>
      <c r="Q10" s="131"/>
      <c r="R10" s="130"/>
      <c r="S10" s="128">
        <f t="shared" si="3"/>
        <v>0</v>
      </c>
      <c r="T10" s="129"/>
      <c r="U10" s="131"/>
      <c r="V10" s="131"/>
      <c r="W10" s="128">
        <f>SUM(S10+T10-U10)</f>
        <v>0</v>
      </c>
      <c r="X10" s="132"/>
      <c r="Y10" s="131"/>
      <c r="Z10" s="130"/>
      <c r="AA10" s="128">
        <f t="shared" si="5"/>
        <v>0</v>
      </c>
      <c r="AB10" s="129"/>
      <c r="AC10" s="131"/>
      <c r="AD10" s="131"/>
      <c r="AE10" s="128">
        <f>SUM(AA10+AB10-AC10)</f>
        <v>0</v>
      </c>
      <c r="AF10" s="129"/>
      <c r="AG10" s="131"/>
      <c r="AH10" s="131"/>
      <c r="AI10" s="128">
        <f>SUM(AE10+AF10-AG10)</f>
        <v>0</v>
      </c>
    </row>
    <row r="11" spans="1:35" ht="12" hidden="1" x14ac:dyDescent="0.2">
      <c r="B11" s="108"/>
      <c r="C11" s="128"/>
      <c r="D11" s="131"/>
      <c r="E11" s="131"/>
      <c r="F11" s="130"/>
      <c r="G11" s="128">
        <f t="shared" si="0"/>
        <v>0</v>
      </c>
      <c r="H11" s="132"/>
      <c r="I11" s="131"/>
      <c r="J11" s="130"/>
      <c r="K11" s="128">
        <f t="shared" si="1"/>
        <v>0</v>
      </c>
      <c r="L11" s="129"/>
      <c r="M11" s="131"/>
      <c r="N11" s="131"/>
      <c r="O11" s="128">
        <f t="shared" si="2"/>
        <v>0</v>
      </c>
      <c r="P11" s="132"/>
      <c r="Q11" s="131"/>
      <c r="R11" s="130"/>
      <c r="S11" s="128">
        <f t="shared" si="3"/>
        <v>0</v>
      </c>
      <c r="T11" s="129"/>
      <c r="U11" s="131"/>
      <c r="V11" s="131"/>
      <c r="W11" s="128">
        <f t="shared" ref="W11:W17" si="8">SUM(S11+T11-U11)</f>
        <v>0</v>
      </c>
      <c r="X11" s="132"/>
      <c r="Y11" s="131"/>
      <c r="Z11" s="130"/>
      <c r="AA11" s="128">
        <f t="shared" si="5"/>
        <v>0</v>
      </c>
      <c r="AB11" s="129"/>
      <c r="AC11" s="131"/>
      <c r="AD11" s="131"/>
      <c r="AE11" s="128">
        <f t="shared" ref="AE11:AE17" si="9">SUM(AA11+AB11-AC11)</f>
        <v>0</v>
      </c>
      <c r="AF11" s="129"/>
      <c r="AG11" s="131"/>
      <c r="AH11" s="131"/>
      <c r="AI11" s="128">
        <f t="shared" ref="AI11:AI17" si="10">SUM(AE11+AF11-AG11)</f>
        <v>0</v>
      </c>
    </row>
    <row r="12" spans="1:35" ht="12" x14ac:dyDescent="0.2">
      <c r="A12" s="131"/>
      <c r="B12" s="108" t="s">
        <v>137</v>
      </c>
      <c r="C12" s="128">
        <v>0</v>
      </c>
      <c r="D12" s="131">
        <f>+'Total Annual Impact'!B4</f>
        <v>13280237.424000001</v>
      </c>
      <c r="E12" s="131">
        <f>+Retirements!D7*0.9</f>
        <v>1153022.2704219881</v>
      </c>
      <c r="F12" s="130"/>
      <c r="G12" s="128">
        <f t="shared" si="0"/>
        <v>12127215.153578013</v>
      </c>
      <c r="H12" s="132">
        <v>0</v>
      </c>
      <c r="I12" s="131">
        <v>0</v>
      </c>
      <c r="J12" s="130"/>
      <c r="K12" s="128">
        <f t="shared" si="1"/>
        <v>12127215.153578013</v>
      </c>
      <c r="L12" s="129">
        <v>0</v>
      </c>
      <c r="M12" s="131"/>
      <c r="N12" s="131"/>
      <c r="O12" s="128">
        <f t="shared" si="2"/>
        <v>12127215.153578013</v>
      </c>
      <c r="P12" s="132"/>
      <c r="Q12" s="131"/>
      <c r="R12" s="130"/>
      <c r="S12" s="128">
        <f t="shared" si="3"/>
        <v>12127215.153578013</v>
      </c>
      <c r="T12" s="129">
        <v>0</v>
      </c>
      <c r="U12" s="131"/>
      <c r="V12" s="131"/>
      <c r="W12" s="128">
        <f t="shared" si="8"/>
        <v>12127215.153578013</v>
      </c>
      <c r="X12" s="132"/>
      <c r="Y12" s="131"/>
      <c r="Z12" s="130"/>
      <c r="AA12" s="128">
        <f t="shared" si="5"/>
        <v>12127215.153578013</v>
      </c>
      <c r="AB12" s="129"/>
      <c r="AC12" s="131"/>
      <c r="AD12" s="131"/>
      <c r="AE12" s="128">
        <f t="shared" si="9"/>
        <v>12127215.153578013</v>
      </c>
      <c r="AF12" s="129">
        <v>0</v>
      </c>
      <c r="AG12" s="131"/>
      <c r="AH12" s="131"/>
      <c r="AI12" s="128">
        <f t="shared" si="10"/>
        <v>12127215.153578013</v>
      </c>
    </row>
    <row r="13" spans="1:35" ht="12" hidden="1" x14ac:dyDescent="0.2">
      <c r="A13" s="131"/>
      <c r="B13" s="108"/>
      <c r="C13" s="128"/>
      <c r="D13" s="131"/>
      <c r="E13" s="131"/>
      <c r="F13" s="130"/>
      <c r="G13" s="128">
        <f t="shared" si="0"/>
        <v>0</v>
      </c>
      <c r="H13" s="132"/>
      <c r="I13" s="133"/>
      <c r="J13" s="130"/>
      <c r="K13" s="128">
        <f t="shared" si="1"/>
        <v>0</v>
      </c>
      <c r="L13" s="129"/>
      <c r="M13" s="133"/>
      <c r="N13" s="131"/>
      <c r="O13" s="128">
        <f t="shared" si="2"/>
        <v>0</v>
      </c>
      <c r="P13" s="132"/>
      <c r="Q13" s="133"/>
      <c r="R13" s="130"/>
      <c r="S13" s="128">
        <f t="shared" si="3"/>
        <v>0</v>
      </c>
      <c r="T13" s="129"/>
      <c r="U13" s="133"/>
      <c r="V13" s="131"/>
      <c r="W13" s="128">
        <f t="shared" si="8"/>
        <v>0</v>
      </c>
      <c r="X13" s="132"/>
      <c r="Y13" s="133"/>
      <c r="Z13" s="130"/>
      <c r="AA13" s="128">
        <f t="shared" si="5"/>
        <v>0</v>
      </c>
      <c r="AB13" s="129"/>
      <c r="AC13" s="133"/>
      <c r="AD13" s="131"/>
      <c r="AE13" s="128">
        <f t="shared" si="9"/>
        <v>0</v>
      </c>
      <c r="AF13" s="129"/>
      <c r="AG13" s="133"/>
      <c r="AH13" s="131"/>
      <c r="AI13" s="128">
        <f t="shared" si="10"/>
        <v>0</v>
      </c>
    </row>
    <row r="14" spans="1:35" ht="12" hidden="1" x14ac:dyDescent="0.2">
      <c r="B14" s="108"/>
      <c r="C14" s="128"/>
      <c r="D14" s="131"/>
      <c r="E14" s="130"/>
      <c r="F14" s="130"/>
      <c r="G14" s="128">
        <f t="shared" si="0"/>
        <v>0</v>
      </c>
      <c r="H14" s="132"/>
      <c r="I14" s="131"/>
      <c r="J14" s="130"/>
      <c r="K14" s="128">
        <f t="shared" si="1"/>
        <v>0</v>
      </c>
      <c r="L14" s="134"/>
      <c r="M14" s="130"/>
      <c r="N14" s="131">
        <f t="shared" ref="N14" si="11">+J14</f>
        <v>0</v>
      </c>
      <c r="O14" s="128">
        <f t="shared" si="2"/>
        <v>0</v>
      </c>
      <c r="P14" s="132"/>
      <c r="Q14" s="131"/>
      <c r="R14" s="130"/>
      <c r="S14" s="128">
        <f t="shared" si="3"/>
        <v>0</v>
      </c>
      <c r="T14" s="134"/>
      <c r="U14" s="130"/>
      <c r="V14" s="131">
        <f t="shared" ref="V14" si="12">+R14</f>
        <v>0</v>
      </c>
      <c r="W14" s="128">
        <f t="shared" si="8"/>
        <v>0</v>
      </c>
      <c r="X14" s="132"/>
      <c r="Y14" s="131"/>
      <c r="Z14" s="130"/>
      <c r="AA14" s="128">
        <f t="shared" si="5"/>
        <v>0</v>
      </c>
      <c r="AB14" s="134"/>
      <c r="AC14" s="130"/>
      <c r="AD14" s="131">
        <f t="shared" ref="AD14" si="13">+Z14</f>
        <v>0</v>
      </c>
      <c r="AE14" s="128">
        <f t="shared" si="9"/>
        <v>0</v>
      </c>
      <c r="AF14" s="134"/>
      <c r="AG14" s="130"/>
      <c r="AH14" s="131">
        <f t="shared" ref="AH14" si="14">+AD14</f>
        <v>0</v>
      </c>
      <c r="AI14" s="128">
        <f t="shared" si="10"/>
        <v>0</v>
      </c>
    </row>
    <row r="15" spans="1:35" ht="12" hidden="1" x14ac:dyDescent="0.2">
      <c r="B15" s="108"/>
      <c r="C15" s="128"/>
      <c r="D15" s="131"/>
      <c r="E15" s="130"/>
      <c r="F15" s="130"/>
      <c r="G15" s="128">
        <f t="shared" si="0"/>
        <v>0</v>
      </c>
      <c r="H15" s="132"/>
      <c r="I15" s="131"/>
      <c r="J15" s="130"/>
      <c r="K15" s="128">
        <f t="shared" si="1"/>
        <v>0</v>
      </c>
      <c r="L15" s="134"/>
      <c r="M15" s="130"/>
      <c r="N15" s="130"/>
      <c r="O15" s="128">
        <f t="shared" si="2"/>
        <v>0</v>
      </c>
      <c r="P15" s="132"/>
      <c r="Q15" s="131"/>
      <c r="R15" s="130"/>
      <c r="S15" s="128">
        <f t="shared" si="3"/>
        <v>0</v>
      </c>
      <c r="T15" s="134"/>
      <c r="U15" s="130"/>
      <c r="V15" s="130"/>
      <c r="W15" s="128">
        <f t="shared" si="8"/>
        <v>0</v>
      </c>
      <c r="X15" s="132"/>
      <c r="Y15" s="131"/>
      <c r="Z15" s="130"/>
      <c r="AA15" s="128">
        <f t="shared" si="5"/>
        <v>0</v>
      </c>
      <c r="AB15" s="134"/>
      <c r="AC15" s="130"/>
      <c r="AD15" s="130"/>
      <c r="AE15" s="128">
        <f t="shared" si="9"/>
        <v>0</v>
      </c>
      <c r="AF15" s="134"/>
      <c r="AG15" s="130"/>
      <c r="AH15" s="130"/>
      <c r="AI15" s="128">
        <f t="shared" si="10"/>
        <v>0</v>
      </c>
    </row>
    <row r="16" spans="1:35" ht="12" hidden="1" x14ac:dyDescent="0.2">
      <c r="B16" s="108"/>
      <c r="C16" s="128"/>
      <c r="D16" s="131"/>
      <c r="E16" s="130"/>
      <c r="F16" s="130"/>
      <c r="G16" s="128">
        <f>SUM(C16+D16-E16)</f>
        <v>0</v>
      </c>
      <c r="H16" s="132"/>
      <c r="I16" s="131"/>
      <c r="J16" s="130"/>
      <c r="K16" s="128">
        <f t="shared" si="1"/>
        <v>0</v>
      </c>
      <c r="L16" s="134"/>
      <c r="M16" s="130"/>
      <c r="N16" s="130"/>
      <c r="O16" s="128">
        <f t="shared" si="2"/>
        <v>0</v>
      </c>
      <c r="P16" s="132"/>
      <c r="Q16" s="131"/>
      <c r="R16" s="130"/>
      <c r="S16" s="128">
        <f t="shared" si="3"/>
        <v>0</v>
      </c>
      <c r="T16" s="134"/>
      <c r="U16" s="130"/>
      <c r="V16" s="130"/>
      <c r="W16" s="128">
        <f t="shared" si="8"/>
        <v>0</v>
      </c>
      <c r="X16" s="132"/>
      <c r="Y16" s="131"/>
      <c r="Z16" s="130"/>
      <c r="AA16" s="128">
        <f t="shared" si="5"/>
        <v>0</v>
      </c>
      <c r="AB16" s="134"/>
      <c r="AC16" s="130"/>
      <c r="AD16" s="130"/>
      <c r="AE16" s="128">
        <f t="shared" si="9"/>
        <v>0</v>
      </c>
      <c r="AF16" s="134"/>
      <c r="AG16" s="130"/>
      <c r="AH16" s="130"/>
      <c r="AI16" s="128">
        <f t="shared" si="10"/>
        <v>0</v>
      </c>
    </row>
    <row r="17" spans="1:210" ht="14.25" hidden="1" x14ac:dyDescent="0.35">
      <c r="B17" s="108"/>
      <c r="C17" s="135"/>
      <c r="D17" s="136"/>
      <c r="E17" s="137"/>
      <c r="F17" s="137">
        <v>0</v>
      </c>
      <c r="G17" s="135">
        <f t="shared" si="0"/>
        <v>0</v>
      </c>
      <c r="H17" s="136">
        <v>0</v>
      </c>
      <c r="I17" s="137">
        <v>0</v>
      </c>
      <c r="J17" s="137">
        <v>0</v>
      </c>
      <c r="K17" s="135">
        <f t="shared" si="1"/>
        <v>0</v>
      </c>
      <c r="L17" s="137">
        <v>0</v>
      </c>
      <c r="M17" s="137">
        <v>0</v>
      </c>
      <c r="N17" s="137">
        <v>0</v>
      </c>
      <c r="O17" s="135">
        <f t="shared" si="2"/>
        <v>0</v>
      </c>
      <c r="P17" s="136">
        <v>0</v>
      </c>
      <c r="Q17" s="137">
        <v>0</v>
      </c>
      <c r="R17" s="137">
        <v>0</v>
      </c>
      <c r="S17" s="135">
        <f t="shared" si="3"/>
        <v>0</v>
      </c>
      <c r="T17" s="137">
        <v>0</v>
      </c>
      <c r="U17" s="137"/>
      <c r="V17" s="137">
        <v>0</v>
      </c>
      <c r="W17" s="135">
        <f t="shared" si="8"/>
        <v>0</v>
      </c>
      <c r="X17" s="136">
        <v>0</v>
      </c>
      <c r="Y17" s="137"/>
      <c r="Z17" s="137">
        <v>0</v>
      </c>
      <c r="AA17" s="135">
        <f t="shared" si="5"/>
        <v>0</v>
      </c>
      <c r="AB17" s="137">
        <v>0</v>
      </c>
      <c r="AC17" s="137"/>
      <c r="AD17" s="137">
        <v>0</v>
      </c>
      <c r="AE17" s="135">
        <f t="shared" si="9"/>
        <v>0</v>
      </c>
      <c r="AF17" s="137">
        <v>0</v>
      </c>
      <c r="AG17" s="137"/>
      <c r="AH17" s="137">
        <v>0</v>
      </c>
      <c r="AI17" s="135">
        <f t="shared" si="10"/>
        <v>0</v>
      </c>
    </row>
    <row r="18" spans="1:210" ht="12" hidden="1" x14ac:dyDescent="0.2">
      <c r="A18" s="107"/>
      <c r="B18" s="138"/>
      <c r="C18" s="128"/>
      <c r="D18" s="139">
        <f t="shared" ref="D18:O18" si="15">SUM(D8:D17)</f>
        <v>13280237.424000001</v>
      </c>
      <c r="E18" s="130">
        <f>SUM(E8:E17)</f>
        <v>1153022.2704219881</v>
      </c>
      <c r="F18" s="130">
        <f>SUM(F9:F17)</f>
        <v>0</v>
      </c>
      <c r="G18" s="140">
        <f t="shared" si="15"/>
        <v>12127215.153578013</v>
      </c>
      <c r="H18" s="141">
        <f t="shared" si="15"/>
        <v>0</v>
      </c>
      <c r="I18" s="130">
        <f>SUM(I8:I17)</f>
        <v>0</v>
      </c>
      <c r="J18" s="130">
        <f t="shared" si="15"/>
        <v>0</v>
      </c>
      <c r="K18" s="140">
        <f t="shared" si="15"/>
        <v>12127215.153578013</v>
      </c>
      <c r="L18" s="141">
        <f t="shared" si="15"/>
        <v>0</v>
      </c>
      <c r="M18" s="130">
        <f t="shared" si="15"/>
        <v>0</v>
      </c>
      <c r="N18" s="130">
        <f>SUM(N9:N17)</f>
        <v>0</v>
      </c>
      <c r="O18" s="140">
        <f t="shared" si="15"/>
        <v>12127215.153578013</v>
      </c>
      <c r="P18" s="141">
        <f t="shared" ref="P18:U18" si="16">SUM(P8:P17)</f>
        <v>0</v>
      </c>
      <c r="Q18" s="130">
        <f t="shared" si="16"/>
        <v>0</v>
      </c>
      <c r="R18" s="130">
        <f t="shared" si="16"/>
        <v>0</v>
      </c>
      <c r="S18" s="140">
        <f t="shared" si="16"/>
        <v>12127215.153578013</v>
      </c>
      <c r="T18" s="141">
        <f t="shared" si="16"/>
        <v>0</v>
      </c>
      <c r="U18" s="130">
        <f t="shared" si="16"/>
        <v>0</v>
      </c>
      <c r="V18" s="130">
        <f>SUM(V9:V17)</f>
        <v>0</v>
      </c>
      <c r="W18" s="140">
        <f t="shared" ref="W18:AC18" si="17">SUM(W8:W17)</f>
        <v>12127215.153578013</v>
      </c>
      <c r="X18" s="141">
        <f t="shared" si="17"/>
        <v>0</v>
      </c>
      <c r="Y18" s="130">
        <f t="shared" si="17"/>
        <v>0</v>
      </c>
      <c r="Z18" s="130">
        <f t="shared" si="17"/>
        <v>0</v>
      </c>
      <c r="AA18" s="140">
        <f t="shared" si="17"/>
        <v>12127215.153578013</v>
      </c>
      <c r="AB18" s="141">
        <f t="shared" si="17"/>
        <v>0</v>
      </c>
      <c r="AC18" s="130">
        <f t="shared" si="17"/>
        <v>0</v>
      </c>
      <c r="AD18" s="130">
        <f>SUM(AD9:AD17)</f>
        <v>0</v>
      </c>
      <c r="AE18" s="140">
        <f t="shared" ref="AE18:AG18" si="18">SUM(AE8:AE17)</f>
        <v>12127215.153578013</v>
      </c>
      <c r="AF18" s="141">
        <f t="shared" si="18"/>
        <v>0</v>
      </c>
      <c r="AG18" s="130">
        <f t="shared" si="18"/>
        <v>0</v>
      </c>
      <c r="AH18" s="130">
        <f>SUM(AH9:AH17)</f>
        <v>0</v>
      </c>
      <c r="AI18" s="140">
        <f t="shared" ref="AI18" si="19">SUM(AI8:AI17)</f>
        <v>12127215.153578013</v>
      </c>
    </row>
    <row r="19" spans="1:210" ht="12" x14ac:dyDescent="0.2">
      <c r="A19" s="108"/>
      <c r="C19" s="128"/>
      <c r="D19" s="139"/>
      <c r="E19" s="142"/>
      <c r="F19" s="142"/>
      <c r="G19" s="128"/>
      <c r="H19" s="139"/>
      <c r="I19" s="142"/>
      <c r="J19" s="142"/>
      <c r="K19" s="128"/>
      <c r="L19" s="139"/>
      <c r="M19" s="142"/>
      <c r="N19" s="142"/>
      <c r="O19" s="128"/>
      <c r="P19" s="139"/>
      <c r="Q19" s="142"/>
      <c r="R19" s="142"/>
      <c r="S19" s="128"/>
      <c r="T19" s="139"/>
      <c r="U19" s="142"/>
      <c r="V19" s="142"/>
      <c r="W19" s="128"/>
      <c r="X19" s="139"/>
      <c r="Y19" s="142"/>
      <c r="Z19" s="142"/>
      <c r="AA19" s="128"/>
      <c r="AB19" s="139"/>
      <c r="AC19" s="142"/>
      <c r="AD19" s="142"/>
      <c r="AE19" s="128"/>
      <c r="AF19" s="139"/>
      <c r="AG19" s="142"/>
      <c r="AH19" s="142"/>
      <c r="AI19" s="128"/>
    </row>
    <row r="20" spans="1:210" ht="12" x14ac:dyDescent="0.2">
      <c r="A20" s="107"/>
      <c r="B20" s="109" t="s">
        <v>193</v>
      </c>
      <c r="C20" s="143"/>
      <c r="D20" s="139">
        <f>+'Total Annual Impact'!E4</f>
        <v>20232177</v>
      </c>
      <c r="E20" s="142"/>
      <c r="F20" s="142"/>
      <c r="G20" s="128">
        <f t="shared" ref="G20" si="20">SUM(C20+D20-E20)</f>
        <v>20232177</v>
      </c>
      <c r="H20" s="132">
        <v>0</v>
      </c>
      <c r="I20" s="131">
        <v>0</v>
      </c>
      <c r="J20" s="130"/>
      <c r="K20" s="128">
        <f t="shared" ref="K20" si="21">SUM(G20+H20-I20)</f>
        <v>20232177</v>
      </c>
      <c r="L20" s="129">
        <v>0</v>
      </c>
      <c r="M20" s="131"/>
      <c r="N20" s="131"/>
      <c r="O20" s="128">
        <f t="shared" ref="O20" si="22">SUM(K20+L20-M20)</f>
        <v>20232177</v>
      </c>
      <c r="P20" s="132">
        <v>0</v>
      </c>
      <c r="Q20" s="131"/>
      <c r="R20" s="130"/>
      <c r="S20" s="128">
        <f t="shared" ref="S20" si="23">SUM(O20+P20-Q20)</f>
        <v>20232177</v>
      </c>
      <c r="T20" s="129">
        <v>0</v>
      </c>
      <c r="U20" s="131"/>
      <c r="V20" s="131"/>
      <c r="W20" s="128">
        <f t="shared" ref="W20" si="24">SUM(S20+T20-U20)</f>
        <v>20232177</v>
      </c>
      <c r="X20" s="132"/>
      <c r="Y20" s="131"/>
      <c r="Z20" s="130"/>
      <c r="AA20" s="128">
        <f t="shared" ref="AA20" si="25">SUM(W20+X20-Y20)</f>
        <v>20232177</v>
      </c>
      <c r="AB20" s="129"/>
      <c r="AC20" s="131"/>
      <c r="AD20" s="131"/>
      <c r="AE20" s="128">
        <f t="shared" ref="AE20" si="26">SUM(AA20+AB20-AC20)</f>
        <v>20232177</v>
      </c>
      <c r="AF20" s="129">
        <v>0</v>
      </c>
      <c r="AG20" s="131"/>
      <c r="AH20" s="131"/>
      <c r="AI20" s="128">
        <f t="shared" ref="AI20" si="27">SUM(AE20+AF20-AG20)</f>
        <v>20232177</v>
      </c>
    </row>
    <row r="21" spans="1:210" ht="12" x14ac:dyDescent="0.2">
      <c r="A21" s="107"/>
      <c r="C21" s="144"/>
      <c r="D21" s="145"/>
      <c r="E21" s="146"/>
      <c r="F21" s="146"/>
      <c r="G21" s="144"/>
      <c r="H21" s="145"/>
      <c r="I21" s="146"/>
      <c r="J21" s="146"/>
      <c r="K21" s="144"/>
      <c r="L21" s="145"/>
      <c r="M21" s="146"/>
      <c r="N21" s="146"/>
      <c r="O21" s="144"/>
      <c r="P21" s="145"/>
      <c r="Q21" s="146"/>
      <c r="R21" s="146"/>
      <c r="S21" s="144"/>
      <c r="T21" s="145"/>
      <c r="U21" s="146"/>
      <c r="V21" s="146"/>
      <c r="W21" s="144"/>
      <c r="X21" s="145"/>
      <c r="Y21" s="146"/>
      <c r="Z21" s="146"/>
      <c r="AA21" s="144"/>
      <c r="AB21" s="145"/>
      <c r="AC21" s="146"/>
      <c r="AD21" s="146"/>
      <c r="AE21" s="144"/>
      <c r="AF21" s="145"/>
      <c r="AG21" s="146"/>
      <c r="AH21" s="146"/>
      <c r="AI21" s="144"/>
    </row>
    <row r="22" spans="1:210" ht="12" x14ac:dyDescent="0.2">
      <c r="A22" s="107"/>
      <c r="B22" s="147"/>
      <c r="C22" s="142"/>
      <c r="D22" s="142"/>
      <c r="E22" s="142"/>
      <c r="F22" s="142"/>
      <c r="G22" s="142"/>
      <c r="H22" s="142">
        <f>+H18+H20</f>
        <v>0</v>
      </c>
      <c r="I22" s="142"/>
      <c r="J22" s="142"/>
      <c r="K22" s="142"/>
      <c r="L22" s="142">
        <f>+L18+L20</f>
        <v>0</v>
      </c>
      <c r="M22" s="142"/>
      <c r="N22" s="142"/>
      <c r="O22" s="142"/>
      <c r="P22" s="142">
        <f>+P18+P20</f>
        <v>0</v>
      </c>
      <c r="Q22" s="142"/>
      <c r="R22" s="142"/>
      <c r="S22" s="142">
        <f>+S18+S20</f>
        <v>32359392.153578013</v>
      </c>
      <c r="T22" s="142">
        <f>+T18-T20</f>
        <v>0</v>
      </c>
      <c r="U22" s="142"/>
      <c r="V22" s="142"/>
      <c r="W22" s="142"/>
      <c r="X22" s="142">
        <f>+X18-X20</f>
        <v>0</v>
      </c>
      <c r="Y22" s="142"/>
      <c r="Z22" s="142"/>
      <c r="AA22" s="142"/>
      <c r="AB22" s="142">
        <f>+AB18-AB20</f>
        <v>0</v>
      </c>
      <c r="AC22" s="142"/>
      <c r="AD22" s="142"/>
      <c r="AE22" s="142"/>
      <c r="AF22" s="142">
        <f>+AF18-AF20</f>
        <v>0</v>
      </c>
      <c r="AG22" s="142"/>
      <c r="AH22" s="142"/>
      <c r="AI22" s="142"/>
    </row>
    <row r="23" spans="1:210" ht="12" x14ac:dyDescent="0.2">
      <c r="A23" s="107"/>
      <c r="C23" s="142"/>
      <c r="D23" s="142">
        <f>+D12+D20+D56-E12</f>
        <v>36430065.810578011</v>
      </c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</row>
    <row r="24" spans="1:210" ht="12" x14ac:dyDescent="0.2">
      <c r="A24" s="107"/>
      <c r="C24" s="109"/>
      <c r="F24" s="148"/>
      <c r="G24" s="142"/>
      <c r="H24" s="142"/>
      <c r="I24" s="149"/>
      <c r="J24" s="149"/>
      <c r="K24" s="150"/>
      <c r="L24" s="149"/>
      <c r="M24" s="149"/>
      <c r="N24" s="149"/>
      <c r="P24" s="142"/>
      <c r="Q24" s="149"/>
      <c r="R24" s="149"/>
      <c r="S24" s="150"/>
      <c r="T24" s="149"/>
      <c r="U24" s="149"/>
      <c r="V24" s="149"/>
      <c r="X24" s="142"/>
      <c r="Y24" s="149"/>
      <c r="Z24" s="149"/>
      <c r="AA24" s="150"/>
      <c r="AB24" s="149"/>
      <c r="AC24" s="149"/>
      <c r="AD24" s="149"/>
      <c r="AF24" s="149"/>
      <c r="AG24" s="149"/>
      <c r="AH24" s="149"/>
    </row>
    <row r="25" spans="1:210" ht="12" x14ac:dyDescent="0.2">
      <c r="A25" s="151" t="s">
        <v>138</v>
      </c>
      <c r="C25" s="152" t="s">
        <v>139</v>
      </c>
      <c r="D25" s="153">
        <v>1</v>
      </c>
      <c r="E25" s="153">
        <f>+D25+1</f>
        <v>2</v>
      </c>
      <c r="F25" s="153">
        <f t="shared" ref="F25:BQ25" si="28">+E25+1</f>
        <v>3</v>
      </c>
      <c r="G25" s="153">
        <f t="shared" si="28"/>
        <v>4</v>
      </c>
      <c r="H25" s="153">
        <f t="shared" si="28"/>
        <v>5</v>
      </c>
      <c r="I25" s="153">
        <f t="shared" si="28"/>
        <v>6</v>
      </c>
      <c r="J25" s="153">
        <f t="shared" si="28"/>
        <v>7</v>
      </c>
      <c r="K25" s="153">
        <f t="shared" si="28"/>
        <v>8</v>
      </c>
      <c r="L25" s="153">
        <f t="shared" si="28"/>
        <v>9</v>
      </c>
      <c r="M25" s="153">
        <f t="shared" si="28"/>
        <v>10</v>
      </c>
      <c r="N25" s="153">
        <f t="shared" si="28"/>
        <v>11</v>
      </c>
      <c r="O25" s="153">
        <f t="shared" si="28"/>
        <v>12</v>
      </c>
      <c r="P25" s="153">
        <f t="shared" si="28"/>
        <v>13</v>
      </c>
      <c r="Q25" s="153">
        <f t="shared" si="28"/>
        <v>14</v>
      </c>
      <c r="R25" s="153">
        <f t="shared" si="28"/>
        <v>15</v>
      </c>
      <c r="S25" s="153">
        <f t="shared" si="28"/>
        <v>16</v>
      </c>
      <c r="T25" s="153">
        <f t="shared" si="28"/>
        <v>17</v>
      </c>
      <c r="U25" s="153">
        <f t="shared" si="28"/>
        <v>18</v>
      </c>
      <c r="V25" s="153">
        <f t="shared" si="28"/>
        <v>19</v>
      </c>
      <c r="W25" s="153">
        <f t="shared" si="28"/>
        <v>20</v>
      </c>
      <c r="X25" s="153">
        <f t="shared" si="28"/>
        <v>21</v>
      </c>
      <c r="Y25" s="153">
        <f t="shared" si="28"/>
        <v>22</v>
      </c>
      <c r="Z25" s="153">
        <f t="shared" si="28"/>
        <v>23</v>
      </c>
      <c r="AA25" s="153">
        <f t="shared" si="28"/>
        <v>24</v>
      </c>
      <c r="AB25" s="153">
        <f t="shared" si="28"/>
        <v>25</v>
      </c>
      <c r="AC25" s="153">
        <f t="shared" si="28"/>
        <v>26</v>
      </c>
      <c r="AD25" s="153">
        <f t="shared" si="28"/>
        <v>27</v>
      </c>
      <c r="AE25" s="153">
        <f t="shared" si="28"/>
        <v>28</v>
      </c>
      <c r="AF25" s="153">
        <f t="shared" si="28"/>
        <v>29</v>
      </c>
      <c r="AG25" s="153">
        <f t="shared" si="28"/>
        <v>30</v>
      </c>
      <c r="AH25" s="153">
        <f t="shared" si="28"/>
        <v>31</v>
      </c>
      <c r="AI25" s="153">
        <f t="shared" si="28"/>
        <v>32</v>
      </c>
      <c r="AJ25" s="153">
        <f t="shared" si="28"/>
        <v>33</v>
      </c>
      <c r="AK25" s="153">
        <f t="shared" si="28"/>
        <v>34</v>
      </c>
      <c r="AL25" s="153">
        <f t="shared" si="28"/>
        <v>35</v>
      </c>
      <c r="AM25" s="153">
        <f t="shared" si="28"/>
        <v>36</v>
      </c>
      <c r="AN25" s="153">
        <f t="shared" si="28"/>
        <v>37</v>
      </c>
      <c r="AO25" s="153">
        <f t="shared" si="28"/>
        <v>38</v>
      </c>
      <c r="AP25" s="153">
        <f t="shared" si="28"/>
        <v>39</v>
      </c>
      <c r="AQ25" s="153">
        <f t="shared" si="28"/>
        <v>40</v>
      </c>
      <c r="AR25" s="153">
        <f t="shared" si="28"/>
        <v>41</v>
      </c>
      <c r="AS25" s="153">
        <f t="shared" si="28"/>
        <v>42</v>
      </c>
      <c r="AT25" s="153">
        <f t="shared" si="28"/>
        <v>43</v>
      </c>
      <c r="AU25" s="153">
        <f t="shared" si="28"/>
        <v>44</v>
      </c>
      <c r="AV25" s="153">
        <f t="shared" si="28"/>
        <v>45</v>
      </c>
      <c r="AW25" s="153">
        <f t="shared" si="28"/>
        <v>46</v>
      </c>
      <c r="AX25" s="153">
        <f t="shared" si="28"/>
        <v>47</v>
      </c>
      <c r="AY25" s="153">
        <f t="shared" si="28"/>
        <v>48</v>
      </c>
      <c r="AZ25" s="153">
        <f t="shared" si="28"/>
        <v>49</v>
      </c>
      <c r="BA25" s="153">
        <f t="shared" si="28"/>
        <v>50</v>
      </c>
      <c r="BB25" s="153">
        <f t="shared" si="28"/>
        <v>51</v>
      </c>
      <c r="BC25" s="153">
        <f t="shared" si="28"/>
        <v>52</v>
      </c>
      <c r="BD25" s="153">
        <f t="shared" si="28"/>
        <v>53</v>
      </c>
      <c r="BE25" s="153">
        <f t="shared" si="28"/>
        <v>54</v>
      </c>
      <c r="BF25" s="153">
        <f t="shared" si="28"/>
        <v>55</v>
      </c>
      <c r="BG25" s="153">
        <f t="shared" si="28"/>
        <v>56</v>
      </c>
      <c r="BH25" s="153">
        <f t="shared" si="28"/>
        <v>57</v>
      </c>
      <c r="BI25" s="153">
        <f t="shared" si="28"/>
        <v>58</v>
      </c>
      <c r="BJ25" s="153">
        <f t="shared" si="28"/>
        <v>59</v>
      </c>
      <c r="BK25" s="153">
        <f t="shared" si="28"/>
        <v>60</v>
      </c>
      <c r="BL25" s="153">
        <f t="shared" si="28"/>
        <v>61</v>
      </c>
      <c r="BM25" s="153">
        <f t="shared" si="28"/>
        <v>62</v>
      </c>
      <c r="BN25" s="153">
        <f t="shared" si="28"/>
        <v>63</v>
      </c>
      <c r="BO25" s="153">
        <f t="shared" si="28"/>
        <v>64</v>
      </c>
      <c r="BP25" s="153">
        <f t="shared" si="28"/>
        <v>65</v>
      </c>
      <c r="BQ25" s="153">
        <f t="shared" si="28"/>
        <v>66</v>
      </c>
      <c r="BR25" s="153">
        <f t="shared" ref="BR25:EC25" si="29">+BQ25+1</f>
        <v>67</v>
      </c>
      <c r="BS25" s="153">
        <f t="shared" si="29"/>
        <v>68</v>
      </c>
      <c r="BT25" s="153">
        <f t="shared" si="29"/>
        <v>69</v>
      </c>
      <c r="BU25" s="153">
        <f t="shared" si="29"/>
        <v>70</v>
      </c>
      <c r="BV25" s="153">
        <f t="shared" si="29"/>
        <v>71</v>
      </c>
      <c r="BW25" s="153">
        <f t="shared" si="29"/>
        <v>72</v>
      </c>
      <c r="BX25" s="153">
        <f t="shared" si="29"/>
        <v>73</v>
      </c>
      <c r="BY25" s="153">
        <f t="shared" si="29"/>
        <v>74</v>
      </c>
      <c r="BZ25" s="153">
        <f t="shared" si="29"/>
        <v>75</v>
      </c>
      <c r="CA25" s="153">
        <f t="shared" si="29"/>
        <v>76</v>
      </c>
      <c r="CB25" s="153">
        <f t="shared" si="29"/>
        <v>77</v>
      </c>
      <c r="CC25" s="153">
        <f t="shared" si="29"/>
        <v>78</v>
      </c>
      <c r="CD25" s="153">
        <f t="shared" si="29"/>
        <v>79</v>
      </c>
      <c r="CE25" s="153">
        <f t="shared" si="29"/>
        <v>80</v>
      </c>
      <c r="CF25" s="153">
        <f t="shared" si="29"/>
        <v>81</v>
      </c>
      <c r="CG25" s="153">
        <f t="shared" si="29"/>
        <v>82</v>
      </c>
      <c r="CH25" s="153">
        <f t="shared" si="29"/>
        <v>83</v>
      </c>
      <c r="CI25" s="153">
        <f t="shared" si="29"/>
        <v>84</v>
      </c>
      <c r="CJ25" s="153">
        <f t="shared" si="29"/>
        <v>85</v>
      </c>
      <c r="CK25" s="153">
        <f t="shared" si="29"/>
        <v>86</v>
      </c>
      <c r="CL25" s="153">
        <f t="shared" si="29"/>
        <v>87</v>
      </c>
      <c r="CM25" s="153">
        <f t="shared" si="29"/>
        <v>88</v>
      </c>
      <c r="CN25" s="153">
        <f t="shared" si="29"/>
        <v>89</v>
      </c>
      <c r="CO25" s="153">
        <f t="shared" si="29"/>
        <v>90</v>
      </c>
      <c r="CP25" s="153">
        <f t="shared" si="29"/>
        <v>91</v>
      </c>
      <c r="CQ25" s="153">
        <f t="shared" si="29"/>
        <v>92</v>
      </c>
      <c r="CR25" s="153">
        <f t="shared" si="29"/>
        <v>93</v>
      </c>
      <c r="CS25" s="153">
        <f t="shared" si="29"/>
        <v>94</v>
      </c>
      <c r="CT25" s="153">
        <f t="shared" si="29"/>
        <v>95</v>
      </c>
      <c r="CU25" s="153">
        <f t="shared" si="29"/>
        <v>96</v>
      </c>
      <c r="CV25" s="153">
        <f t="shared" si="29"/>
        <v>97</v>
      </c>
      <c r="CW25" s="153">
        <f t="shared" si="29"/>
        <v>98</v>
      </c>
      <c r="CX25" s="153">
        <f t="shared" si="29"/>
        <v>99</v>
      </c>
      <c r="CY25" s="153">
        <f t="shared" si="29"/>
        <v>100</v>
      </c>
      <c r="CZ25" s="153">
        <f t="shared" si="29"/>
        <v>101</v>
      </c>
      <c r="DA25" s="153">
        <f t="shared" si="29"/>
        <v>102</v>
      </c>
      <c r="DB25" s="153">
        <f t="shared" si="29"/>
        <v>103</v>
      </c>
      <c r="DC25" s="153">
        <f t="shared" si="29"/>
        <v>104</v>
      </c>
      <c r="DD25" s="153">
        <f t="shared" si="29"/>
        <v>105</v>
      </c>
      <c r="DE25" s="153">
        <f t="shared" si="29"/>
        <v>106</v>
      </c>
      <c r="DF25" s="153">
        <f t="shared" si="29"/>
        <v>107</v>
      </c>
      <c r="DG25" s="153">
        <f t="shared" si="29"/>
        <v>108</v>
      </c>
      <c r="DH25" s="153">
        <f t="shared" si="29"/>
        <v>109</v>
      </c>
      <c r="DI25" s="153">
        <f t="shared" si="29"/>
        <v>110</v>
      </c>
      <c r="DJ25" s="153">
        <f t="shared" si="29"/>
        <v>111</v>
      </c>
      <c r="DK25" s="153">
        <f t="shared" si="29"/>
        <v>112</v>
      </c>
      <c r="DL25" s="153">
        <f t="shared" si="29"/>
        <v>113</v>
      </c>
      <c r="DM25" s="153">
        <f t="shared" si="29"/>
        <v>114</v>
      </c>
      <c r="DN25" s="153">
        <f t="shared" si="29"/>
        <v>115</v>
      </c>
      <c r="DO25" s="153">
        <f t="shared" si="29"/>
        <v>116</v>
      </c>
      <c r="DP25" s="153">
        <f t="shared" si="29"/>
        <v>117</v>
      </c>
      <c r="DQ25" s="153">
        <f t="shared" si="29"/>
        <v>118</v>
      </c>
      <c r="DR25" s="153">
        <f t="shared" si="29"/>
        <v>119</v>
      </c>
      <c r="DS25" s="153">
        <f t="shared" si="29"/>
        <v>120</v>
      </c>
      <c r="DT25" s="153">
        <f t="shared" si="29"/>
        <v>121</v>
      </c>
      <c r="DU25" s="153">
        <f t="shared" si="29"/>
        <v>122</v>
      </c>
      <c r="DV25" s="153">
        <f t="shared" si="29"/>
        <v>123</v>
      </c>
      <c r="DW25" s="153">
        <f t="shared" si="29"/>
        <v>124</v>
      </c>
      <c r="DX25" s="153">
        <f t="shared" si="29"/>
        <v>125</v>
      </c>
      <c r="DY25" s="153">
        <f t="shared" si="29"/>
        <v>126</v>
      </c>
      <c r="DZ25" s="153">
        <f t="shared" si="29"/>
        <v>127</v>
      </c>
      <c r="EA25" s="153">
        <f t="shared" si="29"/>
        <v>128</v>
      </c>
      <c r="EB25" s="153">
        <f t="shared" si="29"/>
        <v>129</v>
      </c>
      <c r="EC25" s="153">
        <f t="shared" si="29"/>
        <v>130</v>
      </c>
      <c r="ED25" s="153">
        <f t="shared" ref="ED25:GO25" si="30">+EC25+1</f>
        <v>131</v>
      </c>
      <c r="EE25" s="153">
        <f t="shared" si="30"/>
        <v>132</v>
      </c>
      <c r="EF25" s="153">
        <f t="shared" si="30"/>
        <v>133</v>
      </c>
      <c r="EG25" s="153">
        <f t="shared" si="30"/>
        <v>134</v>
      </c>
      <c r="EH25" s="153">
        <f t="shared" si="30"/>
        <v>135</v>
      </c>
      <c r="EI25" s="153">
        <f t="shared" si="30"/>
        <v>136</v>
      </c>
      <c r="EJ25" s="153">
        <f t="shared" si="30"/>
        <v>137</v>
      </c>
      <c r="EK25" s="153">
        <f t="shared" si="30"/>
        <v>138</v>
      </c>
      <c r="EL25" s="153">
        <f t="shared" si="30"/>
        <v>139</v>
      </c>
      <c r="EM25" s="153">
        <f t="shared" si="30"/>
        <v>140</v>
      </c>
      <c r="EN25" s="153">
        <f t="shared" si="30"/>
        <v>141</v>
      </c>
      <c r="EO25" s="153">
        <f t="shared" si="30"/>
        <v>142</v>
      </c>
      <c r="EP25" s="153">
        <f t="shared" si="30"/>
        <v>143</v>
      </c>
      <c r="EQ25" s="153">
        <f t="shared" si="30"/>
        <v>144</v>
      </c>
      <c r="ER25" s="153">
        <f t="shared" si="30"/>
        <v>145</v>
      </c>
      <c r="ES25" s="153">
        <f t="shared" si="30"/>
        <v>146</v>
      </c>
      <c r="ET25" s="153">
        <f t="shared" si="30"/>
        <v>147</v>
      </c>
      <c r="EU25" s="153">
        <f t="shared" si="30"/>
        <v>148</v>
      </c>
      <c r="EV25" s="153">
        <f t="shared" si="30"/>
        <v>149</v>
      </c>
      <c r="EW25" s="153">
        <f t="shared" si="30"/>
        <v>150</v>
      </c>
      <c r="EX25" s="153">
        <f t="shared" si="30"/>
        <v>151</v>
      </c>
      <c r="EY25" s="153">
        <f t="shared" si="30"/>
        <v>152</v>
      </c>
      <c r="EZ25" s="153">
        <f t="shared" si="30"/>
        <v>153</v>
      </c>
      <c r="FA25" s="153">
        <f t="shared" si="30"/>
        <v>154</v>
      </c>
      <c r="FB25" s="153">
        <f t="shared" si="30"/>
        <v>155</v>
      </c>
      <c r="FC25" s="153">
        <f t="shared" si="30"/>
        <v>156</v>
      </c>
      <c r="FD25" s="153">
        <f t="shared" si="30"/>
        <v>157</v>
      </c>
      <c r="FE25" s="153">
        <f t="shared" si="30"/>
        <v>158</v>
      </c>
      <c r="FF25" s="153">
        <f t="shared" si="30"/>
        <v>159</v>
      </c>
      <c r="FG25" s="153">
        <f t="shared" si="30"/>
        <v>160</v>
      </c>
      <c r="FH25" s="153">
        <f t="shared" si="30"/>
        <v>161</v>
      </c>
      <c r="FI25" s="153">
        <f t="shared" si="30"/>
        <v>162</v>
      </c>
      <c r="FJ25" s="153">
        <f t="shared" si="30"/>
        <v>163</v>
      </c>
      <c r="FK25" s="153">
        <f t="shared" si="30"/>
        <v>164</v>
      </c>
      <c r="FL25" s="153">
        <f t="shared" si="30"/>
        <v>165</v>
      </c>
      <c r="FM25" s="153">
        <f t="shared" si="30"/>
        <v>166</v>
      </c>
      <c r="FN25" s="153">
        <f t="shared" si="30"/>
        <v>167</v>
      </c>
      <c r="FO25" s="153">
        <f t="shared" si="30"/>
        <v>168</v>
      </c>
      <c r="FP25" s="153">
        <f t="shared" si="30"/>
        <v>169</v>
      </c>
      <c r="FQ25" s="153">
        <f t="shared" si="30"/>
        <v>170</v>
      </c>
      <c r="FR25" s="153">
        <f t="shared" si="30"/>
        <v>171</v>
      </c>
      <c r="FS25" s="153">
        <f t="shared" si="30"/>
        <v>172</v>
      </c>
      <c r="FT25" s="153">
        <f t="shared" si="30"/>
        <v>173</v>
      </c>
      <c r="FU25" s="153">
        <f t="shared" si="30"/>
        <v>174</v>
      </c>
      <c r="FV25" s="153">
        <f t="shared" si="30"/>
        <v>175</v>
      </c>
      <c r="FW25" s="153">
        <f t="shared" si="30"/>
        <v>176</v>
      </c>
      <c r="FX25" s="153">
        <f t="shared" si="30"/>
        <v>177</v>
      </c>
      <c r="FY25" s="153">
        <f t="shared" si="30"/>
        <v>178</v>
      </c>
      <c r="FZ25" s="153">
        <f t="shared" si="30"/>
        <v>179</v>
      </c>
      <c r="GA25" s="153">
        <f t="shared" si="30"/>
        <v>180</v>
      </c>
      <c r="GB25" s="153">
        <f t="shared" si="30"/>
        <v>181</v>
      </c>
      <c r="GC25" s="153">
        <f t="shared" si="30"/>
        <v>182</v>
      </c>
      <c r="GD25" s="153">
        <f t="shared" si="30"/>
        <v>183</v>
      </c>
      <c r="GE25" s="153">
        <f t="shared" si="30"/>
        <v>184</v>
      </c>
      <c r="GF25" s="153">
        <f t="shared" si="30"/>
        <v>185</v>
      </c>
      <c r="GG25" s="153">
        <f t="shared" si="30"/>
        <v>186</v>
      </c>
      <c r="GH25" s="153">
        <f t="shared" si="30"/>
        <v>187</v>
      </c>
      <c r="GI25" s="153">
        <f t="shared" si="30"/>
        <v>188</v>
      </c>
      <c r="GJ25" s="153">
        <f t="shared" si="30"/>
        <v>189</v>
      </c>
      <c r="GK25" s="153">
        <f t="shared" si="30"/>
        <v>190</v>
      </c>
      <c r="GL25" s="153">
        <f t="shared" si="30"/>
        <v>191</v>
      </c>
      <c r="GM25" s="153">
        <f t="shared" si="30"/>
        <v>192</v>
      </c>
      <c r="GN25" s="153">
        <f t="shared" si="30"/>
        <v>193</v>
      </c>
      <c r="GO25" s="153">
        <f t="shared" si="30"/>
        <v>194</v>
      </c>
      <c r="GP25" s="153">
        <f t="shared" ref="GP25:HB25" si="31">+GO25+1</f>
        <v>195</v>
      </c>
      <c r="GQ25" s="153">
        <f t="shared" si="31"/>
        <v>196</v>
      </c>
      <c r="GR25" s="153">
        <f t="shared" si="31"/>
        <v>197</v>
      </c>
      <c r="GS25" s="153">
        <f t="shared" si="31"/>
        <v>198</v>
      </c>
      <c r="GT25" s="153">
        <f t="shared" si="31"/>
        <v>199</v>
      </c>
      <c r="GU25" s="153">
        <f t="shared" si="31"/>
        <v>200</v>
      </c>
      <c r="GV25" s="153">
        <f t="shared" si="31"/>
        <v>201</v>
      </c>
      <c r="GW25" s="153">
        <f t="shared" si="31"/>
        <v>202</v>
      </c>
      <c r="GX25" s="153">
        <f t="shared" si="31"/>
        <v>203</v>
      </c>
      <c r="GY25" s="153">
        <f t="shared" si="31"/>
        <v>204</v>
      </c>
      <c r="GZ25" s="153">
        <f t="shared" si="31"/>
        <v>205</v>
      </c>
      <c r="HA25" s="153">
        <f t="shared" si="31"/>
        <v>206</v>
      </c>
      <c r="HB25" s="153">
        <f t="shared" si="31"/>
        <v>207</v>
      </c>
    </row>
    <row r="26" spans="1:210" ht="12" x14ac:dyDescent="0.2">
      <c r="A26" s="107"/>
      <c r="C26" s="154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</row>
    <row r="27" spans="1:210" ht="12" hidden="1" x14ac:dyDescent="0.2">
      <c r="B27" s="108"/>
      <c r="C27" s="156"/>
      <c r="D27" s="129">
        <f>SUM(C9*$C27)+SUM((D9-E9-F9)*$C27*0.5)</f>
        <v>0</v>
      </c>
      <c r="E27" s="129">
        <f>SUM(G9*$C27)+SUM((H9-I9-J9)*$C27*0.5)</f>
        <v>0</v>
      </c>
      <c r="F27" s="157">
        <f t="shared" ref="F27:F33" si="32">SUM(K9*$C27)+SUM((L9-M9-N9)*$C27*0.5)</f>
        <v>0</v>
      </c>
      <c r="G27" s="157">
        <f t="shared" ref="G27:G33" si="33">SUM(L9*$C27)+SUM((M9-N9-O9)*$C27*0.5)</f>
        <v>0</v>
      </c>
      <c r="H27" s="157">
        <f t="shared" ref="H27:H33" si="34">SUM(M9*$C27)+SUM((N9-O9-P9)*$C27*0.5)</f>
        <v>0</v>
      </c>
      <c r="I27" s="157">
        <f t="shared" ref="I27:I33" si="35">SUM(N9*$C27)+SUM((O9-P9-Q9)*$C27*0.5)</f>
        <v>0</v>
      </c>
      <c r="J27" s="157">
        <f t="shared" ref="J27:M33" si="36">SUM(O9*$C27)+SUM((P9-Q9-R9)*$C27*0.5)</f>
        <v>0</v>
      </c>
      <c r="K27" s="157">
        <f t="shared" si="36"/>
        <v>0</v>
      </c>
      <c r="L27" s="157">
        <f t="shared" si="36"/>
        <v>0</v>
      </c>
      <c r="M27" s="157">
        <f t="shared" si="36"/>
        <v>0</v>
      </c>
      <c r="N27" s="157">
        <f t="shared" ref="N27:N29" si="37">SUM(S9*$C27)+SUM((T9-U9-V9)*$C27*0.5)</f>
        <v>0</v>
      </c>
      <c r="O27" s="157">
        <f t="shared" ref="O27:O29" si="38">SUM(T9*$C27)+SUM((U9-V9-W9)*$C27*0.5)</f>
        <v>0</v>
      </c>
      <c r="P27" s="157">
        <f t="shared" ref="P27:P29" si="39">SUM(U9*$C27)+SUM((V9-W9-X9)*$C27*0.5)</f>
        <v>0</v>
      </c>
      <c r="Q27" s="157">
        <f t="shared" ref="Q27:Q29" si="40">SUM(V9*$C27)+SUM((W9-X9-Y9)*$C27*0.5)</f>
        <v>0</v>
      </c>
      <c r="R27" s="157">
        <f t="shared" ref="R27:R29" si="41">SUM(W9*$C27)+SUM((X9-Y9-Z9)*$C27*0.5)</f>
        <v>0</v>
      </c>
      <c r="S27" s="157">
        <f t="shared" ref="S27:S29" si="42">SUM(X9*$C27)+SUM((Y9-Z9-AA9)*$C27*0.5)</f>
        <v>0</v>
      </c>
      <c r="T27" s="157">
        <f t="shared" ref="T27:T29" si="43">SUM(Y9*$C27)+SUM((Z9-AA9-AB9)*$C27*0.5)</f>
        <v>0</v>
      </c>
      <c r="U27" s="157">
        <f t="shared" ref="U27:U29" si="44">SUM(Z9*$C27)+SUM((AA9-AB9-AC9)*$C27*0.5)</f>
        <v>0</v>
      </c>
      <c r="V27" s="157">
        <f t="shared" ref="V27:V29" si="45">SUM(AA9*$C27)+SUM((AB9-AC9-AD9)*$C27*0.5)</f>
        <v>0</v>
      </c>
      <c r="W27" s="157">
        <f t="shared" ref="W27:W29" si="46">SUM(AB9*$C27)+SUM((AC9-AD9-AE9)*$C27*0.5)</f>
        <v>0</v>
      </c>
      <c r="X27" s="157">
        <f t="shared" ref="X27:X29" si="47">SUM(AC9*$C27)+SUM((AD9-AE9-AF9)*$C27*0.5)</f>
        <v>0</v>
      </c>
      <c r="Y27" s="157">
        <f t="shared" ref="Y27:Y29" si="48">SUM(AD9*$C27)+SUM((AE9-AF9-AG9)*$C27*0.5)</f>
        <v>0</v>
      </c>
      <c r="Z27" s="157">
        <f t="shared" ref="Z27:Z29" si="49">SUM(AE9*$C27)+SUM((AF9-AG9-AH9)*$C27*0.5)</f>
        <v>0</v>
      </c>
      <c r="AA27" s="157">
        <f t="shared" ref="AA27:AA29" si="50">SUM(AF9*$C27)+SUM((AG9-AH9-AI9)*$C27*0.5)</f>
        <v>0</v>
      </c>
      <c r="AB27" s="157">
        <f t="shared" ref="AB27:AB29" si="51">SUM(AG9*$C27)+SUM((AH9-AI9-AJ9)*$C27*0.5)</f>
        <v>0</v>
      </c>
      <c r="AC27" s="157">
        <f t="shared" ref="AC27:AC29" si="52">SUM(AH9*$C27)+SUM((AI9-AJ9-AK9)*$C27*0.5)</f>
        <v>0</v>
      </c>
      <c r="AD27" s="157">
        <f t="shared" ref="AD27:AD29" si="53">SUM(AI9*$C27)+SUM((AJ9-AK9-AL9)*$C27*0.5)</f>
        <v>0</v>
      </c>
      <c r="AE27" s="157">
        <f t="shared" ref="AE27:AE29" si="54">SUM(AJ9*$C27)+SUM((AK9-AL9-AM9)*$C27*0.5)</f>
        <v>0</v>
      </c>
      <c r="AF27" s="157">
        <f t="shared" ref="AF27:AF29" si="55">SUM(AK9*$C27)+SUM((AL9-AM9-AN9)*$C27*0.5)</f>
        <v>0</v>
      </c>
      <c r="AG27" s="157">
        <f t="shared" ref="AG27:AG29" si="56">SUM(AL9*$C27)+SUM((AM9-AN9-AO9)*$C27*0.5)</f>
        <v>0</v>
      </c>
      <c r="AH27" s="157">
        <f t="shared" ref="AH27:AH29" si="57">SUM(AM9*$C27)+SUM((AN9-AO9-AP9)*$C27*0.5)</f>
        <v>0</v>
      </c>
      <c r="AI27" s="157">
        <f t="shared" ref="AI27:AI29" si="58">SUM(AN9*$C27)+SUM((AO9-AP9-AQ9)*$C27*0.5)</f>
        <v>0</v>
      </c>
      <c r="AJ27" s="157">
        <f t="shared" ref="AJ27:AJ29" si="59">SUM(AO9*$C27)+SUM((AP9-AQ9-AR9)*$C27*0.5)</f>
        <v>0</v>
      </c>
      <c r="AK27" s="157">
        <f t="shared" ref="AK27:AK29" si="60">SUM(AP9*$C27)+SUM((AQ9-AR9-AS9)*$C27*0.5)</f>
        <v>0</v>
      </c>
      <c r="AL27" s="157">
        <f t="shared" ref="AL27:AL29" si="61">SUM(AQ9*$C27)+SUM((AR9-AS9-AT9)*$C27*0.5)</f>
        <v>0</v>
      </c>
      <c r="AM27" s="157">
        <f t="shared" ref="AM27:AM29" si="62">SUM(AR9*$C27)+SUM((AS9-AT9-AU9)*$C27*0.5)</f>
        <v>0</v>
      </c>
      <c r="AN27" s="157">
        <f t="shared" ref="AN27:AN29" si="63">SUM(AS9*$C27)+SUM((AT9-AU9-AV9)*$C27*0.5)</f>
        <v>0</v>
      </c>
      <c r="AO27" s="157">
        <f t="shared" ref="AO27:AO29" si="64">SUM(AT9*$C27)+SUM((AU9-AV9-AW9)*$C27*0.5)</f>
        <v>0</v>
      </c>
      <c r="AP27" s="157">
        <f t="shared" ref="AP27:AP29" si="65">SUM(AU9*$C27)+SUM((AV9-AW9-AX9)*$C27*0.5)</f>
        <v>0</v>
      </c>
      <c r="AQ27" s="157">
        <f t="shared" ref="AQ27:AQ29" si="66">SUM(AV9*$C27)+SUM((AW9-AX9-AY9)*$C27*0.5)</f>
        <v>0</v>
      </c>
      <c r="AR27" s="155"/>
      <c r="AS27" s="155"/>
      <c r="AT27" s="155"/>
      <c r="AU27" s="157">
        <f t="shared" ref="AU27:AU29" si="67">SUM(AZ9*$C27)+SUM((BA9-BB9-BC9)*$C27*0.5)</f>
        <v>0</v>
      </c>
      <c r="AV27" s="157">
        <f t="shared" ref="AV27:AV29" si="68">SUM(BA9*$C27)+SUM((BB9-BC9-BD9)*$C27*0.5)</f>
        <v>0</v>
      </c>
      <c r="AW27" s="157">
        <f t="shared" ref="AW27:AW29" si="69">SUM(BB9*$C27)+SUM((BC9-BD9-BE9)*$C27*0.5)</f>
        <v>0</v>
      </c>
      <c r="AX27" s="157">
        <f t="shared" ref="AX27:AX29" si="70">SUM(BC9*$C27)+SUM((BD9-BE9-BF9)*$C27*0.5)</f>
        <v>0</v>
      </c>
      <c r="AY27" s="157">
        <f t="shared" ref="AY27:AY29" si="71">SUM(BD9*$C27)+SUM((BE9-BF9-BG9)*$C27*0.5)</f>
        <v>0</v>
      </c>
      <c r="AZ27" s="157">
        <f t="shared" ref="AZ27:AZ29" si="72">SUM(BE9*$C27)+SUM((BF9-BG9-BH9)*$C27*0.5)</f>
        <v>0</v>
      </c>
      <c r="BA27" s="157">
        <f t="shared" ref="BA27:BA29" si="73">SUM(BF9*$C27)+SUM((BG9-BH9-BI9)*$C27*0.5)</f>
        <v>0</v>
      </c>
      <c r="BB27" s="157">
        <f t="shared" ref="BB27:BB29" si="74">SUM(BG9*$C27)+SUM((BH9-BI9-BJ9)*$C27*0.5)</f>
        <v>0</v>
      </c>
      <c r="BC27" s="157">
        <f t="shared" ref="BC27:BC29" si="75">SUM(BH9*$C27)+SUM((BI9-BJ9-BK9)*$C27*0.5)</f>
        <v>0</v>
      </c>
    </row>
    <row r="28" spans="1:210" ht="12" hidden="1" x14ac:dyDescent="0.2">
      <c r="B28" s="108"/>
      <c r="C28" s="156"/>
      <c r="D28" s="129">
        <f>SUM(C10*$C28)+SUM((D10-E10-F10)*$C28*0.5)</f>
        <v>0</v>
      </c>
      <c r="E28" s="129">
        <f>SUM(G10*$C28)+SUM((H10-I10-J10)*$C28*0.5)</f>
        <v>0</v>
      </c>
      <c r="F28" s="157">
        <f t="shared" si="32"/>
        <v>0</v>
      </c>
      <c r="G28" s="157">
        <f t="shared" si="33"/>
        <v>0</v>
      </c>
      <c r="H28" s="157">
        <f t="shared" si="34"/>
        <v>0</v>
      </c>
      <c r="I28" s="157">
        <f t="shared" si="35"/>
        <v>0</v>
      </c>
      <c r="J28" s="157">
        <f t="shared" si="36"/>
        <v>0</v>
      </c>
      <c r="K28" s="157">
        <f t="shared" si="36"/>
        <v>0</v>
      </c>
      <c r="L28" s="157">
        <f t="shared" si="36"/>
        <v>0</v>
      </c>
      <c r="M28" s="157">
        <f t="shared" si="36"/>
        <v>0</v>
      </c>
      <c r="N28" s="157">
        <f t="shared" si="37"/>
        <v>0</v>
      </c>
      <c r="O28" s="157">
        <f t="shared" si="38"/>
        <v>0</v>
      </c>
      <c r="P28" s="157">
        <f t="shared" si="39"/>
        <v>0</v>
      </c>
      <c r="Q28" s="157">
        <f t="shared" si="40"/>
        <v>0</v>
      </c>
      <c r="R28" s="157">
        <f t="shared" si="41"/>
        <v>0</v>
      </c>
      <c r="S28" s="157">
        <f t="shared" si="42"/>
        <v>0</v>
      </c>
      <c r="T28" s="157">
        <f t="shared" si="43"/>
        <v>0</v>
      </c>
      <c r="U28" s="157">
        <f t="shared" si="44"/>
        <v>0</v>
      </c>
      <c r="V28" s="157">
        <f t="shared" si="45"/>
        <v>0</v>
      </c>
      <c r="W28" s="157">
        <f t="shared" si="46"/>
        <v>0</v>
      </c>
      <c r="X28" s="157">
        <f t="shared" si="47"/>
        <v>0</v>
      </c>
      <c r="Y28" s="157">
        <f t="shared" si="48"/>
        <v>0</v>
      </c>
      <c r="Z28" s="157">
        <f t="shared" si="49"/>
        <v>0</v>
      </c>
      <c r="AA28" s="157">
        <f t="shared" si="50"/>
        <v>0</v>
      </c>
      <c r="AB28" s="157">
        <f t="shared" si="51"/>
        <v>0</v>
      </c>
      <c r="AC28" s="157">
        <f t="shared" si="52"/>
        <v>0</v>
      </c>
      <c r="AD28" s="157">
        <f t="shared" si="53"/>
        <v>0</v>
      </c>
      <c r="AE28" s="157">
        <f t="shared" si="54"/>
        <v>0</v>
      </c>
      <c r="AF28" s="157">
        <f t="shared" si="55"/>
        <v>0</v>
      </c>
      <c r="AG28" s="157">
        <f t="shared" si="56"/>
        <v>0</v>
      </c>
      <c r="AH28" s="157">
        <f t="shared" si="57"/>
        <v>0</v>
      </c>
      <c r="AI28" s="157">
        <f t="shared" si="58"/>
        <v>0</v>
      </c>
      <c r="AJ28" s="157">
        <f t="shared" si="59"/>
        <v>0</v>
      </c>
      <c r="AK28" s="157">
        <f t="shared" si="60"/>
        <v>0</v>
      </c>
      <c r="AL28" s="157">
        <f t="shared" si="61"/>
        <v>0</v>
      </c>
      <c r="AM28" s="157">
        <f t="shared" si="62"/>
        <v>0</v>
      </c>
      <c r="AN28" s="157">
        <f t="shared" si="63"/>
        <v>0</v>
      </c>
      <c r="AO28" s="157">
        <f t="shared" si="64"/>
        <v>0</v>
      </c>
      <c r="AP28" s="157">
        <f t="shared" si="65"/>
        <v>0</v>
      </c>
      <c r="AQ28" s="157">
        <f t="shared" si="66"/>
        <v>0</v>
      </c>
      <c r="AR28" s="155"/>
      <c r="AS28" s="155"/>
      <c r="AT28" s="155"/>
      <c r="AU28" s="157">
        <f t="shared" si="67"/>
        <v>0</v>
      </c>
      <c r="AV28" s="157">
        <f t="shared" si="68"/>
        <v>0</v>
      </c>
      <c r="AW28" s="157">
        <f t="shared" si="69"/>
        <v>0</v>
      </c>
      <c r="AX28" s="157">
        <f t="shared" si="70"/>
        <v>0</v>
      </c>
      <c r="AY28" s="157">
        <f t="shared" si="71"/>
        <v>0</v>
      </c>
      <c r="AZ28" s="157">
        <f t="shared" si="72"/>
        <v>0</v>
      </c>
      <c r="BA28" s="157">
        <f t="shared" si="73"/>
        <v>0</v>
      </c>
      <c r="BB28" s="157">
        <f t="shared" si="74"/>
        <v>0</v>
      </c>
      <c r="BC28" s="157">
        <f t="shared" si="75"/>
        <v>0</v>
      </c>
    </row>
    <row r="29" spans="1:210" ht="12" hidden="1" x14ac:dyDescent="0.2">
      <c r="B29" s="108"/>
      <c r="C29" s="156"/>
      <c r="D29" s="129">
        <f>SUM(C11*$C29)+SUM((D11-E11-F11)*$C29*0.5)</f>
        <v>0</v>
      </c>
      <c r="E29" s="129">
        <f>SUM(G11*$C29)+SUM((H11-I11-J11)*$C29*0.5)</f>
        <v>0</v>
      </c>
      <c r="F29" s="157">
        <f t="shared" si="32"/>
        <v>0</v>
      </c>
      <c r="G29" s="157">
        <f t="shared" si="33"/>
        <v>0</v>
      </c>
      <c r="H29" s="157">
        <f t="shared" si="34"/>
        <v>0</v>
      </c>
      <c r="I29" s="157">
        <f t="shared" si="35"/>
        <v>0</v>
      </c>
      <c r="J29" s="157">
        <f t="shared" si="36"/>
        <v>0</v>
      </c>
      <c r="K29" s="157">
        <f t="shared" si="36"/>
        <v>0</v>
      </c>
      <c r="L29" s="157">
        <f t="shared" si="36"/>
        <v>0</v>
      </c>
      <c r="M29" s="157">
        <f t="shared" si="36"/>
        <v>0</v>
      </c>
      <c r="N29" s="157">
        <f t="shared" si="37"/>
        <v>0</v>
      </c>
      <c r="O29" s="157">
        <f t="shared" si="38"/>
        <v>0</v>
      </c>
      <c r="P29" s="157">
        <f t="shared" si="39"/>
        <v>0</v>
      </c>
      <c r="Q29" s="157">
        <f t="shared" si="40"/>
        <v>0</v>
      </c>
      <c r="R29" s="157">
        <f t="shared" si="41"/>
        <v>0</v>
      </c>
      <c r="S29" s="157">
        <f t="shared" si="42"/>
        <v>0</v>
      </c>
      <c r="T29" s="157">
        <f t="shared" si="43"/>
        <v>0</v>
      </c>
      <c r="U29" s="157">
        <f t="shared" si="44"/>
        <v>0</v>
      </c>
      <c r="V29" s="157">
        <f t="shared" si="45"/>
        <v>0</v>
      </c>
      <c r="W29" s="157">
        <f t="shared" si="46"/>
        <v>0</v>
      </c>
      <c r="X29" s="157">
        <f t="shared" si="47"/>
        <v>0</v>
      </c>
      <c r="Y29" s="157">
        <f t="shared" si="48"/>
        <v>0</v>
      </c>
      <c r="Z29" s="157">
        <f t="shared" si="49"/>
        <v>0</v>
      </c>
      <c r="AA29" s="157">
        <f t="shared" si="50"/>
        <v>0</v>
      </c>
      <c r="AB29" s="157">
        <f t="shared" si="51"/>
        <v>0</v>
      </c>
      <c r="AC29" s="157">
        <f t="shared" si="52"/>
        <v>0</v>
      </c>
      <c r="AD29" s="157">
        <f t="shared" si="53"/>
        <v>0</v>
      </c>
      <c r="AE29" s="157">
        <f t="shared" si="54"/>
        <v>0</v>
      </c>
      <c r="AF29" s="157">
        <f t="shared" si="55"/>
        <v>0</v>
      </c>
      <c r="AG29" s="157">
        <f t="shared" si="56"/>
        <v>0</v>
      </c>
      <c r="AH29" s="157">
        <f t="shared" si="57"/>
        <v>0</v>
      </c>
      <c r="AI29" s="157">
        <f t="shared" si="58"/>
        <v>0</v>
      </c>
      <c r="AJ29" s="157">
        <f t="shared" si="59"/>
        <v>0</v>
      </c>
      <c r="AK29" s="157">
        <f t="shared" si="60"/>
        <v>0</v>
      </c>
      <c r="AL29" s="157">
        <f t="shared" si="61"/>
        <v>0</v>
      </c>
      <c r="AM29" s="157">
        <f t="shared" si="62"/>
        <v>0</v>
      </c>
      <c r="AN29" s="157">
        <f t="shared" si="63"/>
        <v>0</v>
      </c>
      <c r="AO29" s="157">
        <f t="shared" si="64"/>
        <v>0</v>
      </c>
      <c r="AP29" s="157">
        <f t="shared" si="65"/>
        <v>0</v>
      </c>
      <c r="AQ29" s="157">
        <f t="shared" si="66"/>
        <v>0</v>
      </c>
      <c r="AR29" s="155"/>
      <c r="AS29" s="155"/>
      <c r="AT29" s="155"/>
      <c r="AU29" s="157">
        <f t="shared" si="67"/>
        <v>0</v>
      </c>
      <c r="AV29" s="157">
        <f t="shared" si="68"/>
        <v>0</v>
      </c>
      <c r="AW29" s="157">
        <f t="shared" si="69"/>
        <v>0</v>
      </c>
      <c r="AX29" s="157">
        <f t="shared" si="70"/>
        <v>0</v>
      </c>
      <c r="AY29" s="157">
        <f t="shared" si="71"/>
        <v>0</v>
      </c>
      <c r="AZ29" s="157">
        <f t="shared" si="72"/>
        <v>0</v>
      </c>
      <c r="BA29" s="157">
        <f t="shared" si="73"/>
        <v>0</v>
      </c>
      <c r="BB29" s="157">
        <f t="shared" si="74"/>
        <v>0</v>
      </c>
      <c r="BC29" s="157">
        <f t="shared" si="75"/>
        <v>0</v>
      </c>
    </row>
    <row r="30" spans="1:210" ht="12" x14ac:dyDescent="0.2">
      <c r="B30" s="108" t="str">
        <f>B12</f>
        <v>Distribution Plant</v>
      </c>
      <c r="C30" s="156">
        <f>+F75</f>
        <v>3.764123996665291E-2</v>
      </c>
      <c r="D30" s="129">
        <f>SUM(C$12*$C30)+SUM((D$12-E$12-F$12)*$C30)</f>
        <v>456483.4157230595</v>
      </c>
      <c r="E30" s="129">
        <f>SUM(G$12*$C30)+SUM((H$12-I$12-J$12)*$C30*0.5)</f>
        <v>456483.4157230595</v>
      </c>
      <c r="F30" s="157">
        <f>SUM(K$12*$C30)+SUM((L$12-M$12-N$12)*$C30)</f>
        <v>456483.4157230595</v>
      </c>
      <c r="G30" s="157">
        <f>SUM(O$12*$C30)+SUM((P$12-Q$12-R$12)*$C30)</f>
        <v>456483.4157230595</v>
      </c>
      <c r="H30" s="157">
        <f>SUM(S$12*$C30)+SUM((T$12-U$12-V$12)*$C30*0.5)</f>
        <v>456483.4157230595</v>
      </c>
      <c r="I30" s="157">
        <f>SUM(W$12*$C30)+SUM((X$12-Y$12-Z$12)*$C30*0.5)</f>
        <v>456483.4157230595</v>
      </c>
      <c r="J30" s="157">
        <f>SUM(AA$12*$C30)+SUM((AB$12-AC$12-AD$12)*$C30*0.5)</f>
        <v>456483.4157230595</v>
      </c>
      <c r="K30" s="157">
        <f>SUM(AE$12*$C30)+SUM((AF$12-AG$12-AH$12)*$C30*0.5)</f>
        <v>456483.4157230595</v>
      </c>
      <c r="L30" s="157">
        <f>SUM($AI$12*$C30)</f>
        <v>456483.4157230595</v>
      </c>
      <c r="M30" s="157">
        <f>SUM($AI$12*$C30)</f>
        <v>456483.4157230595</v>
      </c>
      <c r="N30" s="157">
        <f t="shared" ref="N30:AL30" si="76">SUM($AI$12*$C30)</f>
        <v>456483.4157230595</v>
      </c>
      <c r="O30" s="157">
        <f t="shared" si="76"/>
        <v>456483.4157230595</v>
      </c>
      <c r="P30" s="157">
        <f t="shared" si="76"/>
        <v>456483.4157230595</v>
      </c>
      <c r="Q30" s="157">
        <f t="shared" si="76"/>
        <v>456483.4157230595</v>
      </c>
      <c r="R30" s="157">
        <f t="shared" si="76"/>
        <v>456483.4157230595</v>
      </c>
      <c r="S30" s="157">
        <f t="shared" si="76"/>
        <v>456483.4157230595</v>
      </c>
      <c r="T30" s="157">
        <f t="shared" si="76"/>
        <v>456483.4157230595</v>
      </c>
      <c r="U30" s="157">
        <f t="shared" si="76"/>
        <v>456483.4157230595</v>
      </c>
      <c r="V30" s="157">
        <f t="shared" si="76"/>
        <v>456483.4157230595</v>
      </c>
      <c r="W30" s="157">
        <f t="shared" si="76"/>
        <v>456483.4157230595</v>
      </c>
      <c r="X30" s="157">
        <f t="shared" si="76"/>
        <v>456483.4157230595</v>
      </c>
      <c r="Y30" s="157">
        <f t="shared" si="76"/>
        <v>456483.4157230595</v>
      </c>
      <c r="Z30" s="157">
        <f t="shared" si="76"/>
        <v>456483.4157230595</v>
      </c>
      <c r="AA30" s="157">
        <f t="shared" si="76"/>
        <v>456483.4157230595</v>
      </c>
      <c r="AB30" s="157">
        <f t="shared" si="76"/>
        <v>456483.4157230595</v>
      </c>
      <c r="AC30" s="157">
        <f t="shared" si="76"/>
        <v>456483.4157230595</v>
      </c>
      <c r="AD30" s="157">
        <f t="shared" si="76"/>
        <v>456483.4157230595</v>
      </c>
      <c r="AE30" s="157">
        <f t="shared" si="76"/>
        <v>456483.4157230595</v>
      </c>
      <c r="AF30" s="157">
        <f t="shared" si="76"/>
        <v>456483.4157230595</v>
      </c>
      <c r="AG30" s="157">
        <f t="shared" si="76"/>
        <v>456483.4157230595</v>
      </c>
      <c r="AH30" s="157">
        <f t="shared" si="76"/>
        <v>456483.4157230595</v>
      </c>
      <c r="AI30" s="157">
        <f t="shared" si="76"/>
        <v>456483.4157230595</v>
      </c>
      <c r="AJ30" s="157">
        <f t="shared" si="76"/>
        <v>456483.4157230595</v>
      </c>
      <c r="AK30" s="157">
        <f t="shared" si="76"/>
        <v>456483.4157230595</v>
      </c>
      <c r="AL30" s="157">
        <f t="shared" si="76"/>
        <v>456483.4157230595</v>
      </c>
      <c r="AM30" s="157">
        <v>220969</v>
      </c>
      <c r="AN30" s="157">
        <v>0</v>
      </c>
      <c r="AO30" s="157">
        <v>0</v>
      </c>
      <c r="AP30" s="157">
        <v>0</v>
      </c>
      <c r="AQ30" s="157"/>
      <c r="AR30" s="157"/>
      <c r="AS30" s="155"/>
      <c r="AT30" s="155"/>
      <c r="AU30" s="157"/>
      <c r="AV30" s="157"/>
      <c r="AW30" s="157"/>
      <c r="AX30" s="157"/>
      <c r="AY30" s="157"/>
      <c r="AZ30" s="157"/>
      <c r="BA30" s="157"/>
      <c r="BB30" s="157"/>
      <c r="BC30" s="157"/>
    </row>
    <row r="31" spans="1:210" ht="12" hidden="1" x14ac:dyDescent="0.2">
      <c r="B31" s="108"/>
      <c r="C31" s="156"/>
      <c r="D31" s="129">
        <f>SUM(C13*$C31)+SUM((D13-E13-F13)*$C31*0.5)</f>
        <v>0</v>
      </c>
      <c r="E31" s="129">
        <f>SUM(G13*$C31)+SUM((H13-I13-J13)*$C31*0.5)</f>
        <v>0</v>
      </c>
      <c r="F31" s="157">
        <f t="shared" si="32"/>
        <v>0</v>
      </c>
      <c r="G31" s="157">
        <f t="shared" si="33"/>
        <v>0</v>
      </c>
      <c r="H31" s="157">
        <f t="shared" si="34"/>
        <v>0</v>
      </c>
      <c r="I31" s="157">
        <f t="shared" si="35"/>
        <v>0</v>
      </c>
      <c r="J31" s="157">
        <f t="shared" si="36"/>
        <v>0</v>
      </c>
      <c r="K31" s="157">
        <f t="shared" si="36"/>
        <v>0</v>
      </c>
      <c r="L31" s="157">
        <f t="shared" si="36"/>
        <v>0</v>
      </c>
      <c r="M31" s="157">
        <f t="shared" si="36"/>
        <v>0</v>
      </c>
      <c r="N31" s="157">
        <f t="shared" ref="N31:N33" si="77">SUM(S13*$C31)+SUM((T13-U13-V13)*$C31*0.5)</f>
        <v>0</v>
      </c>
      <c r="O31" s="157">
        <f t="shared" ref="O31:O33" si="78">SUM(T13*$C31)+SUM((U13-V13-W13)*$C31*0.5)</f>
        <v>0</v>
      </c>
      <c r="P31" s="157">
        <f t="shared" ref="P31:P33" si="79">SUM(U13*$C31)+SUM((V13-W13-X13)*$C31*0.5)</f>
        <v>0</v>
      </c>
      <c r="Q31" s="157">
        <f t="shared" ref="Q31:Q33" si="80">SUM(V13*$C31)+SUM((W13-X13-Y13)*$C31*0.5)</f>
        <v>0</v>
      </c>
      <c r="R31" s="157">
        <f t="shared" ref="R31:R33" si="81">SUM(W13*$C31)+SUM((X13-Y13-Z13)*$C31*0.5)</f>
        <v>0</v>
      </c>
      <c r="S31" s="157">
        <f t="shared" ref="S31:S33" si="82">SUM(X13*$C31)+SUM((Y13-Z13-AA13)*$C31*0.5)</f>
        <v>0</v>
      </c>
      <c r="T31" s="157">
        <f t="shared" ref="T31:T33" si="83">SUM(Y13*$C31)+SUM((Z13-AA13-AB13)*$C31*0.5)</f>
        <v>0</v>
      </c>
      <c r="U31" s="157">
        <f t="shared" ref="U31:U33" si="84">SUM(Z13*$C31)+SUM((AA13-AB13-AC13)*$C31*0.5)</f>
        <v>0</v>
      </c>
      <c r="V31" s="157">
        <f t="shared" ref="V31:V33" si="85">SUM(AA13*$C31)+SUM((AB13-AC13-AD13)*$C31*0.5)</f>
        <v>0</v>
      </c>
      <c r="W31" s="157">
        <f t="shared" ref="W31:W33" si="86">SUM(AB13*$C31)+SUM((AC13-AD13-AE13)*$C31*0.5)</f>
        <v>0</v>
      </c>
      <c r="X31" s="157">
        <f t="shared" ref="X31:X33" si="87">SUM(AC13*$C31)+SUM((AD13-AE13-AF13)*$C31*0.5)</f>
        <v>0</v>
      </c>
      <c r="Y31" s="157">
        <f t="shared" ref="Y31:Y33" si="88">SUM(AD13*$C31)+SUM((AE13-AF13-AG13)*$C31*0.5)</f>
        <v>0</v>
      </c>
      <c r="Z31" s="157">
        <f t="shared" ref="Z31:Z33" si="89">SUM(AE13*$C31)+SUM((AF13-AG13-AH13)*$C31*0.5)</f>
        <v>0</v>
      </c>
      <c r="AA31" s="157">
        <f t="shared" ref="AA31:AA33" si="90">SUM(AF13*$C31)+SUM((AG13-AH13-AI13)*$C31*0.5)</f>
        <v>0</v>
      </c>
      <c r="AB31" s="157">
        <f t="shared" ref="AB31:AB33" si="91">SUM(AG13*$C31)+SUM((AH13-AI13-AJ13)*$C31*0.5)</f>
        <v>0</v>
      </c>
      <c r="AC31" s="157">
        <f t="shared" ref="AC31:AC33" si="92">SUM(AH13*$C31)+SUM((AI13-AJ13-AK13)*$C31*0.5)</f>
        <v>0</v>
      </c>
      <c r="AD31" s="157">
        <f t="shared" ref="AD31:AD33" si="93">SUM(AI13*$C31)+SUM((AJ13-AK13-AL13)*$C31*0.5)</f>
        <v>0</v>
      </c>
      <c r="AE31" s="157">
        <f t="shared" ref="AE31:AE33" si="94">SUM(AJ13*$C31)+SUM((AK13-AL13-AM13)*$C31*0.5)</f>
        <v>0</v>
      </c>
      <c r="AF31" s="157">
        <f t="shared" ref="AF31:AF33" si="95">SUM(AK13*$C31)+SUM((AL13-AM13-AN13)*$C31*0.5)</f>
        <v>0</v>
      </c>
      <c r="AG31" s="157">
        <f t="shared" ref="AG31:AG33" si="96">SUM(AL13*$C31)+SUM((AM13-AN13-AO13)*$C31*0.5)</f>
        <v>0</v>
      </c>
      <c r="AH31" s="157">
        <f t="shared" ref="AH31:AH33" si="97">SUM(AM13*$C31)+SUM((AN13-AO13-AP13)*$C31*0.5)</f>
        <v>0</v>
      </c>
      <c r="AI31" s="157">
        <f t="shared" ref="AI31:AI33" si="98">SUM(AN13*$C31)+SUM((AO13-AP13-AQ13)*$C31*0.5)</f>
        <v>0</v>
      </c>
      <c r="AJ31" s="157">
        <f t="shared" ref="AJ31:AJ33" si="99">SUM(AO13*$C31)+SUM((AP13-AQ13-AR13)*$C31*0.5)</f>
        <v>0</v>
      </c>
      <c r="AK31" s="157">
        <f t="shared" ref="AK31:AK33" si="100">SUM(AP13*$C31)+SUM((AQ13-AR13-AS13)*$C31*0.5)</f>
        <v>0</v>
      </c>
      <c r="AL31" s="157">
        <f t="shared" ref="AL31:AL33" si="101">SUM(AQ13*$C31)+SUM((AR13-AS13-AT13)*$C31*0.5)</f>
        <v>0</v>
      </c>
      <c r="AM31" s="157">
        <f t="shared" ref="AM31:AM33" si="102">SUM(AR13*$C31)+SUM((AS13-AT13-AU13)*$C31*0.5)</f>
        <v>0</v>
      </c>
      <c r="AN31" s="157">
        <f t="shared" ref="AN31:AN33" si="103">SUM(AS13*$C31)+SUM((AT13-AU13-AV13)*$C31*0.5)</f>
        <v>0</v>
      </c>
      <c r="AO31" s="157">
        <f t="shared" ref="AO31:AO33" si="104">SUM(AT13*$C31)+SUM((AU13-AV13-AW13)*$C31*0.5)</f>
        <v>0</v>
      </c>
      <c r="AP31" s="157">
        <f t="shared" ref="AP31:AP33" si="105">SUM(AU13*$C31)+SUM((AV13-AW13-AX13)*$C31*0.5)</f>
        <v>0</v>
      </c>
      <c r="AQ31" s="157">
        <f t="shared" ref="AQ31:AR33" si="106">SUM(AV13*$C31)+SUM((AW13-AX13-AY13)*$C31*0.5)</f>
        <v>0</v>
      </c>
      <c r="AR31" s="157">
        <f t="shared" si="106"/>
        <v>0</v>
      </c>
      <c r="AS31" s="155"/>
      <c r="AT31" s="155"/>
      <c r="AU31" s="157"/>
      <c r="AV31" s="157"/>
      <c r="AW31" s="157"/>
      <c r="AX31" s="157"/>
      <c r="AY31" s="157"/>
      <c r="AZ31" s="157"/>
      <c r="BA31" s="157"/>
      <c r="BB31" s="157"/>
      <c r="BC31" s="157"/>
    </row>
    <row r="32" spans="1:210" ht="12" hidden="1" x14ac:dyDescent="0.2">
      <c r="B32" s="108"/>
      <c r="C32" s="156"/>
      <c r="D32" s="129">
        <f>(SUM(C14*$C32)+SUM((D14-E14-F14)*$C32*0.5))</f>
        <v>0</v>
      </c>
      <c r="E32" s="129">
        <f>(SUM(G14*$C32)+SUM((H14-I14-J14)*$C32*0.5))</f>
        <v>0</v>
      </c>
      <c r="F32" s="157">
        <f t="shared" si="32"/>
        <v>0</v>
      </c>
      <c r="G32" s="157">
        <f t="shared" si="33"/>
        <v>0</v>
      </c>
      <c r="H32" s="157">
        <f t="shared" si="34"/>
        <v>0</v>
      </c>
      <c r="I32" s="157">
        <f t="shared" si="35"/>
        <v>0</v>
      </c>
      <c r="J32" s="157">
        <f t="shared" si="36"/>
        <v>0</v>
      </c>
      <c r="K32" s="157">
        <f t="shared" si="36"/>
        <v>0</v>
      </c>
      <c r="L32" s="157">
        <f t="shared" si="36"/>
        <v>0</v>
      </c>
      <c r="M32" s="157">
        <f t="shared" si="36"/>
        <v>0</v>
      </c>
      <c r="N32" s="157">
        <f t="shared" si="77"/>
        <v>0</v>
      </c>
      <c r="O32" s="157">
        <f t="shared" si="78"/>
        <v>0</v>
      </c>
      <c r="P32" s="157">
        <f t="shared" si="79"/>
        <v>0</v>
      </c>
      <c r="Q32" s="157">
        <f t="shared" si="80"/>
        <v>0</v>
      </c>
      <c r="R32" s="157">
        <f t="shared" si="81"/>
        <v>0</v>
      </c>
      <c r="S32" s="157">
        <f t="shared" si="82"/>
        <v>0</v>
      </c>
      <c r="T32" s="157">
        <f t="shared" si="83"/>
        <v>0</v>
      </c>
      <c r="U32" s="157">
        <f t="shared" si="84"/>
        <v>0</v>
      </c>
      <c r="V32" s="157">
        <f t="shared" si="85"/>
        <v>0</v>
      </c>
      <c r="W32" s="157">
        <f t="shared" si="86"/>
        <v>0</v>
      </c>
      <c r="X32" s="157">
        <f t="shared" si="87"/>
        <v>0</v>
      </c>
      <c r="Y32" s="157">
        <f t="shared" si="88"/>
        <v>0</v>
      </c>
      <c r="Z32" s="157">
        <f t="shared" si="89"/>
        <v>0</v>
      </c>
      <c r="AA32" s="157">
        <f t="shared" si="90"/>
        <v>0</v>
      </c>
      <c r="AB32" s="157">
        <f t="shared" si="91"/>
        <v>0</v>
      </c>
      <c r="AC32" s="157">
        <f t="shared" si="92"/>
        <v>0</v>
      </c>
      <c r="AD32" s="157">
        <f t="shared" si="93"/>
        <v>0</v>
      </c>
      <c r="AE32" s="157">
        <f t="shared" si="94"/>
        <v>0</v>
      </c>
      <c r="AF32" s="157">
        <f t="shared" si="95"/>
        <v>0</v>
      </c>
      <c r="AG32" s="157">
        <f t="shared" si="96"/>
        <v>0</v>
      </c>
      <c r="AH32" s="157">
        <f t="shared" si="97"/>
        <v>0</v>
      </c>
      <c r="AI32" s="157">
        <f t="shared" si="98"/>
        <v>0</v>
      </c>
      <c r="AJ32" s="157">
        <f t="shared" si="99"/>
        <v>0</v>
      </c>
      <c r="AK32" s="157">
        <f t="shared" si="100"/>
        <v>0</v>
      </c>
      <c r="AL32" s="157">
        <f t="shared" si="101"/>
        <v>0</v>
      </c>
      <c r="AM32" s="157">
        <f t="shared" si="102"/>
        <v>0</v>
      </c>
      <c r="AN32" s="157">
        <f t="shared" si="103"/>
        <v>0</v>
      </c>
      <c r="AO32" s="157">
        <f t="shared" si="104"/>
        <v>0</v>
      </c>
      <c r="AP32" s="157">
        <f t="shared" si="105"/>
        <v>0</v>
      </c>
      <c r="AQ32" s="157">
        <f t="shared" si="106"/>
        <v>0</v>
      </c>
      <c r="AR32" s="157">
        <f t="shared" si="106"/>
        <v>0</v>
      </c>
      <c r="AS32" s="155"/>
      <c r="AT32" s="155"/>
      <c r="AU32" s="157"/>
      <c r="AV32" s="157"/>
      <c r="AW32" s="157"/>
      <c r="AX32" s="157"/>
      <c r="AY32" s="157"/>
      <c r="AZ32" s="157"/>
      <c r="BA32" s="157"/>
      <c r="BB32" s="157"/>
      <c r="BC32" s="157"/>
    </row>
    <row r="33" spans="1:55" ht="12" hidden="1" x14ac:dyDescent="0.2">
      <c r="B33" s="108"/>
      <c r="C33" s="156"/>
      <c r="D33" s="129">
        <f>SUM(C15*$C33)+SUM((D15-E15-F15)*$C33*0.5)</f>
        <v>0</v>
      </c>
      <c r="E33" s="129">
        <f>SUM(G15*$C33)+SUM((H15-I15-J15)*$C33*0.5)</f>
        <v>0</v>
      </c>
      <c r="F33" s="157">
        <f t="shared" si="32"/>
        <v>0</v>
      </c>
      <c r="G33" s="157">
        <f t="shared" si="33"/>
        <v>0</v>
      </c>
      <c r="H33" s="157">
        <f t="shared" si="34"/>
        <v>0</v>
      </c>
      <c r="I33" s="157">
        <f t="shared" si="35"/>
        <v>0</v>
      </c>
      <c r="J33" s="157">
        <f t="shared" si="36"/>
        <v>0</v>
      </c>
      <c r="K33" s="157">
        <f t="shared" si="36"/>
        <v>0</v>
      </c>
      <c r="L33" s="157">
        <f t="shared" si="36"/>
        <v>0</v>
      </c>
      <c r="M33" s="157">
        <f t="shared" si="36"/>
        <v>0</v>
      </c>
      <c r="N33" s="157">
        <f t="shared" si="77"/>
        <v>0</v>
      </c>
      <c r="O33" s="157">
        <f t="shared" si="78"/>
        <v>0</v>
      </c>
      <c r="P33" s="157">
        <f t="shared" si="79"/>
        <v>0</v>
      </c>
      <c r="Q33" s="157">
        <f t="shared" si="80"/>
        <v>0</v>
      </c>
      <c r="R33" s="157">
        <f t="shared" si="81"/>
        <v>0</v>
      </c>
      <c r="S33" s="157">
        <f t="shared" si="82"/>
        <v>0</v>
      </c>
      <c r="T33" s="157">
        <f t="shared" si="83"/>
        <v>0</v>
      </c>
      <c r="U33" s="157">
        <f t="shared" si="84"/>
        <v>0</v>
      </c>
      <c r="V33" s="157">
        <f t="shared" si="85"/>
        <v>0</v>
      </c>
      <c r="W33" s="157">
        <f t="shared" si="86"/>
        <v>0</v>
      </c>
      <c r="X33" s="157">
        <f t="shared" si="87"/>
        <v>0</v>
      </c>
      <c r="Y33" s="157">
        <f t="shared" si="88"/>
        <v>0</v>
      </c>
      <c r="Z33" s="157">
        <f t="shared" si="89"/>
        <v>0</v>
      </c>
      <c r="AA33" s="157">
        <f t="shared" si="90"/>
        <v>0</v>
      </c>
      <c r="AB33" s="157">
        <f t="shared" si="91"/>
        <v>0</v>
      </c>
      <c r="AC33" s="157">
        <f t="shared" si="92"/>
        <v>0</v>
      </c>
      <c r="AD33" s="157">
        <f t="shared" si="93"/>
        <v>0</v>
      </c>
      <c r="AE33" s="157">
        <f t="shared" si="94"/>
        <v>0</v>
      </c>
      <c r="AF33" s="157">
        <f t="shared" si="95"/>
        <v>0</v>
      </c>
      <c r="AG33" s="157">
        <f t="shared" si="96"/>
        <v>0</v>
      </c>
      <c r="AH33" s="157">
        <f t="shared" si="97"/>
        <v>0</v>
      </c>
      <c r="AI33" s="157">
        <f t="shared" si="98"/>
        <v>0</v>
      </c>
      <c r="AJ33" s="157">
        <f t="shared" si="99"/>
        <v>0</v>
      </c>
      <c r="AK33" s="157">
        <f t="shared" si="100"/>
        <v>0</v>
      </c>
      <c r="AL33" s="157">
        <f t="shared" si="101"/>
        <v>0</v>
      </c>
      <c r="AM33" s="157">
        <f t="shared" si="102"/>
        <v>0</v>
      </c>
      <c r="AN33" s="157">
        <f t="shared" si="103"/>
        <v>0</v>
      </c>
      <c r="AO33" s="157">
        <f t="shared" si="104"/>
        <v>0</v>
      </c>
      <c r="AP33" s="157">
        <f t="shared" si="105"/>
        <v>0</v>
      </c>
      <c r="AQ33" s="157">
        <f t="shared" si="106"/>
        <v>0</v>
      </c>
      <c r="AR33" s="157">
        <f t="shared" si="106"/>
        <v>0</v>
      </c>
      <c r="AS33" s="155"/>
      <c r="AT33" s="155"/>
      <c r="AU33" s="157"/>
      <c r="AV33" s="157"/>
      <c r="AW33" s="157"/>
      <c r="AX33" s="157"/>
      <c r="AY33" s="157"/>
      <c r="AZ33" s="157"/>
      <c r="BA33" s="157"/>
      <c r="BB33" s="157"/>
      <c r="BC33" s="157"/>
    </row>
    <row r="34" spans="1:55" ht="12" hidden="1" x14ac:dyDescent="0.2">
      <c r="B34" s="108"/>
      <c r="C34" s="156"/>
      <c r="D34" s="129">
        <f>SUM(C16*$C34)+SUM((D16-E16-F16)*$C34*0.5)</f>
        <v>0</v>
      </c>
      <c r="E34" s="129">
        <f>SUM(G16-F16)*$C34+SUM((H16+F16-I16-J16)*$C34*0.5)</f>
        <v>0</v>
      </c>
      <c r="F34" s="157">
        <f>SUM(K16-J16)*$C34+SUM((L16-M16-N16+J16)*$C34*0.5)</f>
        <v>0</v>
      </c>
      <c r="G34" s="157">
        <f t="shared" ref="G34:M34" si="107">SUM(L16-K16)*$C34+SUM((M16-N16-O16+K16)*$C34*0.5)</f>
        <v>0</v>
      </c>
      <c r="H34" s="157">
        <f t="shared" si="107"/>
        <v>0</v>
      </c>
      <c r="I34" s="157">
        <f t="shared" si="107"/>
        <v>0</v>
      </c>
      <c r="J34" s="157">
        <f t="shared" si="107"/>
        <v>0</v>
      </c>
      <c r="K34" s="157">
        <f t="shared" si="107"/>
        <v>0</v>
      </c>
      <c r="L34" s="157">
        <f t="shared" si="107"/>
        <v>0</v>
      </c>
      <c r="M34" s="157">
        <f t="shared" si="107"/>
        <v>0</v>
      </c>
      <c r="N34" s="157">
        <f t="shared" ref="N34" si="108">SUM(S16-R16)*$C34+SUM((T16-U16-V16+R16)*$C34*0.5)</f>
        <v>0</v>
      </c>
      <c r="O34" s="157">
        <f t="shared" ref="O34" si="109">SUM(T16-S16)*$C34+SUM((U16-V16-W16+S16)*$C34*0.5)</f>
        <v>0</v>
      </c>
      <c r="P34" s="157">
        <f t="shared" ref="P34" si="110">SUM(U16-T16)*$C34+SUM((V16-W16-X16+T16)*$C34*0.5)</f>
        <v>0</v>
      </c>
      <c r="Q34" s="157">
        <f t="shared" ref="Q34" si="111">SUM(V16-U16)*$C34+SUM((W16-X16-Y16+U16)*$C34*0.5)</f>
        <v>0</v>
      </c>
      <c r="R34" s="157">
        <f t="shared" ref="R34" si="112">SUM(W16-V16)*$C34+SUM((X16-Y16-Z16+V16)*$C34*0.5)</f>
        <v>0</v>
      </c>
      <c r="S34" s="157">
        <f t="shared" ref="S34" si="113">SUM(X16-W16)*$C34+SUM((Y16-Z16-AA16+W16)*$C34*0.5)</f>
        <v>0</v>
      </c>
      <c r="T34" s="157">
        <f t="shared" ref="T34" si="114">SUM(Y16-X16)*$C34+SUM((Z16-AA16-AB16+X16)*$C34*0.5)</f>
        <v>0</v>
      </c>
      <c r="U34" s="157">
        <f t="shared" ref="U34" si="115">SUM(Z16-Y16)*$C34+SUM((AA16-AB16-AC16+Y16)*$C34*0.5)</f>
        <v>0</v>
      </c>
      <c r="V34" s="157">
        <f t="shared" ref="V34" si="116">SUM(AA16-Z16)*$C34+SUM((AB16-AC16-AD16+Z16)*$C34*0.5)</f>
        <v>0</v>
      </c>
      <c r="W34" s="157">
        <f t="shared" ref="W34" si="117">SUM(AB16-AA16)*$C34+SUM((AC16-AD16-AE16+AA16)*$C34*0.5)</f>
        <v>0</v>
      </c>
      <c r="X34" s="157">
        <f t="shared" ref="X34" si="118">SUM(AC16-AB16)*$C34+SUM((AD16-AE16-AF16+AB16)*$C34*0.5)</f>
        <v>0</v>
      </c>
      <c r="Y34" s="157">
        <f t="shared" ref="Y34" si="119">SUM(AD16-AC16)*$C34+SUM((AE16-AF16-AG16+AC16)*$C34*0.5)</f>
        <v>0</v>
      </c>
      <c r="Z34" s="157">
        <f t="shared" ref="Z34" si="120">SUM(AE16-AD16)*$C34+SUM((AF16-AG16-AH16+AD16)*$C34*0.5)</f>
        <v>0</v>
      </c>
      <c r="AA34" s="157">
        <f t="shared" ref="AA34" si="121">SUM(AF16-AE16)*$C34+SUM((AG16-AH16-AI16+AE16)*$C34*0.5)</f>
        <v>0</v>
      </c>
      <c r="AB34" s="157">
        <f t="shared" ref="AB34" si="122">SUM(AG16-AF16)*$C34+SUM((AH16-AI16-AJ16+AF16)*$C34*0.5)</f>
        <v>0</v>
      </c>
      <c r="AC34" s="157">
        <f t="shared" ref="AC34" si="123">SUM(AH16-AG16)*$C34+SUM((AI16-AJ16-AK16+AG16)*$C34*0.5)</f>
        <v>0</v>
      </c>
      <c r="AD34" s="157">
        <f t="shared" ref="AD34" si="124">SUM(AI16-AH16)*$C34+SUM((AJ16-AK16-AL16+AH16)*$C34*0.5)</f>
        <v>0</v>
      </c>
      <c r="AE34" s="157">
        <f t="shared" ref="AE34" si="125">SUM(AJ16-AI16)*$C34+SUM((AK16-AL16-AM16+AI16)*$C34*0.5)</f>
        <v>0</v>
      </c>
      <c r="AF34" s="157">
        <f t="shared" ref="AF34" si="126">SUM(AK16-AJ16)*$C34+SUM((AL16-AM16-AN16+AJ16)*$C34*0.5)</f>
        <v>0</v>
      </c>
      <c r="AG34" s="157">
        <f t="shared" ref="AG34" si="127">SUM(AL16-AK16)*$C34+SUM((AM16-AN16-AO16+AK16)*$C34*0.5)</f>
        <v>0</v>
      </c>
      <c r="AH34" s="157">
        <f t="shared" ref="AH34" si="128">SUM(AM16-AL16)*$C34+SUM((AN16-AO16-AP16+AL16)*$C34*0.5)</f>
        <v>0</v>
      </c>
      <c r="AI34" s="157">
        <f t="shared" ref="AI34" si="129">SUM(AN16-AM16)*$C34+SUM((AO16-AP16-AQ16+AM16)*$C34*0.5)</f>
        <v>0</v>
      </c>
      <c r="AJ34" s="157">
        <f t="shared" ref="AJ34" si="130">SUM(AO16-AN16)*$C34+SUM((AP16-AQ16-AR16+AN16)*$C34*0.5)</f>
        <v>0</v>
      </c>
      <c r="AK34" s="157">
        <f t="shared" ref="AK34" si="131">SUM(AP16-AO16)*$C34+SUM((AQ16-AR16-AS16+AO16)*$C34*0.5)</f>
        <v>0</v>
      </c>
      <c r="AL34" s="157">
        <f t="shared" ref="AL34" si="132">SUM(AQ16-AP16)*$C34+SUM((AR16-AS16-AT16+AP16)*$C34*0.5)</f>
        <v>0</v>
      </c>
      <c r="AM34" s="157">
        <f t="shared" ref="AM34" si="133">SUM(AR16-AQ16)*$C34+SUM((AS16-AT16-AU16+AQ16)*$C34*0.5)</f>
        <v>0</v>
      </c>
      <c r="AN34" s="157">
        <f t="shared" ref="AN34" si="134">SUM(AS16-AR16)*$C34+SUM((AT16-AU16-AV16+AR16)*$C34*0.5)</f>
        <v>0</v>
      </c>
      <c r="AO34" s="157">
        <f t="shared" ref="AO34" si="135">SUM(AT16-AS16)*$C34+SUM((AU16-AV16-AW16+AS16)*$C34*0.5)</f>
        <v>0</v>
      </c>
      <c r="AP34" s="157">
        <f t="shared" ref="AP34" si="136">SUM(AU16-AT16)*$C34+SUM((AV16-AW16-AX16+AT16)*$C34*0.5)</f>
        <v>0</v>
      </c>
      <c r="AQ34" s="157">
        <f t="shared" ref="AQ34:AR34" si="137">SUM(AV16-AU16)*$C34+SUM((AW16-AX16-AY16+AU16)*$C34*0.5)</f>
        <v>0</v>
      </c>
      <c r="AR34" s="157">
        <f t="shared" si="137"/>
        <v>0</v>
      </c>
      <c r="AS34" s="155"/>
      <c r="AT34" s="155"/>
      <c r="AU34" s="157"/>
      <c r="AV34" s="157"/>
      <c r="AW34" s="157"/>
      <c r="AX34" s="157"/>
      <c r="AY34" s="157"/>
      <c r="AZ34" s="157"/>
      <c r="BA34" s="157"/>
      <c r="BB34" s="157"/>
      <c r="BC34" s="157"/>
    </row>
    <row r="35" spans="1:55" ht="14.25" hidden="1" x14ac:dyDescent="0.35">
      <c r="B35" s="108"/>
      <c r="C35" s="156"/>
      <c r="D35" s="158">
        <f>SUM(C17*$C35)+SUM((D17-E17)*$C35*0.05)</f>
        <v>0</v>
      </c>
      <c r="E35" s="158">
        <f>SUM(G17*$C35)+SUM((H17-I17)*$C35*0.5)</f>
        <v>0</v>
      </c>
      <c r="F35" s="159">
        <f>SUM(K17*$C35)+SUM((L17-M17)*$C35*0.05)</f>
        <v>0</v>
      </c>
      <c r="G35" s="159">
        <f t="shared" ref="G35:M35" si="138">SUM(L17*$C35)+SUM((M17-N17)*$C35*0.05)</f>
        <v>0</v>
      </c>
      <c r="H35" s="159">
        <f t="shared" si="138"/>
        <v>0</v>
      </c>
      <c r="I35" s="159">
        <f t="shared" si="138"/>
        <v>0</v>
      </c>
      <c r="J35" s="159">
        <f t="shared" si="138"/>
        <v>0</v>
      </c>
      <c r="K35" s="159">
        <f t="shared" si="138"/>
        <v>0</v>
      </c>
      <c r="L35" s="159">
        <f t="shared" si="138"/>
        <v>0</v>
      </c>
      <c r="M35" s="159">
        <f t="shared" si="138"/>
        <v>0</v>
      </c>
      <c r="N35" s="159">
        <f t="shared" ref="N35" si="139">SUM(S17*$C35)+SUM((T17-U17)*$C35*0.05)</f>
        <v>0</v>
      </c>
      <c r="O35" s="159">
        <f t="shared" ref="O35" si="140">SUM(T17*$C35)+SUM((U17-V17)*$C35*0.05)</f>
        <v>0</v>
      </c>
      <c r="P35" s="159">
        <f t="shared" ref="P35" si="141">SUM(U17*$C35)+SUM((V17-W17)*$C35*0.05)</f>
        <v>0</v>
      </c>
      <c r="Q35" s="159">
        <f t="shared" ref="Q35" si="142">SUM(V17*$C35)+SUM((W17-X17)*$C35*0.05)</f>
        <v>0</v>
      </c>
      <c r="R35" s="159">
        <f t="shared" ref="R35" si="143">SUM(W17*$C35)+SUM((X17-Y17)*$C35*0.05)</f>
        <v>0</v>
      </c>
      <c r="S35" s="159">
        <f t="shared" ref="S35" si="144">SUM(X17*$C35)+SUM((Y17-Z17)*$C35*0.05)</f>
        <v>0</v>
      </c>
      <c r="T35" s="159">
        <f t="shared" ref="T35" si="145">SUM(Y17*$C35)+SUM((Z17-AA17)*$C35*0.05)</f>
        <v>0</v>
      </c>
      <c r="U35" s="159">
        <f t="shared" ref="U35" si="146">SUM(Z17*$C35)+SUM((AA17-AB17)*$C35*0.05)</f>
        <v>0</v>
      </c>
      <c r="V35" s="159">
        <f t="shared" ref="V35" si="147">SUM(AA17*$C35)+SUM((AB17-AC17)*$C35*0.05)</f>
        <v>0</v>
      </c>
      <c r="W35" s="159">
        <f t="shared" ref="W35" si="148">SUM(AB17*$C35)+SUM((AC17-AD17)*$C35*0.05)</f>
        <v>0</v>
      </c>
      <c r="X35" s="159">
        <f t="shared" ref="X35" si="149">SUM(AC17*$C35)+SUM((AD17-AE17)*$C35*0.05)</f>
        <v>0</v>
      </c>
      <c r="Y35" s="159">
        <f t="shared" ref="Y35" si="150">SUM(AD17*$C35)+SUM((AE17-AF17)*$C35*0.05)</f>
        <v>0</v>
      </c>
      <c r="Z35" s="159">
        <f t="shared" ref="Z35" si="151">SUM(AE17*$C35)+SUM((AF17-AG17)*$C35*0.05)</f>
        <v>0</v>
      </c>
      <c r="AA35" s="159">
        <f t="shared" ref="AA35" si="152">SUM(AF17*$C35)+SUM((AG17-AH17)*$C35*0.05)</f>
        <v>0</v>
      </c>
      <c r="AB35" s="159">
        <f t="shared" ref="AB35" si="153">SUM(AG17*$C35)+SUM((AH17-AI17)*$C35*0.05)</f>
        <v>0</v>
      </c>
      <c r="AC35" s="159">
        <f t="shared" ref="AC35" si="154">SUM(AH17*$C35)+SUM((AI17-AJ17)*$C35*0.05)</f>
        <v>0</v>
      </c>
      <c r="AD35" s="159">
        <f t="shared" ref="AD35" si="155">SUM(AI17*$C35)+SUM((AJ17-AK17)*$C35*0.05)</f>
        <v>0</v>
      </c>
      <c r="AE35" s="159">
        <f t="shared" ref="AE35" si="156">SUM(AJ17*$C35)+SUM((AK17-AL17)*$C35*0.05)</f>
        <v>0</v>
      </c>
      <c r="AF35" s="159">
        <f t="shared" ref="AF35" si="157">SUM(AK17*$C35)+SUM((AL17-AM17)*$C35*0.05)</f>
        <v>0</v>
      </c>
      <c r="AG35" s="159">
        <f t="shared" ref="AG35" si="158">SUM(AL17*$C35)+SUM((AM17-AN17)*$C35*0.05)</f>
        <v>0</v>
      </c>
      <c r="AH35" s="159">
        <f t="shared" ref="AH35" si="159">SUM(AM17*$C35)+SUM((AN17-AO17)*$C35*0.05)</f>
        <v>0</v>
      </c>
      <c r="AI35" s="159">
        <f t="shared" ref="AI35" si="160">SUM(AN17*$C35)+SUM((AO17-AP17)*$C35*0.05)</f>
        <v>0</v>
      </c>
      <c r="AJ35" s="159">
        <f t="shared" ref="AJ35" si="161">SUM(AO17*$C35)+SUM((AP17-AQ17)*$C35*0.05)</f>
        <v>0</v>
      </c>
      <c r="AK35" s="159">
        <f t="shared" ref="AK35" si="162">SUM(AP17*$C35)+SUM((AQ17-AR17)*$C35*0.05)</f>
        <v>0</v>
      </c>
      <c r="AL35" s="159">
        <f t="shared" ref="AL35" si="163">SUM(AQ17*$C35)+SUM((AR17-AS17)*$C35*0.05)</f>
        <v>0</v>
      </c>
      <c r="AM35" s="159">
        <f t="shared" ref="AM35" si="164">SUM(AR17*$C35)+SUM((AS17-AT17)*$C35*0.05)</f>
        <v>0</v>
      </c>
      <c r="AN35" s="159">
        <f t="shared" ref="AN35" si="165">SUM(AS17*$C35)+SUM((AT17-AU17)*$C35*0.05)</f>
        <v>0</v>
      </c>
      <c r="AO35" s="159">
        <f t="shared" ref="AO35" si="166">SUM(AT17*$C35)+SUM((AU17-AV17)*$C35*0.05)</f>
        <v>0</v>
      </c>
      <c r="AP35" s="159">
        <f t="shared" ref="AP35" si="167">SUM(AU17*$C35)+SUM((AV17-AW17)*$C35*0.05)</f>
        <v>0</v>
      </c>
      <c r="AQ35" s="159">
        <f t="shared" ref="AQ35:AR35" si="168">SUM(AV17*$C35)+SUM((AW17-AX17)*$C35*0.05)</f>
        <v>0</v>
      </c>
      <c r="AR35" s="159">
        <f t="shared" si="168"/>
        <v>0</v>
      </c>
      <c r="AS35" s="155"/>
      <c r="AT35" s="155"/>
      <c r="AU35" s="159"/>
      <c r="AV35" s="159"/>
      <c r="AW35" s="159"/>
      <c r="AX35" s="159"/>
      <c r="AY35" s="159"/>
      <c r="AZ35" s="159"/>
      <c r="BA35" s="159"/>
      <c r="BB35" s="159"/>
      <c r="BC35" s="159"/>
    </row>
    <row r="36" spans="1:55" ht="12" hidden="1" x14ac:dyDescent="0.2">
      <c r="A36" s="107"/>
      <c r="C36" s="154"/>
      <c r="D36" s="155">
        <f>SUM(D27:D35)</f>
        <v>456483.4157230595</v>
      </c>
      <c r="E36" s="155">
        <f>SUM(E27:E35)</f>
        <v>456483.4157230595</v>
      </c>
      <c r="F36" s="155">
        <f>SUM(F27:F35)</f>
        <v>456483.4157230595</v>
      </c>
      <c r="G36" s="155">
        <f t="shared" ref="G36:K36" si="169">SUM(G27:G35)</f>
        <v>456483.4157230595</v>
      </c>
      <c r="H36" s="155">
        <f t="shared" si="169"/>
        <v>456483.4157230595</v>
      </c>
      <c r="I36" s="155">
        <f t="shared" si="169"/>
        <v>456483.4157230595</v>
      </c>
      <c r="J36" s="155">
        <f t="shared" si="169"/>
        <v>456483.4157230595</v>
      </c>
      <c r="K36" s="155">
        <f t="shared" si="169"/>
        <v>456483.4157230595</v>
      </c>
      <c r="L36" s="155">
        <f t="shared" ref="L36" si="170">SUM(L27:L35)</f>
        <v>456483.4157230595</v>
      </c>
      <c r="M36" s="155">
        <f t="shared" ref="M36:S36" si="171">SUM(M27:M35)</f>
        <v>456483.4157230595</v>
      </c>
      <c r="N36" s="155">
        <f t="shared" si="171"/>
        <v>456483.4157230595</v>
      </c>
      <c r="O36" s="155">
        <f t="shared" si="171"/>
        <v>456483.4157230595</v>
      </c>
      <c r="P36" s="155">
        <f t="shared" si="171"/>
        <v>456483.4157230595</v>
      </c>
      <c r="Q36" s="155">
        <f t="shared" si="171"/>
        <v>456483.4157230595</v>
      </c>
      <c r="R36" s="155">
        <f t="shared" si="171"/>
        <v>456483.4157230595</v>
      </c>
      <c r="S36" s="155">
        <f t="shared" si="171"/>
        <v>456483.4157230595</v>
      </c>
      <c r="T36" s="155">
        <f t="shared" ref="T36:AN36" si="172">SUM(T27:T35)</f>
        <v>456483.4157230595</v>
      </c>
      <c r="U36" s="155">
        <f t="shared" si="172"/>
        <v>456483.4157230595</v>
      </c>
      <c r="V36" s="155">
        <f t="shared" si="172"/>
        <v>456483.4157230595</v>
      </c>
      <c r="W36" s="155">
        <f t="shared" si="172"/>
        <v>456483.4157230595</v>
      </c>
      <c r="X36" s="155">
        <f t="shared" si="172"/>
        <v>456483.4157230595</v>
      </c>
      <c r="Y36" s="155">
        <f t="shared" si="172"/>
        <v>456483.4157230595</v>
      </c>
      <c r="Z36" s="155">
        <f t="shared" si="172"/>
        <v>456483.4157230595</v>
      </c>
      <c r="AA36" s="155">
        <f t="shared" si="172"/>
        <v>456483.4157230595</v>
      </c>
      <c r="AB36" s="155">
        <f t="shared" si="172"/>
        <v>456483.4157230595</v>
      </c>
      <c r="AC36" s="155">
        <f t="shared" si="172"/>
        <v>456483.4157230595</v>
      </c>
      <c r="AD36" s="155">
        <f t="shared" si="172"/>
        <v>456483.4157230595</v>
      </c>
      <c r="AE36" s="155">
        <f t="shared" si="172"/>
        <v>456483.4157230595</v>
      </c>
      <c r="AF36" s="155">
        <f t="shared" si="172"/>
        <v>456483.4157230595</v>
      </c>
      <c r="AG36" s="155">
        <f t="shared" si="172"/>
        <v>456483.4157230595</v>
      </c>
      <c r="AH36" s="155">
        <f t="shared" si="172"/>
        <v>456483.4157230595</v>
      </c>
      <c r="AI36" s="155">
        <f t="shared" si="172"/>
        <v>456483.4157230595</v>
      </c>
      <c r="AJ36" s="155">
        <f t="shared" si="172"/>
        <v>456483.4157230595</v>
      </c>
      <c r="AK36" s="155">
        <f t="shared" si="172"/>
        <v>456483.4157230595</v>
      </c>
      <c r="AL36" s="155">
        <f t="shared" si="172"/>
        <v>456483.4157230595</v>
      </c>
      <c r="AM36" s="155">
        <f t="shared" si="172"/>
        <v>220969</v>
      </c>
      <c r="AN36" s="155">
        <f t="shared" si="172"/>
        <v>0</v>
      </c>
      <c r="AO36" s="155">
        <f t="shared" ref="AO36:AQ36" si="173">SUM(AO27:AO35)</f>
        <v>0</v>
      </c>
      <c r="AP36" s="155">
        <f t="shared" si="173"/>
        <v>0</v>
      </c>
      <c r="AQ36" s="155">
        <f t="shared" si="173"/>
        <v>0</v>
      </c>
      <c r="AR36" s="155">
        <f t="shared" ref="AR36" si="174">SUM(AR27:AR35)</f>
        <v>0</v>
      </c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</row>
    <row r="37" spans="1:55" ht="12" x14ac:dyDescent="0.2">
      <c r="A37" s="107"/>
      <c r="C37" s="154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55"/>
      <c r="AT37" s="155"/>
      <c r="AU37" s="160"/>
      <c r="AV37" s="160"/>
      <c r="AW37" s="160"/>
      <c r="AX37" s="160"/>
      <c r="AY37" s="160"/>
      <c r="AZ37" s="160"/>
      <c r="BA37" s="160"/>
      <c r="BB37" s="160"/>
      <c r="BC37" s="160"/>
    </row>
    <row r="38" spans="1:55" ht="14.25" x14ac:dyDescent="0.35">
      <c r="A38" s="247" t="str">
        <f>+B20</f>
        <v>Operating Cost Regulatory Deferral</v>
      </c>
      <c r="C38" s="248">
        <v>0.125</v>
      </c>
      <c r="D38" s="161">
        <f>SUM(C20*$C38)+((D20-E20-F20)*$C38)*5/12</f>
        <v>1053759.21875</v>
      </c>
      <c r="E38" s="161">
        <f>SUM(G20-F20)*$C38+((H20+F20-I20-J20)*$C38*0.5)</f>
        <v>2529022.125</v>
      </c>
      <c r="F38" s="161">
        <f>SUM(K20-J20)*$C38+((L20+J20-M20-N20)*$C38*10/12)</f>
        <v>2529022.125</v>
      </c>
      <c r="G38" s="161">
        <f>+F38</f>
        <v>2529022.125</v>
      </c>
      <c r="H38" s="161">
        <f t="shared" ref="H38" si="175">+G38</f>
        <v>2529022.125</v>
      </c>
      <c r="I38" s="161">
        <f>+H38</f>
        <v>2529022.125</v>
      </c>
      <c r="J38" s="161">
        <f t="shared" ref="J38:K38" si="176">+I38</f>
        <v>2529022.125</v>
      </c>
      <c r="K38" s="161">
        <f t="shared" si="176"/>
        <v>2529022.125</v>
      </c>
      <c r="L38" s="161">
        <f>+K38-D38</f>
        <v>1475262.90625</v>
      </c>
      <c r="M38" s="161">
        <v>0</v>
      </c>
      <c r="N38" s="161">
        <v>0</v>
      </c>
      <c r="O38" s="161">
        <f>+N38</f>
        <v>0</v>
      </c>
      <c r="P38" s="161">
        <f t="shared" ref="P38:AR38" si="177">+O38</f>
        <v>0</v>
      </c>
      <c r="Q38" s="161">
        <f t="shared" si="177"/>
        <v>0</v>
      </c>
      <c r="R38" s="161">
        <f t="shared" si="177"/>
        <v>0</v>
      </c>
      <c r="S38" s="161">
        <f t="shared" si="177"/>
        <v>0</v>
      </c>
      <c r="T38" s="161">
        <f t="shared" si="177"/>
        <v>0</v>
      </c>
      <c r="U38" s="161">
        <f t="shared" si="177"/>
        <v>0</v>
      </c>
      <c r="V38" s="161">
        <f t="shared" si="177"/>
        <v>0</v>
      </c>
      <c r="W38" s="161">
        <f t="shared" si="177"/>
        <v>0</v>
      </c>
      <c r="X38" s="161">
        <f t="shared" si="177"/>
        <v>0</v>
      </c>
      <c r="Y38" s="161">
        <f t="shared" si="177"/>
        <v>0</v>
      </c>
      <c r="Z38" s="161">
        <f t="shared" si="177"/>
        <v>0</v>
      </c>
      <c r="AA38" s="161">
        <f t="shared" si="177"/>
        <v>0</v>
      </c>
      <c r="AB38" s="161">
        <f t="shared" si="177"/>
        <v>0</v>
      </c>
      <c r="AC38" s="161">
        <f t="shared" si="177"/>
        <v>0</v>
      </c>
      <c r="AD38" s="161">
        <f t="shared" si="177"/>
        <v>0</v>
      </c>
      <c r="AE38" s="161">
        <f t="shared" si="177"/>
        <v>0</v>
      </c>
      <c r="AF38" s="161">
        <f t="shared" si="177"/>
        <v>0</v>
      </c>
      <c r="AG38" s="161">
        <f t="shared" si="177"/>
        <v>0</v>
      </c>
      <c r="AH38" s="161">
        <f t="shared" si="177"/>
        <v>0</v>
      </c>
      <c r="AI38" s="161">
        <f t="shared" si="177"/>
        <v>0</v>
      </c>
      <c r="AJ38" s="161">
        <f t="shared" si="177"/>
        <v>0</v>
      </c>
      <c r="AK38" s="161">
        <f t="shared" si="177"/>
        <v>0</v>
      </c>
      <c r="AL38" s="161">
        <f t="shared" si="177"/>
        <v>0</v>
      </c>
      <c r="AM38" s="161">
        <f t="shared" si="177"/>
        <v>0</v>
      </c>
      <c r="AN38" s="161">
        <f t="shared" si="177"/>
        <v>0</v>
      </c>
      <c r="AO38" s="161">
        <f t="shared" si="177"/>
        <v>0</v>
      </c>
      <c r="AP38" s="161">
        <f t="shared" si="177"/>
        <v>0</v>
      </c>
      <c r="AQ38" s="161">
        <f t="shared" si="177"/>
        <v>0</v>
      </c>
      <c r="AR38" s="161">
        <f t="shared" si="177"/>
        <v>0</v>
      </c>
      <c r="AS38" s="155"/>
      <c r="AT38" s="155"/>
      <c r="AU38" s="161"/>
      <c r="AV38" s="161"/>
      <c r="AW38" s="161"/>
      <c r="AX38" s="161"/>
      <c r="AY38" s="161"/>
      <c r="AZ38" s="161"/>
      <c r="BA38" s="161"/>
      <c r="BB38" s="161"/>
      <c r="BC38" s="161"/>
    </row>
    <row r="39" spans="1:55" ht="12" x14ac:dyDescent="0.2">
      <c r="A39" s="107"/>
      <c r="C39" s="154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  <c r="AS39" s="155"/>
      <c r="AT39" s="155"/>
      <c r="AU39" s="160"/>
      <c r="AV39" s="160"/>
      <c r="AW39" s="160"/>
      <c r="AX39" s="160"/>
      <c r="AY39" s="160"/>
      <c r="AZ39" s="160"/>
      <c r="BA39" s="160"/>
      <c r="BB39" s="160"/>
      <c r="BC39" s="160"/>
    </row>
    <row r="40" spans="1:55" ht="14.25" x14ac:dyDescent="0.35">
      <c r="A40" s="107" t="s">
        <v>198</v>
      </c>
      <c r="C40" s="162"/>
      <c r="D40" s="163">
        <f t="shared" ref="D40:E40" si="178">SUM(D36+D38)</f>
        <v>1510242.6344730596</v>
      </c>
      <c r="E40" s="163">
        <f t="shared" si="178"/>
        <v>2985505.5407230593</v>
      </c>
      <c r="F40" s="163">
        <f>SUM(F36+F38)</f>
        <v>2985505.5407230593</v>
      </c>
      <c r="G40" s="163">
        <f t="shared" ref="G40:J40" si="179">SUM(G36+G38)</f>
        <v>2985505.5407230593</v>
      </c>
      <c r="H40" s="163">
        <f t="shared" si="179"/>
        <v>2985505.5407230593</v>
      </c>
      <c r="I40" s="163">
        <f t="shared" si="179"/>
        <v>2985505.5407230593</v>
      </c>
      <c r="J40" s="163">
        <f t="shared" si="179"/>
        <v>2985505.5407230593</v>
      </c>
      <c r="K40" s="163">
        <f t="shared" ref="K40:L40" si="180">SUM(K36+K38)</f>
        <v>2985505.5407230593</v>
      </c>
      <c r="L40" s="163">
        <f t="shared" si="180"/>
        <v>1931746.3219730596</v>
      </c>
      <c r="M40" s="163">
        <f t="shared" ref="M40:S40" si="181">SUM(M36+M38)</f>
        <v>456483.4157230595</v>
      </c>
      <c r="N40" s="163">
        <f t="shared" si="181"/>
        <v>456483.4157230595</v>
      </c>
      <c r="O40" s="163">
        <f t="shared" si="181"/>
        <v>456483.4157230595</v>
      </c>
      <c r="P40" s="163">
        <f t="shared" si="181"/>
        <v>456483.4157230595</v>
      </c>
      <c r="Q40" s="163">
        <f t="shared" si="181"/>
        <v>456483.4157230595</v>
      </c>
      <c r="R40" s="163">
        <f t="shared" si="181"/>
        <v>456483.4157230595</v>
      </c>
      <c r="S40" s="163">
        <f t="shared" si="181"/>
        <v>456483.4157230595</v>
      </c>
      <c r="T40" s="163">
        <f t="shared" ref="T40:AN40" si="182">SUM(T36+T38)</f>
        <v>456483.4157230595</v>
      </c>
      <c r="U40" s="163">
        <f t="shared" si="182"/>
        <v>456483.4157230595</v>
      </c>
      <c r="V40" s="163">
        <f t="shared" si="182"/>
        <v>456483.4157230595</v>
      </c>
      <c r="W40" s="163">
        <f t="shared" si="182"/>
        <v>456483.4157230595</v>
      </c>
      <c r="X40" s="163">
        <f t="shared" si="182"/>
        <v>456483.4157230595</v>
      </c>
      <c r="Y40" s="163">
        <f t="shared" si="182"/>
        <v>456483.4157230595</v>
      </c>
      <c r="Z40" s="163">
        <f t="shared" si="182"/>
        <v>456483.4157230595</v>
      </c>
      <c r="AA40" s="163">
        <f t="shared" si="182"/>
        <v>456483.4157230595</v>
      </c>
      <c r="AB40" s="163">
        <f t="shared" si="182"/>
        <v>456483.4157230595</v>
      </c>
      <c r="AC40" s="163">
        <f t="shared" si="182"/>
        <v>456483.4157230595</v>
      </c>
      <c r="AD40" s="163">
        <f t="shared" si="182"/>
        <v>456483.4157230595</v>
      </c>
      <c r="AE40" s="163">
        <f t="shared" si="182"/>
        <v>456483.4157230595</v>
      </c>
      <c r="AF40" s="163">
        <f t="shared" si="182"/>
        <v>456483.4157230595</v>
      </c>
      <c r="AG40" s="163">
        <f t="shared" si="182"/>
        <v>456483.4157230595</v>
      </c>
      <c r="AH40" s="163">
        <f t="shared" si="182"/>
        <v>456483.4157230595</v>
      </c>
      <c r="AI40" s="163">
        <f t="shared" si="182"/>
        <v>456483.4157230595</v>
      </c>
      <c r="AJ40" s="163">
        <f t="shared" si="182"/>
        <v>456483.4157230595</v>
      </c>
      <c r="AK40" s="163">
        <f t="shared" si="182"/>
        <v>456483.4157230595</v>
      </c>
      <c r="AL40" s="163">
        <f t="shared" si="182"/>
        <v>456483.4157230595</v>
      </c>
      <c r="AM40" s="163">
        <f t="shared" si="182"/>
        <v>220969</v>
      </c>
      <c r="AN40" s="163">
        <f t="shared" si="182"/>
        <v>0</v>
      </c>
      <c r="AO40" s="163">
        <f t="shared" ref="AO40:AQ40" si="183">SUM(AO36+AO38)</f>
        <v>0</v>
      </c>
      <c r="AP40" s="163">
        <f t="shared" si="183"/>
        <v>0</v>
      </c>
      <c r="AQ40" s="163">
        <f t="shared" si="183"/>
        <v>0</v>
      </c>
      <c r="AR40" s="163">
        <f t="shared" ref="AR40" si="184">SUM(AR36+AR38)</f>
        <v>0</v>
      </c>
      <c r="AS40" s="155"/>
      <c r="AT40" s="155"/>
      <c r="AU40" s="163"/>
      <c r="AV40" s="163"/>
      <c r="AW40" s="163"/>
      <c r="AX40" s="163"/>
      <c r="AY40" s="163"/>
      <c r="AZ40" s="163"/>
      <c r="BA40" s="163"/>
      <c r="BB40" s="163"/>
      <c r="BC40" s="163"/>
    </row>
    <row r="41" spans="1:55" ht="12" x14ac:dyDescent="0.2">
      <c r="A41" s="107"/>
      <c r="C41" s="162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55"/>
      <c r="AT41" s="155"/>
      <c r="AU41" s="160"/>
      <c r="AV41" s="160"/>
      <c r="AW41" s="160"/>
      <c r="AX41" s="160"/>
      <c r="AY41" s="160"/>
      <c r="AZ41" s="160"/>
      <c r="BA41" s="160"/>
      <c r="BB41" s="160"/>
      <c r="BC41" s="160"/>
    </row>
    <row r="42" spans="1:55" ht="12" x14ac:dyDescent="0.2">
      <c r="A42" s="107" t="s">
        <v>140</v>
      </c>
      <c r="C42" s="164"/>
      <c r="D42" s="165">
        <f>SUM(D36/SUM(G8:G16))</f>
        <v>3.764123996665291E-2</v>
      </c>
      <c r="E42" s="165">
        <f>SUM(E36/SUM(K8:K16))</f>
        <v>3.764123996665291E-2</v>
      </c>
      <c r="F42" s="165">
        <f>SUM(F36/SUM(O8:O16))</f>
        <v>3.764123996665291E-2</v>
      </c>
      <c r="G42" s="165">
        <f>SUM(G36/SUM(S8:S16))</f>
        <v>3.764123996665291E-2</v>
      </c>
      <c r="H42" s="165">
        <f>SUM(H36/SUM(W8:W16))</f>
        <v>3.764123996665291E-2</v>
      </c>
      <c r="I42" s="165">
        <f>SUM(I36/SUM(AA8:AA16))</f>
        <v>3.764123996665291E-2</v>
      </c>
      <c r="J42" s="165">
        <f>SUM(J36/SUM(AE8:AE16))</f>
        <v>3.764123996665291E-2</v>
      </c>
      <c r="K42" s="165">
        <f>SUM(K36/SUM(AI8:AI16))</f>
        <v>3.764123996665291E-2</v>
      </c>
      <c r="L42" s="165">
        <f>SUM(L36/SUM($AI$8:$AI$16))</f>
        <v>3.764123996665291E-2</v>
      </c>
      <c r="M42" s="165">
        <f>SUM(M36/SUM($AI$8:$AI$16))</f>
        <v>3.764123996665291E-2</v>
      </c>
      <c r="N42" s="165">
        <f t="shared" ref="N42:S42" si="185">SUM(N36/SUM($AI$8:$AI$16))</f>
        <v>3.764123996665291E-2</v>
      </c>
      <c r="O42" s="165">
        <f t="shared" si="185"/>
        <v>3.764123996665291E-2</v>
      </c>
      <c r="P42" s="165">
        <f t="shared" si="185"/>
        <v>3.764123996665291E-2</v>
      </c>
      <c r="Q42" s="165">
        <f t="shared" si="185"/>
        <v>3.764123996665291E-2</v>
      </c>
      <c r="R42" s="165">
        <f t="shared" si="185"/>
        <v>3.764123996665291E-2</v>
      </c>
      <c r="S42" s="165">
        <f t="shared" si="185"/>
        <v>3.764123996665291E-2</v>
      </c>
      <c r="T42" s="165">
        <f t="shared" ref="T42:AN42" si="186">SUM(T36/SUM($AI$8:$AI$16))</f>
        <v>3.764123996665291E-2</v>
      </c>
      <c r="U42" s="165">
        <f t="shared" si="186"/>
        <v>3.764123996665291E-2</v>
      </c>
      <c r="V42" s="165">
        <f t="shared" si="186"/>
        <v>3.764123996665291E-2</v>
      </c>
      <c r="W42" s="165">
        <f t="shared" si="186"/>
        <v>3.764123996665291E-2</v>
      </c>
      <c r="X42" s="165">
        <f t="shared" si="186"/>
        <v>3.764123996665291E-2</v>
      </c>
      <c r="Y42" s="165">
        <f t="shared" si="186"/>
        <v>3.764123996665291E-2</v>
      </c>
      <c r="Z42" s="165">
        <f t="shared" si="186"/>
        <v>3.764123996665291E-2</v>
      </c>
      <c r="AA42" s="165">
        <f t="shared" si="186"/>
        <v>3.764123996665291E-2</v>
      </c>
      <c r="AB42" s="165">
        <f t="shared" si="186"/>
        <v>3.764123996665291E-2</v>
      </c>
      <c r="AC42" s="165">
        <f t="shared" si="186"/>
        <v>3.764123996665291E-2</v>
      </c>
      <c r="AD42" s="165">
        <f t="shared" si="186"/>
        <v>3.764123996665291E-2</v>
      </c>
      <c r="AE42" s="165">
        <f t="shared" si="186"/>
        <v>3.764123996665291E-2</v>
      </c>
      <c r="AF42" s="165">
        <f t="shared" si="186"/>
        <v>3.764123996665291E-2</v>
      </c>
      <c r="AG42" s="165">
        <f t="shared" si="186"/>
        <v>3.764123996665291E-2</v>
      </c>
      <c r="AH42" s="165">
        <f t="shared" si="186"/>
        <v>3.764123996665291E-2</v>
      </c>
      <c r="AI42" s="165">
        <f t="shared" si="186"/>
        <v>3.764123996665291E-2</v>
      </c>
      <c r="AJ42" s="165">
        <f t="shared" si="186"/>
        <v>3.764123996665291E-2</v>
      </c>
      <c r="AK42" s="165">
        <f t="shared" si="186"/>
        <v>3.764123996665291E-2</v>
      </c>
      <c r="AL42" s="165">
        <f t="shared" si="186"/>
        <v>3.764123996665291E-2</v>
      </c>
      <c r="AM42" s="165">
        <f t="shared" si="186"/>
        <v>1.8220918586968858E-2</v>
      </c>
      <c r="AN42" s="165">
        <f t="shared" si="186"/>
        <v>0</v>
      </c>
      <c r="AO42" s="165">
        <f t="shared" ref="AO42:AQ42" si="187">SUM(AO36/SUM($AI$8:$AI$16))</f>
        <v>0</v>
      </c>
      <c r="AP42" s="165">
        <f t="shared" si="187"/>
        <v>0</v>
      </c>
      <c r="AQ42" s="165">
        <f t="shared" si="187"/>
        <v>0</v>
      </c>
      <c r="AR42" s="165">
        <f t="shared" ref="AR42" si="188">SUM(AR36/SUM($AI$8:$AI$16))</f>
        <v>0</v>
      </c>
      <c r="AS42" s="225"/>
      <c r="AT42" s="225"/>
      <c r="AU42" s="165"/>
      <c r="AV42" s="165"/>
      <c r="AW42" s="165"/>
      <c r="AX42" s="165"/>
      <c r="AY42" s="165"/>
      <c r="AZ42" s="165"/>
      <c r="BA42" s="165"/>
      <c r="BB42" s="165"/>
      <c r="BC42" s="165"/>
    </row>
    <row r="43" spans="1:55" ht="12" x14ac:dyDescent="0.2">
      <c r="A43" s="107"/>
      <c r="C43" s="166"/>
      <c r="D43" s="166"/>
      <c r="E43" s="166"/>
      <c r="F43" s="166"/>
      <c r="G43" s="298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6"/>
      <c r="BC43" s="166"/>
    </row>
    <row r="44" spans="1:55" ht="12" x14ac:dyDescent="0.2">
      <c r="A44" s="107"/>
      <c r="C44" s="109"/>
      <c r="D44" s="109"/>
      <c r="E44" s="244"/>
      <c r="G44" s="185"/>
    </row>
    <row r="45" spans="1:55" ht="14.25" x14ac:dyDescent="0.35">
      <c r="A45" s="151" t="s">
        <v>197</v>
      </c>
      <c r="B45" s="167"/>
      <c r="C45" s="168"/>
      <c r="D45" s="169">
        <f>D40</f>
        <v>1510242.6344730596</v>
      </c>
      <c r="E45" s="169">
        <f t="shared" ref="E45:F45" si="189">E40</f>
        <v>2985505.5407230593</v>
      </c>
      <c r="F45" s="169">
        <f t="shared" si="189"/>
        <v>2985505.5407230593</v>
      </c>
      <c r="G45" s="169">
        <f t="shared" ref="G45:J45" si="190">G40</f>
        <v>2985505.5407230593</v>
      </c>
      <c r="H45" s="169">
        <f t="shared" si="190"/>
        <v>2985505.5407230593</v>
      </c>
      <c r="I45" s="169">
        <f t="shared" si="190"/>
        <v>2985505.5407230593</v>
      </c>
      <c r="J45" s="169">
        <f t="shared" si="190"/>
        <v>2985505.5407230593</v>
      </c>
      <c r="K45" s="169">
        <f t="shared" ref="K45" si="191">K40</f>
        <v>2985505.5407230593</v>
      </c>
      <c r="L45" s="169">
        <f>L40</f>
        <v>1931746.3219730596</v>
      </c>
      <c r="M45" s="169">
        <f>M40</f>
        <v>456483.4157230595</v>
      </c>
      <c r="N45" s="169">
        <f t="shared" ref="N45:S45" si="192">N40</f>
        <v>456483.4157230595</v>
      </c>
      <c r="O45" s="169">
        <f t="shared" si="192"/>
        <v>456483.4157230595</v>
      </c>
      <c r="P45" s="169">
        <f t="shared" si="192"/>
        <v>456483.4157230595</v>
      </c>
      <c r="Q45" s="169">
        <f t="shared" si="192"/>
        <v>456483.4157230595</v>
      </c>
      <c r="R45" s="169">
        <f t="shared" si="192"/>
        <v>456483.4157230595</v>
      </c>
      <c r="S45" s="169">
        <f t="shared" si="192"/>
        <v>456483.4157230595</v>
      </c>
      <c r="T45" s="169">
        <f t="shared" ref="T45:AN45" si="193">T40</f>
        <v>456483.4157230595</v>
      </c>
      <c r="U45" s="169">
        <f t="shared" si="193"/>
        <v>456483.4157230595</v>
      </c>
      <c r="V45" s="169">
        <f t="shared" si="193"/>
        <v>456483.4157230595</v>
      </c>
      <c r="W45" s="169">
        <f t="shared" si="193"/>
        <v>456483.4157230595</v>
      </c>
      <c r="X45" s="169">
        <f t="shared" si="193"/>
        <v>456483.4157230595</v>
      </c>
      <c r="Y45" s="169">
        <f t="shared" si="193"/>
        <v>456483.4157230595</v>
      </c>
      <c r="Z45" s="169">
        <f t="shared" si="193"/>
        <v>456483.4157230595</v>
      </c>
      <c r="AA45" s="169">
        <f t="shared" si="193"/>
        <v>456483.4157230595</v>
      </c>
      <c r="AB45" s="169">
        <f t="shared" si="193"/>
        <v>456483.4157230595</v>
      </c>
      <c r="AC45" s="169">
        <f t="shared" si="193"/>
        <v>456483.4157230595</v>
      </c>
      <c r="AD45" s="169">
        <f t="shared" si="193"/>
        <v>456483.4157230595</v>
      </c>
      <c r="AE45" s="169">
        <f t="shared" si="193"/>
        <v>456483.4157230595</v>
      </c>
      <c r="AF45" s="169">
        <f t="shared" si="193"/>
        <v>456483.4157230595</v>
      </c>
      <c r="AG45" s="169">
        <f t="shared" si="193"/>
        <v>456483.4157230595</v>
      </c>
      <c r="AH45" s="169">
        <f t="shared" si="193"/>
        <v>456483.4157230595</v>
      </c>
      <c r="AI45" s="169">
        <f t="shared" si="193"/>
        <v>456483.4157230595</v>
      </c>
      <c r="AJ45" s="169">
        <f t="shared" si="193"/>
        <v>456483.4157230595</v>
      </c>
      <c r="AK45" s="169">
        <f t="shared" si="193"/>
        <v>456483.4157230595</v>
      </c>
      <c r="AL45" s="169">
        <f t="shared" si="193"/>
        <v>456483.4157230595</v>
      </c>
      <c r="AM45" s="169">
        <f t="shared" si="193"/>
        <v>220969</v>
      </c>
      <c r="AN45" s="169">
        <f t="shared" si="193"/>
        <v>0</v>
      </c>
      <c r="AO45" s="169">
        <f t="shared" ref="AO45:AQ45" si="194">AO40</f>
        <v>0</v>
      </c>
      <c r="AP45" s="169">
        <f t="shared" si="194"/>
        <v>0</v>
      </c>
      <c r="AQ45" s="169">
        <f t="shared" si="194"/>
        <v>0</v>
      </c>
      <c r="AR45" s="169">
        <f t="shared" ref="AR45" si="195">AR40</f>
        <v>0</v>
      </c>
      <c r="AS45" s="169"/>
      <c r="AT45" s="169"/>
      <c r="AU45" s="169"/>
      <c r="AV45" s="169"/>
      <c r="AW45" s="169"/>
      <c r="AX45" s="169"/>
      <c r="AY45" s="169"/>
      <c r="AZ45" s="169"/>
      <c r="BA45" s="169"/>
      <c r="BB45" s="169"/>
      <c r="BC45" s="169"/>
    </row>
    <row r="47" spans="1:55" ht="13.5" x14ac:dyDescent="0.35">
      <c r="B47" s="171" t="s">
        <v>194</v>
      </c>
      <c r="D47" s="237">
        <f>-D56+D45</f>
        <v>-2560431.0225269413</v>
      </c>
      <c r="E47" s="237">
        <f>D47+E45</f>
        <v>425074.51819611806</v>
      </c>
      <c r="F47" s="237">
        <f t="shared" ref="F47:AM47" si="196">E47+F45</f>
        <v>3410580.0589191774</v>
      </c>
      <c r="G47" s="237">
        <f t="shared" si="196"/>
        <v>6396085.5996422367</v>
      </c>
      <c r="H47" s="237">
        <f t="shared" si="196"/>
        <v>9381591.1403652951</v>
      </c>
      <c r="I47" s="237">
        <f t="shared" si="196"/>
        <v>12367096.681088354</v>
      </c>
      <c r="J47" s="237">
        <f t="shared" si="196"/>
        <v>15352602.221811414</v>
      </c>
      <c r="K47" s="237">
        <f t="shared" si="196"/>
        <v>18338107.762534473</v>
      </c>
      <c r="L47" s="237">
        <f t="shared" si="196"/>
        <v>20269854.084507532</v>
      </c>
      <c r="M47" s="237">
        <f t="shared" si="196"/>
        <v>20726337.500230592</v>
      </c>
      <c r="N47" s="237">
        <f t="shared" si="196"/>
        <v>21182820.915953651</v>
      </c>
      <c r="O47" s="237">
        <f t="shared" si="196"/>
        <v>21639304.33167671</v>
      </c>
      <c r="P47" s="237">
        <f t="shared" si="196"/>
        <v>22095787.74739977</v>
      </c>
      <c r="Q47" s="237">
        <f t="shared" si="196"/>
        <v>22552271.163122829</v>
      </c>
      <c r="R47" s="237">
        <f t="shared" si="196"/>
        <v>23008754.578845888</v>
      </c>
      <c r="S47" s="237">
        <f t="shared" si="196"/>
        <v>23465237.994568948</v>
      </c>
      <c r="T47" s="237">
        <f t="shared" si="196"/>
        <v>23921721.410292007</v>
      </c>
      <c r="U47" s="237">
        <f t="shared" si="196"/>
        <v>24378204.826015066</v>
      </c>
      <c r="V47" s="237">
        <f t="shared" si="196"/>
        <v>24834688.241738126</v>
      </c>
      <c r="W47" s="237">
        <f t="shared" si="196"/>
        <v>25291171.657461185</v>
      </c>
      <c r="X47" s="237">
        <f t="shared" si="196"/>
        <v>25747655.073184244</v>
      </c>
      <c r="Y47" s="237">
        <f t="shared" si="196"/>
        <v>26204138.488907304</v>
      </c>
      <c r="Z47" s="237">
        <f t="shared" si="196"/>
        <v>26660621.904630363</v>
      </c>
      <c r="AA47" s="237">
        <f t="shared" si="196"/>
        <v>27117105.320353422</v>
      </c>
      <c r="AB47" s="237">
        <f t="shared" si="196"/>
        <v>27573588.736076482</v>
      </c>
      <c r="AC47" s="237">
        <f t="shared" si="196"/>
        <v>28030072.151799541</v>
      </c>
      <c r="AD47" s="237">
        <f t="shared" si="196"/>
        <v>28486555.5675226</v>
      </c>
      <c r="AE47" s="237">
        <f t="shared" si="196"/>
        <v>28943038.98324566</v>
      </c>
      <c r="AF47" s="237">
        <f t="shared" si="196"/>
        <v>29399522.398968719</v>
      </c>
      <c r="AG47" s="237">
        <f t="shared" si="196"/>
        <v>29856005.814691778</v>
      </c>
      <c r="AH47" s="237">
        <f t="shared" si="196"/>
        <v>30312489.230414838</v>
      </c>
      <c r="AI47" s="237">
        <f t="shared" si="196"/>
        <v>30768972.646137897</v>
      </c>
      <c r="AJ47" s="237">
        <f t="shared" si="196"/>
        <v>31225456.061860956</v>
      </c>
      <c r="AK47" s="237">
        <f t="shared" si="196"/>
        <v>31681939.477584016</v>
      </c>
      <c r="AL47" s="237">
        <f t="shared" si="196"/>
        <v>32138422.893307075</v>
      </c>
      <c r="AM47" s="237">
        <f t="shared" si="196"/>
        <v>32359391.893307075</v>
      </c>
      <c r="AN47" s="237"/>
      <c r="AO47" s="237"/>
      <c r="AP47" s="237"/>
      <c r="AQ47" s="170"/>
      <c r="AR47" s="170"/>
      <c r="AS47" s="170"/>
      <c r="AT47" s="170"/>
      <c r="AU47" s="170"/>
    </row>
    <row r="48" spans="1:55" ht="13.5" x14ac:dyDescent="0.35">
      <c r="B48" s="171"/>
      <c r="AV48" s="169"/>
      <c r="AW48" s="169"/>
      <c r="AX48" s="169"/>
      <c r="AY48" s="169"/>
      <c r="AZ48" s="169"/>
      <c r="BA48" s="169"/>
      <c r="BB48" s="169"/>
      <c r="BC48" s="169"/>
    </row>
    <row r="49" spans="2:210" ht="13.5" x14ac:dyDescent="0.35">
      <c r="B49" s="171" t="s">
        <v>149</v>
      </c>
      <c r="D49" s="183">
        <f>D12-E12+D20-D47</f>
        <v>34919823.176104955</v>
      </c>
      <c r="E49" s="183">
        <f>+D49-E45</f>
        <v>31934317.635381896</v>
      </c>
      <c r="F49" s="183">
        <f t="shared" ref="F49:AN49" si="197">+E49-F45</f>
        <v>28948812.094658837</v>
      </c>
      <c r="G49" s="183">
        <f t="shared" si="197"/>
        <v>25963306.553935777</v>
      </c>
      <c r="H49" s="183">
        <f t="shared" si="197"/>
        <v>22977801.013212718</v>
      </c>
      <c r="I49" s="183">
        <f t="shared" si="197"/>
        <v>19992295.472489659</v>
      </c>
      <c r="J49" s="183">
        <f t="shared" si="197"/>
        <v>17006789.931766599</v>
      </c>
      <c r="K49" s="183">
        <f t="shared" si="197"/>
        <v>14021284.39104354</v>
      </c>
      <c r="L49" s="183">
        <f t="shared" si="197"/>
        <v>12089538.069070481</v>
      </c>
      <c r="M49" s="183">
        <f t="shared" si="197"/>
        <v>11633054.653347421</v>
      </c>
      <c r="N49" s="183">
        <f t="shared" si="197"/>
        <v>11176571.237624362</v>
      </c>
      <c r="O49" s="183">
        <f t="shared" si="197"/>
        <v>10720087.821901303</v>
      </c>
      <c r="P49" s="183">
        <f t="shared" si="197"/>
        <v>10263604.406178243</v>
      </c>
      <c r="Q49" s="183">
        <f t="shared" si="197"/>
        <v>9807120.9904551841</v>
      </c>
      <c r="R49" s="183">
        <f t="shared" si="197"/>
        <v>9350637.5747321248</v>
      </c>
      <c r="S49" s="183">
        <f t="shared" si="197"/>
        <v>8894154.1590090655</v>
      </c>
      <c r="T49" s="183">
        <f t="shared" si="197"/>
        <v>8437670.7432860062</v>
      </c>
      <c r="U49" s="183">
        <f t="shared" si="197"/>
        <v>7981187.3275629468</v>
      </c>
      <c r="V49" s="183">
        <f t="shared" si="197"/>
        <v>7524703.9118398875</v>
      </c>
      <c r="W49" s="183">
        <f t="shared" si="197"/>
        <v>7068220.4961168282</v>
      </c>
      <c r="X49" s="183">
        <f t="shared" si="197"/>
        <v>6611737.0803937688</v>
      </c>
      <c r="Y49" s="183">
        <f t="shared" si="197"/>
        <v>6155253.6646707095</v>
      </c>
      <c r="Z49" s="183">
        <f t="shared" si="197"/>
        <v>5698770.2489476502</v>
      </c>
      <c r="AA49" s="183">
        <f t="shared" si="197"/>
        <v>5242286.8332245909</v>
      </c>
      <c r="AB49" s="183">
        <f t="shared" si="197"/>
        <v>4785803.4175015315</v>
      </c>
      <c r="AC49" s="183">
        <f t="shared" si="197"/>
        <v>4329320.0017784722</v>
      </c>
      <c r="AD49" s="183">
        <f t="shared" si="197"/>
        <v>3872836.5860554129</v>
      </c>
      <c r="AE49" s="183">
        <f t="shared" si="197"/>
        <v>3416353.1703323536</v>
      </c>
      <c r="AF49" s="183">
        <f t="shared" si="197"/>
        <v>2959869.7546092942</v>
      </c>
      <c r="AG49" s="183">
        <f t="shared" si="197"/>
        <v>2503386.3388862349</v>
      </c>
      <c r="AH49" s="183">
        <f t="shared" si="197"/>
        <v>2046902.9231631754</v>
      </c>
      <c r="AI49" s="183">
        <f t="shared" si="197"/>
        <v>1590419.5074401158</v>
      </c>
      <c r="AJ49" s="183">
        <f t="shared" si="197"/>
        <v>1133936.0917170562</v>
      </c>
      <c r="AK49" s="183">
        <f t="shared" si="197"/>
        <v>677452.67599399667</v>
      </c>
      <c r="AL49" s="183">
        <f t="shared" si="197"/>
        <v>220969.26027093717</v>
      </c>
      <c r="AM49" s="183">
        <f t="shared" si="197"/>
        <v>0.26027093717129901</v>
      </c>
      <c r="AN49" s="183">
        <f t="shared" si="197"/>
        <v>0.26027093717129901</v>
      </c>
      <c r="AO49" s="183">
        <f t="shared" ref="AO49:AP49" si="198">+AN49-AO45</f>
        <v>0.26027093717129901</v>
      </c>
      <c r="AP49" s="183">
        <f t="shared" si="198"/>
        <v>0.26027093717129901</v>
      </c>
      <c r="AQ49" s="169">
        <v>0</v>
      </c>
      <c r="AR49" s="169">
        <v>0</v>
      </c>
      <c r="AS49" s="169"/>
      <c r="AT49" s="169"/>
      <c r="AU49" s="169"/>
    </row>
    <row r="50" spans="2:210" x14ac:dyDescent="0.2"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</row>
    <row r="52" spans="2:210" x14ac:dyDescent="0.2">
      <c r="B52" s="172" t="s">
        <v>142</v>
      </c>
      <c r="C52" s="173">
        <v>0.08</v>
      </c>
      <c r="D52" s="174">
        <f>SUM(C$12*$C52)+SUM(('Total Annual Impact'!B4-E$12-F$12)*$C52*150%)</f>
        <v>1455265.8184293616</v>
      </c>
      <c r="E52" s="174">
        <f>SUM(('Total Annual Impact'!B4-D52)*$C52)+SUM((H$12-I$12-J$12)*$C52)</f>
        <v>945997.72844565113</v>
      </c>
      <c r="F52" s="174">
        <f>SUM(('Total Annual Impact'!B4-D52-E52)*$C52)+SUM((L$12-M$12-N$12)*$C52)*0</f>
        <v>870317.910169999</v>
      </c>
      <c r="G52" s="174">
        <f>SUM((O$12-D52-E52-F52)*$C52)+SUM((P$12-Q$12-R$12)*$C52)</f>
        <v>708450.69572264014</v>
      </c>
      <c r="H52" s="174">
        <f>((S$12-D52-E52-F52-G52)*$C52)+((T$12-U$12-V$12)*$C52)</f>
        <v>651774.64006482891</v>
      </c>
      <c r="I52" s="174">
        <f>SUM((W$12-D52-E52-F52-G52-H52)*$C52)+SUM((X$12-Y$12-Z$12)*$C52*0.5)</f>
        <v>599632.66885964258</v>
      </c>
      <c r="J52" s="174">
        <f>SUM((AA$12-D52-E52-F52-G52-H52-I52)*$C52)+SUM((AB$12-AC$12-AD$12)*$C52*0.5)</f>
        <v>551662.05535087117</v>
      </c>
      <c r="K52" s="174">
        <f>SUM((AE$12-D52-E52-F52-G52-H52-I52-J52)*$C52)+SUM((AF$12-AG$12-AH$12)*$C52*0.5)</f>
        <v>507529.09092280152</v>
      </c>
      <c r="L52" s="174">
        <f>+K54*$C$52</f>
        <v>466926.76364897739</v>
      </c>
      <c r="M52" s="174">
        <f>+L54*$C$52</f>
        <v>429572.62255705916</v>
      </c>
      <c r="N52" s="174">
        <f t="shared" ref="N52:S52" si="199">+M54*$C$52</f>
        <v>395206.81275249447</v>
      </c>
      <c r="O52" s="174">
        <f t="shared" si="199"/>
        <v>363590.26773229486</v>
      </c>
      <c r="P52" s="174">
        <f t="shared" si="199"/>
        <v>334503.04631371127</v>
      </c>
      <c r="Q52" s="174">
        <f t="shared" si="199"/>
        <v>307742.80260861432</v>
      </c>
      <c r="R52" s="174">
        <f t="shared" si="199"/>
        <v>283123.37839992525</v>
      </c>
      <c r="S52" s="174">
        <f t="shared" si="199"/>
        <v>260473.50812793121</v>
      </c>
      <c r="T52" s="174">
        <f t="shared" ref="T52:AN52" si="200">+S54*$C$52</f>
        <v>239635.62747769669</v>
      </c>
      <c r="U52" s="174">
        <f t="shared" si="200"/>
        <v>220464.777279481</v>
      </c>
      <c r="V52" s="174">
        <f t="shared" si="200"/>
        <v>202827.59509712248</v>
      </c>
      <c r="W52" s="174">
        <f t="shared" si="200"/>
        <v>186601.38748935267</v>
      </c>
      <c r="X52" s="174">
        <f t="shared" si="200"/>
        <v>171673.27649020447</v>
      </c>
      <c r="Y52" s="174">
        <f t="shared" si="200"/>
        <v>157939.41437098818</v>
      </c>
      <c r="Z52" s="174">
        <f t="shared" si="200"/>
        <v>145304.26122130916</v>
      </c>
      <c r="AA52" s="174">
        <f t="shared" si="200"/>
        <v>133679.92032360449</v>
      </c>
      <c r="AB52" s="174">
        <f t="shared" si="200"/>
        <v>122985.52669771612</v>
      </c>
      <c r="AC52" s="174">
        <f t="shared" si="200"/>
        <v>113146.68456189886</v>
      </c>
      <c r="AD52" s="174">
        <f t="shared" si="200"/>
        <v>104094.94979694695</v>
      </c>
      <c r="AE52" s="174">
        <f t="shared" si="200"/>
        <v>95767.353813191206</v>
      </c>
      <c r="AF52" s="174">
        <f t="shared" si="200"/>
        <v>88105.965508135851</v>
      </c>
      <c r="AG52" s="174">
        <f t="shared" si="200"/>
        <v>81057.488267485052</v>
      </c>
      <c r="AH52" s="174">
        <f t="shared" si="200"/>
        <v>74572.889206086256</v>
      </c>
      <c r="AI52" s="174">
        <f t="shared" si="200"/>
        <v>68607.058069599414</v>
      </c>
      <c r="AJ52" s="174">
        <f t="shared" si="200"/>
        <v>63118.49342403144</v>
      </c>
      <c r="AK52" s="174">
        <f t="shared" si="200"/>
        <v>58069.013950108885</v>
      </c>
      <c r="AL52" s="174">
        <f t="shared" si="200"/>
        <v>53423.492834100129</v>
      </c>
      <c r="AM52" s="174">
        <f t="shared" si="200"/>
        <v>49149.61340737209</v>
      </c>
      <c r="AN52" s="174">
        <f t="shared" si="200"/>
        <v>45217.644334782366</v>
      </c>
      <c r="AO52" s="174">
        <f t="shared" ref="AO52:AS52" si="201">+AN54*$C$52</f>
        <v>41600.232787999812</v>
      </c>
      <c r="AP52" s="174">
        <f>+AO54*$C$52</f>
        <v>38272.214164959791</v>
      </c>
      <c r="AQ52" s="174">
        <f t="shared" si="201"/>
        <v>35210.437031763046</v>
      </c>
      <c r="AR52" s="174">
        <f t="shared" si="201"/>
        <v>32393.602069222034</v>
      </c>
      <c r="AS52" s="174">
        <f t="shared" si="201"/>
        <v>29802.11390368432</v>
      </c>
      <c r="AT52" s="174">
        <f t="shared" ref="AT52" si="202">+AS54*$C$52</f>
        <v>27417.944791389556</v>
      </c>
      <c r="AU52" s="174">
        <f t="shared" ref="AU52" si="203">+AT54*$C$52</f>
        <v>25224.509208078383</v>
      </c>
      <c r="AV52" s="174">
        <f t="shared" ref="AV52" si="204">+AU54*$C$52</f>
        <v>23206.548471432179</v>
      </c>
      <c r="AW52" s="174">
        <f t="shared" ref="AW52" si="205">+AV54*$C$52</f>
        <v>21350.024593717604</v>
      </c>
      <c r="AX52" s="174">
        <f t="shared" ref="AX52" si="206">+AW54*$C$52</f>
        <v>19642.022626220136</v>
      </c>
      <c r="AY52" s="174">
        <f t="shared" ref="AY52" si="207">+AX54*$C$52</f>
        <v>18070.660816122592</v>
      </c>
      <c r="AZ52" s="174">
        <f t="shared" ref="AZ52" si="208">+AY54*$C$52</f>
        <v>16625.007950832845</v>
      </c>
      <c r="BA52" s="174">
        <f t="shared" ref="BA52" si="209">+AZ54*$C$52</f>
        <v>15295.007314766199</v>
      </c>
      <c r="BB52" s="174">
        <f t="shared" ref="BB52" si="210">+BA54*$C$52</f>
        <v>14071.406729584933</v>
      </c>
      <c r="BC52" s="174">
        <f t="shared" ref="BC52" si="211">+BB54*$C$52</f>
        <v>12945.694191218168</v>
      </c>
      <c r="BD52" s="174">
        <f t="shared" ref="BD52" si="212">+BC54*$C$52</f>
        <v>11910.038655920775</v>
      </c>
      <c r="BE52" s="174">
        <f t="shared" ref="BE52" si="213">+BD54*$C$52</f>
        <v>10957.235563447177</v>
      </c>
      <c r="BF52" s="174">
        <f t="shared" ref="BF52" si="214">+BE54*$C$52</f>
        <v>10080.656718371361</v>
      </c>
      <c r="BG52" s="174">
        <f t="shared" ref="BG52" si="215">+BF54*$C$52</f>
        <v>9274.2041809016464</v>
      </c>
      <c r="BH52" s="174">
        <f t="shared" ref="BH52" si="216">+BG54*$C$52</f>
        <v>8532.2678464294968</v>
      </c>
      <c r="BI52" s="174">
        <f t="shared" ref="BI52" si="217">+BH54*$C$52</f>
        <v>7849.6864187151195</v>
      </c>
      <c r="BJ52" s="174">
        <f t="shared" ref="BJ52" si="218">+BI54*$C$52</f>
        <v>7221.7115052178506</v>
      </c>
      <c r="BK52" s="174">
        <f t="shared" ref="BK52" si="219">+BJ54*$C$52</f>
        <v>6643.9745848004522</v>
      </c>
      <c r="BL52" s="174">
        <f t="shared" ref="BL52" si="220">+BK54*$C$52</f>
        <v>6112.456618016362</v>
      </c>
      <c r="BM52" s="174">
        <f t="shared" ref="BM52" si="221">+BL54*$C$52</f>
        <v>5623.4600885750351</v>
      </c>
      <c r="BN52" s="174">
        <f t="shared" ref="BN52" si="222">+BM54*$C$52</f>
        <v>5173.5832814890146</v>
      </c>
      <c r="BO52" s="174">
        <f t="shared" ref="BO52" si="223">+BN54*$C$52</f>
        <v>4759.6966189698878</v>
      </c>
      <c r="BP52" s="174">
        <f t="shared" ref="BP52" si="224">+BO54*$C$52</f>
        <v>4378.920889452249</v>
      </c>
      <c r="BQ52" s="174">
        <f t="shared" ref="BQ52" si="225">+BP54*$C$52</f>
        <v>4028.6072182960811</v>
      </c>
      <c r="BR52" s="174">
        <f t="shared" ref="BR52" si="226">+BQ54*$C$52</f>
        <v>3706.3186408324541</v>
      </c>
      <c r="BS52" s="174">
        <f t="shared" ref="BS52" si="227">+BR54*$C$52</f>
        <v>3409.8131495659054</v>
      </c>
      <c r="BT52" s="174">
        <f t="shared" ref="BT52" si="228">+BS54*$C$52</f>
        <v>3137.0280976006388</v>
      </c>
      <c r="BU52" s="174">
        <f t="shared" ref="BU52" si="229">+BT54*$C$52</f>
        <v>2886.0658497926593</v>
      </c>
      <c r="BV52" s="174">
        <f t="shared" ref="BV52" si="230">+BU54*$C$52</f>
        <v>2655.1805818092826</v>
      </c>
      <c r="BW52" s="174">
        <f t="shared" ref="BW52" si="231">+BV54*$C$52</f>
        <v>2442.7661352644859</v>
      </c>
      <c r="BX52" s="174">
        <f t="shared" ref="BX52" si="232">+BW54*$C$52</f>
        <v>2247.3448444433511</v>
      </c>
      <c r="BY52" s="174">
        <f t="shared" ref="BY52" si="233">+BX54*$C$52</f>
        <v>2067.5572568878533</v>
      </c>
      <c r="BZ52" s="174">
        <f t="shared" ref="BZ52" si="234">+BY54*$C$52</f>
        <v>1902.1526763367654</v>
      </c>
      <c r="CA52" s="174">
        <f t="shared" ref="CA52" si="235">+BZ54*$C$52</f>
        <v>1749.9804622298479</v>
      </c>
      <c r="CB52" s="174">
        <f t="shared" ref="CB52" si="236">+CA54*$C$52</f>
        <v>1609.9820252513887</v>
      </c>
      <c r="CC52" s="174">
        <f t="shared" ref="CC52" si="237">+CB54*$C$52</f>
        <v>1481.1834632313253</v>
      </c>
      <c r="CD52" s="174">
        <f t="shared" ref="CD52" si="238">+CC54*$C$52</f>
        <v>1362.6887861728669</v>
      </c>
      <c r="CE52" s="174">
        <f t="shared" ref="CE52" si="239">+CD54*$C$52</f>
        <v>1253.6736832790077</v>
      </c>
      <c r="CF52" s="174">
        <f t="shared" ref="CF52" si="240">+CE54*$C$52</f>
        <v>1153.3797886167467</v>
      </c>
      <c r="CG52" s="174">
        <f t="shared" ref="CG52" si="241">+CF54*$C$52</f>
        <v>1061.1094055274129</v>
      </c>
      <c r="CH52" s="174">
        <f t="shared" ref="CH52" si="242">+CG54*$C$52</f>
        <v>976.22065308526157</v>
      </c>
      <c r="CI52" s="174">
        <f t="shared" ref="CI52" si="243">+CH54*$C$52</f>
        <v>898.12300083845855</v>
      </c>
      <c r="CJ52" s="174">
        <f t="shared" ref="CJ52" si="244">+CI54*$C$52</f>
        <v>826.2731607714295</v>
      </c>
      <c r="CK52" s="174">
        <f t="shared" ref="CK52" si="245">+CJ54*$C$52</f>
        <v>760.17130790978672</v>
      </c>
      <c r="CL52" s="174">
        <f t="shared" ref="CL52" si="246">+CK54*$C$52</f>
        <v>699.35760327696801</v>
      </c>
      <c r="CM52" s="174">
        <f t="shared" ref="CM52" si="247">+CL54*$C$52</f>
        <v>643.40899501487615</v>
      </c>
      <c r="CN52" s="174">
        <f t="shared" ref="CN52" si="248">+CM54*$C$52</f>
        <v>591.93627541363242</v>
      </c>
      <c r="CO52" s="174">
        <f t="shared" ref="CO52" si="249">+CN54*$C$52</f>
        <v>544.58137338057156</v>
      </c>
      <c r="CP52" s="174">
        <f t="shared" ref="CP52" si="250">+CO54*$C$52</f>
        <v>501.01486351013187</v>
      </c>
      <c r="CQ52" s="174">
        <f t="shared" ref="CQ52" si="251">+CP54*$C$52</f>
        <v>460.93367442935704</v>
      </c>
      <c r="CR52" s="174">
        <f t="shared" ref="CR52" si="252">+CQ54*$C$52</f>
        <v>424.0589804750681</v>
      </c>
      <c r="CS52" s="174">
        <f t="shared" ref="CS52" si="253">+CR54*$C$52</f>
        <v>390.13426203712822</v>
      </c>
      <c r="CT52" s="174">
        <f t="shared" ref="CT52" si="254">+CS54*$C$52</f>
        <v>358.92352107420567</v>
      </c>
      <c r="CU52" s="174">
        <f t="shared" ref="CU52" si="255">+CT54*$C$52</f>
        <v>330.20963938832284</v>
      </c>
      <c r="CV52" s="174">
        <f t="shared" ref="CV52" si="256">+CU54*$C$52</f>
        <v>303.79286823719741</v>
      </c>
      <c r="CW52" s="174">
        <f t="shared" ref="CW52" si="257">+CV54*$C$52</f>
        <v>279.48943877816203</v>
      </c>
      <c r="CX52" s="174">
        <f t="shared" ref="CX52" si="258">+CW54*$C$52</f>
        <v>257.13028367593887</v>
      </c>
      <c r="CY52" s="174">
        <f t="shared" ref="CY52" si="259">+CX54*$C$52</f>
        <v>236.55986098185181</v>
      </c>
      <c r="CZ52" s="174">
        <f t="shared" ref="CZ52" si="260">+CY54*$C$52</f>
        <v>217.63507210329175</v>
      </c>
      <c r="DA52" s="174">
        <f t="shared" ref="DA52" si="261">+CZ54*$C$52</f>
        <v>200.22426633507013</v>
      </c>
      <c r="DB52" s="174">
        <f t="shared" ref="DB52" si="262">+DA54*$C$52</f>
        <v>184.20632502824068</v>
      </c>
      <c r="DC52" s="174">
        <f t="shared" ref="DC52" si="263">+DB54*$C$52</f>
        <v>169.46981902599336</v>
      </c>
      <c r="DD52" s="174">
        <f t="shared" ref="DD52" si="264">+DC54*$C$52</f>
        <v>155.91223350390791</v>
      </c>
      <c r="DE52" s="174">
        <f t="shared" ref="DE52" si="265">+DD54*$C$52</f>
        <v>143.43925482362508</v>
      </c>
      <c r="DF52" s="174">
        <f t="shared" ref="DF52" si="266">+DE54*$C$52</f>
        <v>131.96411443769932</v>
      </c>
      <c r="DG52" s="174">
        <f t="shared" ref="DG52" si="267">+DF54*$C$52</f>
        <v>121.40698528274893</v>
      </c>
      <c r="DH52" s="174">
        <f t="shared" ref="DH52" si="268">+DG54*$C$52</f>
        <v>111.6944264601171</v>
      </c>
      <c r="DI52" s="174">
        <f t="shared" ref="DI52" si="269">+DH54*$C$52</f>
        <v>102.75887234330177</v>
      </c>
      <c r="DJ52" s="174">
        <f t="shared" ref="DJ52" si="270">+DI54*$C$52</f>
        <v>94.538162555843599</v>
      </c>
      <c r="DK52" s="174">
        <f t="shared" ref="DK52" si="271">+DJ54*$C$52</f>
        <v>86.975109551399953</v>
      </c>
      <c r="DL52" s="174">
        <f t="shared" ref="DL52" si="272">+DK54*$C$52</f>
        <v>80.01710078731179</v>
      </c>
      <c r="DM52" s="174">
        <f t="shared" ref="DM52" si="273">+DL54*$C$52</f>
        <v>73.61573272436857</v>
      </c>
      <c r="DN52" s="174">
        <f t="shared" ref="DN52" si="274">+DM54*$C$52</f>
        <v>67.726474106460813</v>
      </c>
      <c r="DO52" s="174">
        <f t="shared" ref="DO52" si="275">+DN54*$C$52</f>
        <v>62.308356177955865</v>
      </c>
      <c r="DP52" s="174">
        <f t="shared" ref="DP52" si="276">+DO54*$C$52</f>
        <v>57.323687683790922</v>
      </c>
      <c r="DQ52" s="174">
        <f t="shared" ref="DQ52" si="277">+DP54*$C$52</f>
        <v>52.737792669087646</v>
      </c>
      <c r="DR52" s="174">
        <f t="shared" ref="DR52" si="278">+DQ54*$C$52</f>
        <v>48.518769255578519</v>
      </c>
      <c r="DS52" s="174">
        <f t="shared" ref="DS52" si="279">+DR54*$C$52</f>
        <v>44.637267715185878</v>
      </c>
      <c r="DT52" s="174">
        <f t="shared" ref="DT52" si="280">+DS54*$C$52</f>
        <v>41.066286298036573</v>
      </c>
      <c r="DU52" s="174">
        <f t="shared" ref="DU52" si="281">+DT54*$C$52</f>
        <v>37.780983394235371</v>
      </c>
      <c r="DV52" s="174">
        <f t="shared" ref="DV52" si="282">+DU54*$C$52</f>
        <v>34.758504722714427</v>
      </c>
      <c r="DW52" s="174">
        <f t="shared" ref="DW52" si="283">+DV54*$C$52</f>
        <v>31.977824344933033</v>
      </c>
      <c r="DX52" s="174">
        <f t="shared" ref="DX52" si="284">+DW54*$C$52</f>
        <v>29.419598397314548</v>
      </c>
      <c r="DY52" s="174">
        <f t="shared" ref="DY52" si="285">+DX54*$C$52</f>
        <v>27.066030525565147</v>
      </c>
      <c r="DZ52" s="174">
        <f t="shared" ref="DZ52" si="286">+DY54*$C$52</f>
        <v>24.900748083591463</v>
      </c>
      <c r="EA52" s="174">
        <f t="shared" ref="EA52" si="287">+DZ54*$C$52</f>
        <v>22.908688236922025</v>
      </c>
      <c r="EB52" s="174">
        <f t="shared" ref="EB52" si="288">+EA54*$C$52</f>
        <v>21.075993178039791</v>
      </c>
      <c r="EC52" s="174">
        <f t="shared" ref="EC52" si="289">+EB54*$C$52</f>
        <v>19.389913723766803</v>
      </c>
      <c r="ED52" s="174">
        <f t="shared" ref="ED52" si="290">+EC54*$C$52</f>
        <v>17.838720625936986</v>
      </c>
      <c r="EE52" s="174">
        <f t="shared" ref="EE52" si="291">+ED54*$C$52</f>
        <v>16.41162297591567</v>
      </c>
      <c r="EF52" s="174">
        <f t="shared" ref="EF52" si="292">+EE54*$C$52</f>
        <v>15.098693137913942</v>
      </c>
      <c r="EG52" s="174">
        <f t="shared" ref="EG52" si="293">+EF54*$C$52</f>
        <v>13.890797686874867</v>
      </c>
      <c r="EH52" s="174">
        <f t="shared" ref="EH52" si="294">+EG54*$C$52</f>
        <v>12.779533871859313</v>
      </c>
      <c r="EI52" s="174">
        <f t="shared" ref="EI52" si="295">+EH54*$C$52</f>
        <v>11.757171162068843</v>
      </c>
      <c r="EJ52" s="174">
        <f t="shared" ref="EJ52" si="296">+EI54*$C$52</f>
        <v>10.81659746915102</v>
      </c>
      <c r="EK52" s="174">
        <f t="shared" ref="EK52" si="297">+EJ54*$C$52</f>
        <v>9.9512696716189382</v>
      </c>
      <c r="EL52" s="174">
        <f t="shared" ref="EL52" si="298">+EK54*$C$52</f>
        <v>9.1551680979132648</v>
      </c>
      <c r="EM52" s="174">
        <f t="shared" ref="EM52" si="299">+EL54*$C$52</f>
        <v>8.4227546501159676</v>
      </c>
      <c r="EN52" s="174">
        <f t="shared" ref="EN52" si="300">+EM54*$C$52</f>
        <v>7.7489342780411246</v>
      </c>
      <c r="EO52" s="174">
        <f t="shared" ref="EO52" si="301">+EN54*$C$52</f>
        <v>7.1290195357799533</v>
      </c>
      <c r="EP52" s="174">
        <f t="shared" ref="EP52" si="302">+EO54*$C$52</f>
        <v>6.5586979728937154</v>
      </c>
      <c r="EQ52" s="174">
        <f t="shared" ref="EQ52" si="303">+EP54*$C$52</f>
        <v>6.0340021350979809</v>
      </c>
      <c r="ER52" s="174">
        <f t="shared" ref="ER52" si="304">+EQ54*$C$52</f>
        <v>5.5512819643318654</v>
      </c>
      <c r="ES52" s="174">
        <f t="shared" ref="ES52" si="305">+ER54*$C$52</f>
        <v>5.1071794071793555</v>
      </c>
      <c r="ET52" s="174">
        <f t="shared" ref="ET52" si="306">+ES54*$C$52</f>
        <v>4.6986050546169285</v>
      </c>
      <c r="EU52" s="174">
        <f t="shared" ref="EU52" si="307">+ET54*$C$52</f>
        <v>4.3227166502177718</v>
      </c>
      <c r="EV52" s="174">
        <f t="shared" ref="EV52" si="308">+EU54*$C$52</f>
        <v>3.9768993182480337</v>
      </c>
      <c r="EW52" s="174">
        <f t="shared" ref="EW52" si="309">+EV54*$C$52</f>
        <v>3.6587473727762698</v>
      </c>
      <c r="EX52" s="174">
        <f t="shared" ref="EX52" si="310">+EW54*$C$52</f>
        <v>3.3660475829243661</v>
      </c>
      <c r="EY52" s="174">
        <f t="shared" ref="EY52" si="311">+EX54*$C$52</f>
        <v>3.0967637762427329</v>
      </c>
      <c r="EZ52" s="174">
        <f t="shared" ref="EZ52" si="312">+EY54*$C$52</f>
        <v>2.8490226741135123</v>
      </c>
      <c r="FA52" s="174">
        <f t="shared" ref="FA52" si="313">+EZ54*$C$52</f>
        <v>2.6211008602380752</v>
      </c>
      <c r="FB52" s="174">
        <f t="shared" ref="FB52" si="314">+FA54*$C$52</f>
        <v>2.4114127914607524</v>
      </c>
      <c r="FC52" s="174">
        <f t="shared" ref="FC52" si="315">+FB54*$C$52</f>
        <v>2.2184997680783272</v>
      </c>
      <c r="FD52" s="174">
        <f t="shared" ref="FD52" si="316">+FC54*$C$52</f>
        <v>2.0410197865962982</v>
      </c>
      <c r="FE52" s="174">
        <f t="shared" ref="FE52" si="317">+FD54*$C$52</f>
        <v>1.8777382037043573</v>
      </c>
      <c r="FF52" s="174">
        <f t="shared" ref="FF52" si="318">+FE54*$C$52</f>
        <v>1.7275191473960876</v>
      </c>
      <c r="FG52" s="174">
        <f t="shared" ref="FG52" si="319">+FF54*$C$52</f>
        <v>1.5893176156282425</v>
      </c>
      <c r="FH52" s="174">
        <f t="shared" ref="FH52" si="320">+FG54*$C$52</f>
        <v>1.4621722063422202</v>
      </c>
      <c r="FI52" s="174">
        <f t="shared" ref="FI52" si="321">+FH54*$C$52</f>
        <v>1.3451984298229218</v>
      </c>
      <c r="FJ52" s="174">
        <f t="shared" ref="FJ52" si="322">+FI54*$C$52</f>
        <v>1.2375825554132462</v>
      </c>
      <c r="FK52" s="174">
        <f t="shared" ref="FK52" si="323">+FJ54*$C$52</f>
        <v>1.1385759510099889</v>
      </c>
      <c r="FL52" s="174">
        <f t="shared" ref="FL52" si="324">+FK54*$C$52</f>
        <v>1.047489874958992</v>
      </c>
      <c r="FM52" s="174">
        <f t="shared" ref="FM52" si="325">+FL54*$C$52</f>
        <v>0.96369068503379829</v>
      </c>
      <c r="FN52" s="174">
        <f t="shared" ref="FN52" si="326">+FM54*$C$52</f>
        <v>0.88659543022513387</v>
      </c>
      <c r="FO52" s="174">
        <f t="shared" ref="FO52" si="327">+FN54*$C$52</f>
        <v>0.8156677958369255</v>
      </c>
      <c r="FP52" s="174">
        <f t="shared" ref="FP52" si="328">+FO54*$C$52</f>
        <v>0.75041437223553664</v>
      </c>
      <c r="FQ52" s="174">
        <f t="shared" ref="FQ52" si="329">+FP54*$C$52</f>
        <v>0.6903812225162983</v>
      </c>
      <c r="FR52" s="174">
        <f t="shared" ref="FR52" si="330">+FQ54*$C$52</f>
        <v>0.63515072464942934</v>
      </c>
      <c r="FS52" s="174">
        <f t="shared" ref="FS52" si="331">+FR54*$C$52</f>
        <v>0.58433866664767264</v>
      </c>
      <c r="FT52" s="174">
        <f t="shared" ref="FT52" si="332">+FS54*$C$52</f>
        <v>0.53759157329797747</v>
      </c>
      <c r="FU52" s="174">
        <f t="shared" ref="FU52" si="333">+FT54*$C$52</f>
        <v>0.49458424746990204</v>
      </c>
      <c r="FV52" s="174">
        <f t="shared" ref="FV52" si="334">+FU54*$C$52</f>
        <v>0.45501750767230986</v>
      </c>
      <c r="FW52" s="174">
        <f t="shared" ref="FW52" si="335">+FV54*$C$52</f>
        <v>0.41861610710620883</v>
      </c>
      <c r="FX52" s="174">
        <f t="shared" ref="FX52" si="336">+FW54*$C$52</f>
        <v>0.38512681856751441</v>
      </c>
      <c r="FY52" s="174">
        <f t="shared" ref="FY52" si="337">+FX54*$C$52</f>
        <v>0.35431667312979698</v>
      </c>
      <c r="FZ52" s="174">
        <f t="shared" ref="FZ52" si="338">+FY54*$C$52</f>
        <v>0.32597133934497835</v>
      </c>
      <c r="GA52" s="174">
        <f t="shared" ref="GA52" si="339">+FZ54*$C$52</f>
        <v>0.29989363223314286</v>
      </c>
      <c r="GB52" s="174">
        <f t="shared" ref="GB52" si="340">+GA54*$C$52</f>
        <v>0.27590214163064958</v>
      </c>
      <c r="GC52" s="174">
        <f t="shared" ref="GC52" si="341">+GB54*$C$52</f>
        <v>0.25382997035980226</v>
      </c>
      <c r="GD52" s="174">
        <f t="shared" ref="GD52" si="342">+GC54*$C$52</f>
        <v>0.23352357268333435</v>
      </c>
      <c r="GE52" s="174">
        <f t="shared" ref="GE52" si="343">+GD54*$C$52</f>
        <v>0.21484168693423272</v>
      </c>
      <c r="GF52" s="174">
        <f t="shared" ref="GF52" si="344">+GE54*$C$52</f>
        <v>0.19765435203909876</v>
      </c>
      <c r="GG52" s="174">
        <f t="shared" ref="GG52" si="345">+GF54*$C$52</f>
        <v>0.18184200391173364</v>
      </c>
      <c r="GH52" s="174">
        <f t="shared" ref="GH52" si="346">+GG54*$C$52</f>
        <v>0.16729464367032051</v>
      </c>
      <c r="GI52" s="174">
        <f t="shared" ref="GI52" si="347">+GH54*$C$52</f>
        <v>0.15391107216477395</v>
      </c>
      <c r="GJ52" s="174">
        <f t="shared" ref="GJ52" si="348">+GI54*$C$52</f>
        <v>0.14159818634390831</v>
      </c>
      <c r="GK52" s="174">
        <f t="shared" ref="GK52" si="349">+GJ54*$C$52</f>
        <v>0.13027033150196077</v>
      </c>
      <c r="GL52" s="174">
        <f t="shared" ref="GL52" si="350">+GK54*$C$52</f>
        <v>0.11984870493412018</v>
      </c>
      <c r="GM52" s="174">
        <f t="shared" ref="GM52" si="351">+GL54*$C$52</f>
        <v>0.110260808467865</v>
      </c>
      <c r="GN52" s="174">
        <f t="shared" ref="GN52" si="352">+GM54*$C$52</f>
        <v>0.10143994376063348</v>
      </c>
      <c r="GO52" s="174">
        <f t="shared" ref="GO52" si="353">+GN54*$C$52</f>
        <v>9.3324748277664182E-2</v>
      </c>
      <c r="GP52" s="174">
        <f t="shared" ref="GP52" si="354">+GO54*$C$52</f>
        <v>8.5858768373727801E-2</v>
      </c>
      <c r="GQ52" s="174">
        <f t="shared" ref="GQ52" si="355">+GP54*$C$52</f>
        <v>7.8990066945552828E-2</v>
      </c>
      <c r="GR52" s="174">
        <f t="shared" ref="GR52" si="356">+GQ54*$C$52</f>
        <v>7.2670861631631847E-2</v>
      </c>
      <c r="GS52" s="174">
        <f t="shared" ref="GS52" si="357">+GR54*$C$52</f>
        <v>6.6857192665338516E-2</v>
      </c>
      <c r="GT52" s="174">
        <f t="shared" ref="GT52" si="358">+GS54*$C$52</f>
        <v>6.1508617252111437E-2</v>
      </c>
      <c r="GU52" s="174">
        <f t="shared" ref="GU52" si="359">+GT54*$C$52</f>
        <v>5.658792793750763E-2</v>
      </c>
      <c r="GV52" s="174">
        <f t="shared" ref="GV52" si="360">+GU54*$C$52</f>
        <v>5.2060893774032592E-2</v>
      </c>
      <c r="GW52" s="174">
        <f t="shared" ref="GW52" si="361">+GV54*$C$52</f>
        <v>4.7896022200584414E-2</v>
      </c>
      <c r="GX52" s="174">
        <f t="shared" ref="GX52:GZ52" si="362">+GW54*$C$52</f>
        <v>4.4064340442419053E-2</v>
      </c>
      <c r="GY52" s="174">
        <f t="shared" si="362"/>
        <v>4.053919315338135E-2</v>
      </c>
      <c r="GZ52" s="174">
        <f t="shared" si="362"/>
        <v>3.7296057641506196E-2</v>
      </c>
      <c r="HA52" s="174">
        <f t="shared" ref="HA52" si="363">+GZ54*$C$52</f>
        <v>3.4312373101711272E-2</v>
      </c>
      <c r="HB52" s="174">
        <f t="shared" ref="HB52" si="364">+HA54*$C$52</f>
        <v>3.1567383259534836E-2</v>
      </c>
    </row>
    <row r="54" spans="2:210" ht="13.5" x14ac:dyDescent="0.35">
      <c r="B54" s="171" t="s">
        <v>148</v>
      </c>
      <c r="E54" s="244"/>
      <c r="K54" s="169">
        <f>AI18-SUM(D52:K52)</f>
        <v>5836584.5456122169</v>
      </c>
      <c r="L54" s="169">
        <f>$AI$18-SUM($D52:L52)</f>
        <v>5369657.7819632394</v>
      </c>
      <c r="M54" s="169">
        <f>$AI$18-SUM($D52:M52)</f>
        <v>4940085.1594061805</v>
      </c>
      <c r="N54" s="169">
        <f>$AI$18-SUM($D52:N52)</f>
        <v>4544878.3466536859</v>
      </c>
      <c r="O54" s="169">
        <f>$AI$18-SUM($D52:O52)</f>
        <v>4181288.0789213907</v>
      </c>
      <c r="P54" s="169">
        <f>$AI$18-SUM($D52:P52)</f>
        <v>3846785.0326076793</v>
      </c>
      <c r="Q54" s="169">
        <f>$AI$18-SUM($D52:Q52)</f>
        <v>3539042.2299990654</v>
      </c>
      <c r="R54" s="169">
        <f>$AI$18-SUM($D52:R52)</f>
        <v>3255918.8515991401</v>
      </c>
      <c r="S54" s="169">
        <f>$AI$18-SUM($D52:S52)</f>
        <v>2995445.3434712086</v>
      </c>
      <c r="T54" s="169">
        <f>$AI$18-SUM($D52:T52)</f>
        <v>2755809.7159935124</v>
      </c>
      <c r="U54" s="169">
        <f>$AI$18-SUM($D52:U52)</f>
        <v>2535344.9387140311</v>
      </c>
      <c r="V54" s="169">
        <f>$AI$18-SUM($D52:V52)</f>
        <v>2332517.3436169084</v>
      </c>
      <c r="W54" s="169">
        <f>$AI$18-SUM($D52:W52)</f>
        <v>2145915.956127556</v>
      </c>
      <c r="X54" s="169">
        <f>$AI$18-SUM($D52:X52)</f>
        <v>1974242.679637352</v>
      </c>
      <c r="Y54" s="169">
        <f>$AI$18-SUM($D52:Y52)</f>
        <v>1816303.2652663644</v>
      </c>
      <c r="Z54" s="169">
        <f>$AI$18-SUM($D52:Z52)</f>
        <v>1670999.0040450562</v>
      </c>
      <c r="AA54" s="169">
        <f>$AI$18-SUM($D52:AA52)</f>
        <v>1537319.0837214515</v>
      </c>
      <c r="AB54" s="169">
        <f>$AI$18-SUM($D52:AB52)</f>
        <v>1414333.5570237357</v>
      </c>
      <c r="AC54" s="169">
        <f>$AI$18-SUM($D52:AC52)</f>
        <v>1301186.8724618368</v>
      </c>
      <c r="AD54" s="169">
        <f>$AI$18-SUM($D52:AD52)</f>
        <v>1197091.9226648901</v>
      </c>
      <c r="AE54" s="169">
        <f>$AI$18-SUM($D52:AE52)</f>
        <v>1101324.5688516982</v>
      </c>
      <c r="AF54" s="169">
        <f>$AI$18-SUM($D52:AF52)</f>
        <v>1013218.6033435632</v>
      </c>
      <c r="AG54" s="169">
        <f>$AI$18-SUM($D52:AG52)</f>
        <v>932161.1150760781</v>
      </c>
      <c r="AH54" s="169">
        <f>$AI$18-SUM($D52:AH52)</f>
        <v>857588.22586999275</v>
      </c>
      <c r="AI54" s="169">
        <f>$AI$18-SUM($D52:AI52)</f>
        <v>788981.16780039296</v>
      </c>
      <c r="AJ54" s="169">
        <f>$AI$18-SUM($D52:AJ52)</f>
        <v>725862.67437636107</v>
      </c>
      <c r="AK54" s="169">
        <f>$AI$18-SUM($D52:AK52)</f>
        <v>667793.66042625159</v>
      </c>
      <c r="AL54" s="169">
        <f>$AI$18-SUM($D52:AL52)</f>
        <v>614370.16759215109</v>
      </c>
      <c r="AM54" s="169">
        <f>$AI$18-SUM($D52:AM52)</f>
        <v>565220.55418477952</v>
      </c>
      <c r="AN54" s="169">
        <f>$AI$18-SUM($D52:AN52)</f>
        <v>520002.90984999761</v>
      </c>
      <c r="AO54" s="169">
        <f>$AI$18-SUM($D52:AO52)</f>
        <v>478402.67706199735</v>
      </c>
      <c r="AP54" s="169">
        <f>$AI$18-SUM($D52:AP52)</f>
        <v>440130.46289703809</v>
      </c>
      <c r="AQ54" s="169">
        <f>$AI$18-SUM($D52:AQ52)</f>
        <v>404920.02586527541</v>
      </c>
      <c r="AR54" s="169">
        <f>$AI$18-SUM($D52:AR52)</f>
        <v>372526.42379605398</v>
      </c>
      <c r="AS54" s="169">
        <f>$AI$18-SUM($D52:AS52)</f>
        <v>342724.30989236943</v>
      </c>
      <c r="AT54" s="169">
        <f>$AI$18-SUM($D52:AT52)</f>
        <v>315306.3651009798</v>
      </c>
      <c r="AU54" s="169">
        <f>$AI$18-SUM($D52:AU52)</f>
        <v>290081.85589290224</v>
      </c>
      <c r="AV54" s="169">
        <f>$AI$18-SUM($D52:AV52)</f>
        <v>266875.30742147006</v>
      </c>
      <c r="AW54" s="169">
        <f>$AI$18-SUM($D52:AW52)</f>
        <v>245525.28282775171</v>
      </c>
      <c r="AX54" s="169">
        <f>$AI$18-SUM($D52:AX52)</f>
        <v>225883.26020153239</v>
      </c>
      <c r="AY54" s="169">
        <f>$AI$18-SUM($D52:AY52)</f>
        <v>207812.59938541055</v>
      </c>
      <c r="AZ54" s="169">
        <f>$AI$18-SUM($D52:AZ52)</f>
        <v>191187.59143457748</v>
      </c>
      <c r="BA54" s="169">
        <f>$AI$18-SUM($D52:BA52)</f>
        <v>175892.58411981165</v>
      </c>
      <c r="BB54" s="169">
        <f>$AI$18-SUM($D52:BB52)</f>
        <v>161821.17739022709</v>
      </c>
      <c r="BC54" s="169">
        <f>$AI$18-SUM($D52:BC52)</f>
        <v>148875.48319900967</v>
      </c>
      <c r="BD54" s="169">
        <f>$AI$18-SUM($D52:BD52)</f>
        <v>136965.44454308972</v>
      </c>
      <c r="BE54" s="169">
        <f>$AI$18-SUM($D52:BE52)</f>
        <v>126008.20897964202</v>
      </c>
      <c r="BF54" s="169">
        <f>$AI$18-SUM($D52:BF52)</f>
        <v>115927.55226127058</v>
      </c>
      <c r="BG54" s="169">
        <f>$AI$18-SUM($D52:BG52)</f>
        <v>106653.34808036871</v>
      </c>
      <c r="BH54" s="169">
        <f>$AI$18-SUM($D52:BH52)</f>
        <v>98121.080233938992</v>
      </c>
      <c r="BI54" s="169">
        <f>$AI$18-SUM($D52:BI52)</f>
        <v>90271.393815223128</v>
      </c>
      <c r="BJ54" s="169">
        <f>$AI$18-SUM($D52:BJ52)</f>
        <v>83049.68231000565</v>
      </c>
      <c r="BK54" s="169">
        <f>$AI$18-SUM($D52:BK52)</f>
        <v>76405.707725204527</v>
      </c>
      <c r="BL54" s="169">
        <f>$AI$18-SUM($D52:BL52)</f>
        <v>70293.251107187942</v>
      </c>
      <c r="BM54" s="169">
        <f>$AI$18-SUM($D52:BM52)</f>
        <v>64669.791018612683</v>
      </c>
      <c r="BN54" s="169">
        <f>$AI$18-SUM($D52:BN52)</f>
        <v>59496.207737123594</v>
      </c>
      <c r="BO54" s="169">
        <f>$AI$18-SUM($D52:BO52)</f>
        <v>54736.51111815311</v>
      </c>
      <c r="BP54" s="169">
        <f>$AI$18-SUM($D52:BP52)</f>
        <v>50357.59022870101</v>
      </c>
      <c r="BQ54" s="169">
        <f>$AI$18-SUM($D52:BQ52)</f>
        <v>46328.983010405675</v>
      </c>
      <c r="BR54" s="169">
        <f>$AI$18-SUM($D52:BR52)</f>
        <v>42622.664369573817</v>
      </c>
      <c r="BS54" s="169">
        <f>$AI$18-SUM($D52:BS52)</f>
        <v>39212.851220007986</v>
      </c>
      <c r="BT54" s="169">
        <f>$AI$18-SUM($D52:BT52)</f>
        <v>36075.823122408241</v>
      </c>
      <c r="BU54" s="169">
        <f>$AI$18-SUM($D52:BU52)</f>
        <v>33189.757272616029</v>
      </c>
      <c r="BV54" s="169">
        <f>$AI$18-SUM($D52:BV52)</f>
        <v>30534.576690806076</v>
      </c>
      <c r="BW54" s="169">
        <f>$AI$18-SUM($D52:BW52)</f>
        <v>28091.810555541888</v>
      </c>
      <c r="BX54" s="169">
        <f>$AI$18-SUM($D52:BX52)</f>
        <v>25844.465711098164</v>
      </c>
      <c r="BY54" s="169">
        <f>$AI$18-SUM($D52:BY52)</f>
        <v>23776.908454209566</v>
      </c>
      <c r="BZ54" s="169">
        <f>$AI$18-SUM($D52:BZ52)</f>
        <v>21874.755777873099</v>
      </c>
      <c r="CA54" s="169">
        <f>$AI$18-SUM($D52:CA52)</f>
        <v>20124.775315642357</v>
      </c>
      <c r="CB54" s="169">
        <f>$AI$18-SUM($D52:CB52)</f>
        <v>18514.793290391564</v>
      </c>
      <c r="CC54" s="169">
        <f>$AI$18-SUM($D52:CC52)</f>
        <v>17033.609827160835</v>
      </c>
      <c r="CD54" s="169">
        <f>$AI$18-SUM($D52:CD52)</f>
        <v>15670.921040987596</v>
      </c>
      <c r="CE54" s="169">
        <f>$AI$18-SUM($D52:CE52)</f>
        <v>14417.247357709333</v>
      </c>
      <c r="CF54" s="169">
        <f>$AI$18-SUM($D52:CF52)</f>
        <v>13263.867569092661</v>
      </c>
      <c r="CG54" s="169">
        <f>$AI$18-SUM($D52:CG52)</f>
        <v>12202.75816356577</v>
      </c>
      <c r="CH54" s="169">
        <f>$AI$18-SUM($D52:CH52)</f>
        <v>11226.537510480732</v>
      </c>
      <c r="CI54" s="169">
        <f>$AI$18-SUM($D52:CI52)</f>
        <v>10328.414509642869</v>
      </c>
      <c r="CJ54" s="169">
        <f>$AI$18-SUM($D52:CJ52)</f>
        <v>9502.1413488723338</v>
      </c>
      <c r="CK54" s="169">
        <f>$AI$18-SUM($D52:CK52)</f>
        <v>8741.9700409621</v>
      </c>
      <c r="CL54" s="169">
        <f>$AI$18-SUM($D52:CL52)</f>
        <v>8042.6124376859516</v>
      </c>
      <c r="CM54" s="169">
        <f>$AI$18-SUM($D52:CM52)</f>
        <v>7399.2034426704049</v>
      </c>
      <c r="CN54" s="169">
        <f>$AI$18-SUM($D52:CN52)</f>
        <v>6807.267167257145</v>
      </c>
      <c r="CO54" s="169">
        <f>$AI$18-SUM($D52:CO52)</f>
        <v>6262.6857938766479</v>
      </c>
      <c r="CP54" s="169">
        <f>$AI$18-SUM($D52:CP52)</f>
        <v>5761.6709303669631</v>
      </c>
      <c r="CQ54" s="169">
        <f>$AI$18-SUM($D52:CQ52)</f>
        <v>5300.7372559383512</v>
      </c>
      <c r="CR54" s="169">
        <f>$AI$18-SUM($D52:CR52)</f>
        <v>4876.6782754641026</v>
      </c>
      <c r="CS54" s="169">
        <f>$AI$18-SUM($D52:CS52)</f>
        <v>4486.5440134275705</v>
      </c>
      <c r="CT54" s="169">
        <f>$AI$18-SUM($D52:CT52)</f>
        <v>4127.6204923540354</v>
      </c>
      <c r="CU54" s="169">
        <f>$AI$18-SUM($D52:CU52)</f>
        <v>3797.4108529649675</v>
      </c>
      <c r="CV54" s="169">
        <f>$AI$18-SUM($D52:CV52)</f>
        <v>3493.617984727025</v>
      </c>
      <c r="CW54" s="169">
        <f>$AI$18-SUM($D52:CW52)</f>
        <v>3214.1285459492356</v>
      </c>
      <c r="CX54" s="169">
        <f>$AI$18-SUM($D52:CX52)</f>
        <v>2956.9982622731477</v>
      </c>
      <c r="CY54" s="169">
        <f>$AI$18-SUM($D52:CY52)</f>
        <v>2720.4384012911469</v>
      </c>
      <c r="CZ54" s="169">
        <f>$AI$18-SUM($D52:CZ52)</f>
        <v>2502.8033291883767</v>
      </c>
      <c r="DA54" s="169">
        <f>$AI$18-SUM($D52:DA52)</f>
        <v>2302.5790628530085</v>
      </c>
      <c r="DB54" s="169">
        <f>$AI$18-SUM($D52:DB52)</f>
        <v>2118.3727378249168</v>
      </c>
      <c r="DC54" s="169">
        <f>$AI$18-SUM($D52:DC52)</f>
        <v>1948.902918798849</v>
      </c>
      <c r="DD54" s="169">
        <f>$AI$18-SUM($D52:DD52)</f>
        <v>1792.9906852953136</v>
      </c>
      <c r="DE54" s="169">
        <f>$AI$18-SUM($D52:DE52)</f>
        <v>1649.5514304712415</v>
      </c>
      <c r="DF54" s="169">
        <f>$AI$18-SUM($D52:DF52)</f>
        <v>1517.5873160343617</v>
      </c>
      <c r="DG54" s="169">
        <f>$AI$18-SUM($D52:DG52)</f>
        <v>1396.1803307514638</v>
      </c>
      <c r="DH54" s="169">
        <f>$AI$18-SUM($D52:DH52)</f>
        <v>1284.4859042912722</v>
      </c>
      <c r="DI54" s="169">
        <f>$AI$18-SUM($D52:DI52)</f>
        <v>1181.7270319480449</v>
      </c>
      <c r="DJ54" s="169">
        <f>$AI$18-SUM($D52:DJ52)</f>
        <v>1087.1888693924993</v>
      </c>
      <c r="DK54" s="169">
        <f>$AI$18-SUM($D52:DK52)</f>
        <v>1000.2137598413974</v>
      </c>
      <c r="DL54" s="169">
        <f>$AI$18-SUM($D52:DL52)</f>
        <v>920.19665905460715</v>
      </c>
      <c r="DM54" s="169">
        <f>$AI$18-SUM($D52:DM52)</f>
        <v>846.58092633076012</v>
      </c>
      <c r="DN54" s="169">
        <f>$AI$18-SUM($D52:DN52)</f>
        <v>778.85445222444832</v>
      </c>
      <c r="DO54" s="169">
        <f>$AI$18-SUM($D52:DO52)</f>
        <v>716.54609604738653</v>
      </c>
      <c r="DP54" s="169">
        <f>$AI$18-SUM($D52:DP52)</f>
        <v>659.2224083635956</v>
      </c>
      <c r="DQ54" s="169">
        <f>$AI$18-SUM($D52:DQ52)</f>
        <v>606.48461569473147</v>
      </c>
      <c r="DR54" s="169">
        <f>$AI$18-SUM($D52:DR52)</f>
        <v>557.96584643982351</v>
      </c>
      <c r="DS54" s="169">
        <f>$AI$18-SUM($D52:DS52)</f>
        <v>513.32857872545719</v>
      </c>
      <c r="DT54" s="169">
        <f>$AI$18-SUM($D52:DT52)</f>
        <v>472.26229242794216</v>
      </c>
      <c r="DU54" s="169">
        <f>$AI$18-SUM($D52:DU52)</f>
        <v>434.4813090339303</v>
      </c>
      <c r="DV54" s="169">
        <f>$AI$18-SUM($D52:DV52)</f>
        <v>399.72280431166291</v>
      </c>
      <c r="DW54" s="169">
        <f>$AI$18-SUM($D52:DW52)</f>
        <v>367.74497996643186</v>
      </c>
      <c r="DX54" s="169">
        <f>$AI$18-SUM($D52:DX52)</f>
        <v>338.32538156956434</v>
      </c>
      <c r="DY54" s="169">
        <f>$AI$18-SUM($D52:DY52)</f>
        <v>311.25935104489326</v>
      </c>
      <c r="DZ54" s="169">
        <f>$AI$18-SUM($D52:DZ52)</f>
        <v>286.35860296152532</v>
      </c>
      <c r="EA54" s="169">
        <f>$AI$18-SUM($D52:EA52)</f>
        <v>263.44991472549736</v>
      </c>
      <c r="EB54" s="169">
        <f>$AI$18-SUM($D52:EB52)</f>
        <v>242.37392154708505</v>
      </c>
      <c r="EC54" s="169">
        <f>$AI$18-SUM($D52:EC52)</f>
        <v>222.98400782421231</v>
      </c>
      <c r="ED54" s="169">
        <f>$AI$18-SUM($D52:ED52)</f>
        <v>205.14528719894588</v>
      </c>
      <c r="EE54" s="169">
        <f>$AI$18-SUM($D52:EE52)</f>
        <v>188.73366422392428</v>
      </c>
      <c r="EF54" s="169">
        <f>$AI$18-SUM($D52:EF52)</f>
        <v>173.63497108593583</v>
      </c>
      <c r="EG54" s="169">
        <f>$AI$18-SUM($D52:EG52)</f>
        <v>159.7441733982414</v>
      </c>
      <c r="EH54" s="169">
        <f>$AI$18-SUM($D52:EH52)</f>
        <v>146.96463952586055</v>
      </c>
      <c r="EI54" s="169">
        <f>$AI$18-SUM($D52:EI52)</f>
        <v>135.20746836438775</v>
      </c>
      <c r="EJ54" s="169">
        <f>$AI$18-SUM($D52:EJ52)</f>
        <v>124.39087089523673</v>
      </c>
      <c r="EK54" s="169">
        <f>$AI$18-SUM($D52:EK52)</f>
        <v>114.43960122391582</v>
      </c>
      <c r="EL54" s="169">
        <f>$AI$18-SUM($D52:EL52)</f>
        <v>105.28443312644958</v>
      </c>
      <c r="EM54" s="169">
        <f>$AI$18-SUM($D52:EM52)</f>
        <v>96.861678475514054</v>
      </c>
      <c r="EN54" s="169">
        <f>$AI$18-SUM($D52:EN52)</f>
        <v>89.112744197249413</v>
      </c>
      <c r="EO54" s="169">
        <f>$AI$18-SUM($D52:EO52)</f>
        <v>81.983724661171436</v>
      </c>
      <c r="EP54" s="169">
        <f>$AI$18-SUM($D52:EP52)</f>
        <v>75.425026688724756</v>
      </c>
      <c r="EQ54" s="169">
        <f>$AI$18-SUM($D52:EQ52)</f>
        <v>69.391024554148316</v>
      </c>
      <c r="ER54" s="169">
        <f>$AI$18-SUM($D52:ER52)</f>
        <v>63.839742589741945</v>
      </c>
      <c r="ES54" s="169">
        <f>$AI$18-SUM($D52:ES52)</f>
        <v>58.732563182711601</v>
      </c>
      <c r="ET54" s="169">
        <f>$AI$18-SUM($D52:ET52)</f>
        <v>54.033958127722144</v>
      </c>
      <c r="EU54" s="169">
        <f>$AI$18-SUM($D52:EU52)</f>
        <v>49.711241478100419</v>
      </c>
      <c r="EV54" s="169">
        <f>$AI$18-SUM($D52:EV52)</f>
        <v>45.734342159703374</v>
      </c>
      <c r="EW54" s="169">
        <f>$AI$18-SUM($D52:EW52)</f>
        <v>42.075594786554575</v>
      </c>
      <c r="EX54" s="169">
        <f>$AI$18-SUM($D52:EX52)</f>
        <v>38.709547203034163</v>
      </c>
      <c r="EY54" s="169">
        <f>$AI$18-SUM($D52:EY52)</f>
        <v>35.6127834264189</v>
      </c>
      <c r="EZ54" s="169">
        <f>$AI$18-SUM($D52:EZ52)</f>
        <v>32.763760752975941</v>
      </c>
      <c r="FA54" s="169">
        <f>$AI$18-SUM($D52:FA52)</f>
        <v>30.142659893259406</v>
      </c>
      <c r="FB54" s="169">
        <f>$AI$18-SUM($D52:FB52)</f>
        <v>27.73124710097909</v>
      </c>
      <c r="FC54" s="169">
        <f>$AI$18-SUM($D52:FC52)</f>
        <v>25.512747332453728</v>
      </c>
      <c r="FD54" s="169">
        <f>$AI$18-SUM($D52:FD52)</f>
        <v>23.471727546304464</v>
      </c>
      <c r="FE54" s="169">
        <f>$AI$18-SUM($D52:FE52)</f>
        <v>21.593989342451096</v>
      </c>
      <c r="FF54" s="169">
        <f>$AI$18-SUM($D52:FF52)</f>
        <v>19.866470195353031</v>
      </c>
      <c r="FG54" s="169">
        <f>$AI$18-SUM($D52:FG52)</f>
        <v>18.277152579277754</v>
      </c>
      <c r="FH54" s="169">
        <f>$AI$18-SUM($D52:FH52)</f>
        <v>16.814980372786522</v>
      </c>
      <c r="FI54" s="169">
        <f>$AI$18-SUM($D52:FI52)</f>
        <v>15.469781942665577</v>
      </c>
      <c r="FJ54" s="169">
        <f>$AI$18-SUM($D52:FJ52)</f>
        <v>14.23219938762486</v>
      </c>
      <c r="FK54" s="169">
        <f>$AI$18-SUM($D52:FK52)</f>
        <v>13.0936234369874</v>
      </c>
      <c r="FL54" s="169">
        <f>$AI$18-SUM($D52:FL52)</f>
        <v>12.046133562922478</v>
      </c>
      <c r="FM54" s="169">
        <f>$AI$18-SUM($D52:FM52)</f>
        <v>11.082442877814174</v>
      </c>
      <c r="FN54" s="169">
        <f>$AI$18-SUM($D52:FN52)</f>
        <v>10.195847447961569</v>
      </c>
      <c r="FO54" s="169">
        <f>$AI$18-SUM($D52:FO52)</f>
        <v>9.3801796529442072</v>
      </c>
      <c r="FP54" s="169">
        <f>$AI$18-SUM($D52:FP52)</f>
        <v>8.6297652814537287</v>
      </c>
      <c r="FQ54" s="169">
        <f>$AI$18-SUM($D52:FQ52)</f>
        <v>7.9393840581178665</v>
      </c>
      <c r="FR54" s="169">
        <f>$AI$18-SUM($D52:FR52)</f>
        <v>7.3042333330959082</v>
      </c>
      <c r="FS54" s="169">
        <f>$AI$18-SUM($D52:FS52)</f>
        <v>6.7198946662247181</v>
      </c>
      <c r="FT54" s="169">
        <f>$AI$18-SUM($D52:FT52)</f>
        <v>6.1823030933737755</v>
      </c>
      <c r="FU54" s="169">
        <f>$AI$18-SUM($D52:FU52)</f>
        <v>5.6877188459038734</v>
      </c>
      <c r="FV54" s="169">
        <f>$AI$18-SUM($D52:FV52)</f>
        <v>5.23270133882761</v>
      </c>
      <c r="FW54" s="169">
        <f>$AI$18-SUM($D52:FW52)</f>
        <v>4.8140852320939302</v>
      </c>
      <c r="FX54" s="169">
        <f>$AI$18-SUM($D52:FX52)</f>
        <v>4.4289584141224623</v>
      </c>
      <c r="FY54" s="169">
        <f>$AI$18-SUM($D52:FY52)</f>
        <v>4.0746417418122292</v>
      </c>
      <c r="FZ54" s="169">
        <f>$AI$18-SUM($D52:FZ52)</f>
        <v>3.7486704029142857</v>
      </c>
      <c r="GA54" s="169">
        <f>$AI$18-SUM($D52:GA52)</f>
        <v>3.4487767703831196</v>
      </c>
      <c r="GB54" s="169">
        <f>$AI$18-SUM($D52:GB52)</f>
        <v>3.1728746294975281</v>
      </c>
      <c r="GC54" s="169">
        <f>$AI$18-SUM($D52:GC52)</f>
        <v>2.9190446585416794</v>
      </c>
      <c r="GD54" s="169">
        <f>$AI$18-SUM($D52:GD52)</f>
        <v>2.6855210866779089</v>
      </c>
      <c r="GE54" s="169">
        <f>$AI$18-SUM($D52:GE52)</f>
        <v>2.4706794004887342</v>
      </c>
      <c r="GF54" s="169">
        <f>$AI$18-SUM($D52:GF52)</f>
        <v>2.2730250488966703</v>
      </c>
      <c r="GG54" s="169">
        <f>$AI$18-SUM($D52:GG52)</f>
        <v>2.0911830458790064</v>
      </c>
      <c r="GH54" s="169">
        <f>$AI$18-SUM($D52:GH52)</f>
        <v>1.9238884020596743</v>
      </c>
      <c r="GI54" s="169">
        <f>$AI$18-SUM($D52:GI52)</f>
        <v>1.7699773292988539</v>
      </c>
      <c r="GJ54" s="169">
        <f>$AI$18-SUM($D52:GJ52)</f>
        <v>1.6283791437745094</v>
      </c>
      <c r="GK54" s="169">
        <f>$AI$18-SUM($D52:GK52)</f>
        <v>1.4981088116765022</v>
      </c>
      <c r="GL54" s="169">
        <f>$AI$18-SUM($D52:GL52)</f>
        <v>1.3782601058483124</v>
      </c>
      <c r="GM54" s="169">
        <f>$AI$18-SUM($D52:GM52)</f>
        <v>1.2679992970079184</v>
      </c>
      <c r="GN54" s="169">
        <f>$AI$18-SUM($D52:GN52)</f>
        <v>1.1665593534708023</v>
      </c>
      <c r="GO54" s="169">
        <f>$AI$18-SUM($D52:GO52)</f>
        <v>1.0732346046715975</v>
      </c>
      <c r="GP54" s="169">
        <f>$AI$18-SUM($D52:GP52)</f>
        <v>0.98737583681941032</v>
      </c>
      <c r="GQ54" s="169">
        <f>$AI$18-SUM($D52:GQ52)</f>
        <v>0.90838577039539814</v>
      </c>
      <c r="GR54" s="169">
        <f>$AI$18-SUM($D52:GR52)</f>
        <v>0.83571490831673145</v>
      </c>
      <c r="GS54" s="169">
        <f>$AI$18-SUM($D52:GS52)</f>
        <v>0.76885771565139294</v>
      </c>
      <c r="GT54" s="169">
        <f>$AI$18-SUM($D52:GT52)</f>
        <v>0.70734909921884537</v>
      </c>
      <c r="GU54" s="169">
        <f>$AI$18-SUM($D52:GU52)</f>
        <v>0.65076117217540741</v>
      </c>
      <c r="GV54" s="169">
        <f>$AI$18-SUM($D52:GV52)</f>
        <v>0.59870027750730515</v>
      </c>
      <c r="GW54" s="169">
        <f>$AI$18-SUM($D52:GW52)</f>
        <v>0.55080425553023815</v>
      </c>
      <c r="GX54" s="169">
        <f>$AI$18-SUM($D52:GX52)</f>
        <v>0.50673991441726685</v>
      </c>
      <c r="GY54" s="169">
        <f>$AI$18-SUM($D52:GY52)</f>
        <v>0.46620072051882744</v>
      </c>
      <c r="GZ54" s="169">
        <f>$AI$18-SUM($D52:GZ52)</f>
        <v>0.42890466377139091</v>
      </c>
      <c r="HA54" s="169">
        <f>$AI$18-SUM($D52:HA52)</f>
        <v>0.39459229074418545</v>
      </c>
      <c r="HB54" s="169">
        <f>$AI$18-SUM($D52:HB52)</f>
        <v>0.36302490718662739</v>
      </c>
    </row>
    <row r="56" spans="2:210" x14ac:dyDescent="0.2">
      <c r="B56" s="109" t="s">
        <v>221</v>
      </c>
      <c r="D56" s="249">
        <f>+'Total Annual Impact'!D4</f>
        <v>4070673.6570000006</v>
      </c>
      <c r="E56" s="249">
        <v>0</v>
      </c>
      <c r="F56" s="249"/>
      <c r="G56" s="249"/>
      <c r="H56" s="249"/>
      <c r="I56" s="249"/>
      <c r="J56" s="249"/>
      <c r="K56" s="249"/>
      <c r="L56" s="249"/>
      <c r="M56" s="249">
        <f t="shared" ref="M56" si="365">-M38</f>
        <v>0</v>
      </c>
    </row>
    <row r="57" spans="2:210" x14ac:dyDescent="0.2">
      <c r="D57" s="249"/>
      <c r="E57" s="249"/>
      <c r="F57" s="249"/>
      <c r="G57" s="249"/>
      <c r="H57" s="249"/>
      <c r="I57" s="249"/>
      <c r="J57" s="249"/>
      <c r="K57" s="249"/>
      <c r="L57" s="249"/>
      <c r="M57" s="249"/>
    </row>
    <row r="59" spans="2:210" x14ac:dyDescent="0.2">
      <c r="B59" s="109" t="s">
        <v>196</v>
      </c>
      <c r="D59" s="181">
        <f>-D30+D52+D56</f>
        <v>5069456.0597063024</v>
      </c>
      <c r="E59" s="181">
        <f>-E30+E52+E56+E57</f>
        <v>489514.31272259163</v>
      </c>
      <c r="F59" s="181">
        <f t="shared" ref="F59:BO59" si="366">-F30+F52+F56+F57</f>
        <v>413834.4944469395</v>
      </c>
      <c r="G59" s="181">
        <f t="shared" si="366"/>
        <v>251967.27999958064</v>
      </c>
      <c r="H59" s="181">
        <f t="shared" si="366"/>
        <v>195291.22434176941</v>
      </c>
      <c r="I59" s="181">
        <f t="shared" si="366"/>
        <v>143149.25313658308</v>
      </c>
      <c r="J59" s="181">
        <f t="shared" si="366"/>
        <v>95178.639627811674</v>
      </c>
      <c r="K59" s="181">
        <f t="shared" si="366"/>
        <v>51045.675199742022</v>
      </c>
      <c r="L59" s="181">
        <f t="shared" si="366"/>
        <v>10443.347925917886</v>
      </c>
      <c r="M59" s="181">
        <f t="shared" si="366"/>
        <v>-26910.793166000338</v>
      </c>
      <c r="N59" s="181">
        <f t="shared" si="366"/>
        <v>-61276.602970565029</v>
      </c>
      <c r="O59" s="181">
        <f t="shared" si="366"/>
        <v>-92893.147990764643</v>
      </c>
      <c r="P59" s="181">
        <f t="shared" si="366"/>
        <v>-121980.36940934823</v>
      </c>
      <c r="Q59" s="181">
        <f t="shared" si="366"/>
        <v>-148740.61311444518</v>
      </c>
      <c r="R59" s="181">
        <f t="shared" si="366"/>
        <v>-173360.03732313425</v>
      </c>
      <c r="S59" s="181">
        <f t="shared" si="366"/>
        <v>-196009.90759512829</v>
      </c>
      <c r="T59" s="181">
        <f t="shared" si="366"/>
        <v>-216847.78824536281</v>
      </c>
      <c r="U59" s="181">
        <f t="shared" si="366"/>
        <v>-236018.6384435785</v>
      </c>
      <c r="V59" s="181">
        <f t="shared" si="366"/>
        <v>-253655.82062593702</v>
      </c>
      <c r="W59" s="181">
        <f t="shared" si="366"/>
        <v>-269882.02823370683</v>
      </c>
      <c r="X59" s="181">
        <f t="shared" si="366"/>
        <v>-284810.13923285506</v>
      </c>
      <c r="Y59" s="181">
        <f t="shared" si="366"/>
        <v>-298544.0013520713</v>
      </c>
      <c r="Z59" s="181">
        <f t="shared" si="366"/>
        <v>-311179.15450175037</v>
      </c>
      <c r="AA59" s="181">
        <f t="shared" si="366"/>
        <v>-322803.49539945502</v>
      </c>
      <c r="AB59" s="181">
        <f t="shared" si="366"/>
        <v>-333497.88902534335</v>
      </c>
      <c r="AC59" s="181">
        <f t="shared" si="366"/>
        <v>-343336.73116116063</v>
      </c>
      <c r="AD59" s="181">
        <f t="shared" si="366"/>
        <v>-352388.46592611255</v>
      </c>
      <c r="AE59" s="181">
        <f t="shared" si="366"/>
        <v>-360716.06190986827</v>
      </c>
      <c r="AF59" s="181">
        <f t="shared" si="366"/>
        <v>-368377.45021492365</v>
      </c>
      <c r="AG59" s="181">
        <f t="shared" si="366"/>
        <v>-375425.92745557445</v>
      </c>
      <c r="AH59" s="181">
        <f t="shared" si="366"/>
        <v>-381910.52651697327</v>
      </c>
      <c r="AI59" s="181">
        <f t="shared" si="366"/>
        <v>-387876.35765346012</v>
      </c>
      <c r="AJ59" s="181">
        <f t="shared" si="366"/>
        <v>-393364.92229902808</v>
      </c>
      <c r="AK59" s="181">
        <f t="shared" si="366"/>
        <v>-398414.4017729506</v>
      </c>
      <c r="AL59" s="181">
        <f t="shared" si="366"/>
        <v>-403059.92288895935</v>
      </c>
      <c r="AM59" s="181">
        <f t="shared" si="366"/>
        <v>-171819.38659262791</v>
      </c>
      <c r="AN59" s="181">
        <f t="shared" si="366"/>
        <v>45217.644334782366</v>
      </c>
      <c r="AO59" s="181">
        <f t="shared" si="366"/>
        <v>41600.232787999812</v>
      </c>
      <c r="AP59" s="181">
        <f t="shared" si="366"/>
        <v>38272.214164959791</v>
      </c>
      <c r="AQ59" s="181">
        <f t="shared" si="366"/>
        <v>35210.437031763046</v>
      </c>
      <c r="AR59" s="181">
        <f t="shared" si="366"/>
        <v>32393.602069222034</v>
      </c>
      <c r="AS59" s="181">
        <f t="shared" si="366"/>
        <v>29802.11390368432</v>
      </c>
      <c r="AT59" s="181">
        <f t="shared" si="366"/>
        <v>27417.944791389556</v>
      </c>
      <c r="AU59" s="181">
        <f t="shared" si="366"/>
        <v>25224.509208078383</v>
      </c>
      <c r="AV59" s="181">
        <f t="shared" si="366"/>
        <v>23206.548471432179</v>
      </c>
      <c r="AW59" s="181">
        <f t="shared" si="366"/>
        <v>21350.024593717604</v>
      </c>
      <c r="AX59" s="181">
        <f t="shared" si="366"/>
        <v>19642.022626220136</v>
      </c>
      <c r="AY59" s="181">
        <f t="shared" si="366"/>
        <v>18070.660816122592</v>
      </c>
      <c r="AZ59" s="181">
        <f t="shared" si="366"/>
        <v>16625.007950832845</v>
      </c>
      <c r="BA59" s="181">
        <f t="shared" si="366"/>
        <v>15295.007314766199</v>
      </c>
      <c r="BB59" s="181">
        <f t="shared" si="366"/>
        <v>14071.406729584933</v>
      </c>
      <c r="BC59" s="181">
        <f t="shared" si="366"/>
        <v>12945.694191218168</v>
      </c>
      <c r="BD59" s="181">
        <f t="shared" si="366"/>
        <v>11910.038655920775</v>
      </c>
      <c r="BE59" s="181">
        <f t="shared" si="366"/>
        <v>10957.235563447177</v>
      </c>
      <c r="BF59" s="181">
        <f t="shared" si="366"/>
        <v>10080.656718371361</v>
      </c>
      <c r="BG59" s="181">
        <f t="shared" si="366"/>
        <v>9274.2041809016464</v>
      </c>
      <c r="BH59" s="181">
        <f t="shared" si="366"/>
        <v>8532.2678464294968</v>
      </c>
      <c r="BI59" s="181">
        <f t="shared" si="366"/>
        <v>7849.6864187151195</v>
      </c>
      <c r="BJ59" s="181">
        <f t="shared" si="366"/>
        <v>7221.7115052178506</v>
      </c>
      <c r="BK59" s="181">
        <f t="shared" si="366"/>
        <v>6643.9745848004522</v>
      </c>
      <c r="BL59" s="181">
        <f t="shared" si="366"/>
        <v>6112.456618016362</v>
      </c>
      <c r="BM59" s="181">
        <f t="shared" si="366"/>
        <v>5623.4600885750351</v>
      </c>
      <c r="BN59" s="181">
        <f t="shared" si="366"/>
        <v>5173.5832814890146</v>
      </c>
      <c r="BO59" s="181">
        <f t="shared" si="366"/>
        <v>4759.6966189698878</v>
      </c>
      <c r="BP59" s="181">
        <f t="shared" ref="BP59:EA59" si="367">-BP30+BP52+BP56+BP57</f>
        <v>4378.920889452249</v>
      </c>
      <c r="BQ59" s="181">
        <f t="shared" si="367"/>
        <v>4028.6072182960811</v>
      </c>
      <c r="BR59" s="181">
        <f t="shared" si="367"/>
        <v>3706.3186408324541</v>
      </c>
      <c r="BS59" s="181">
        <f t="shared" si="367"/>
        <v>3409.8131495659054</v>
      </c>
      <c r="BT59" s="181">
        <f t="shared" si="367"/>
        <v>3137.0280976006388</v>
      </c>
      <c r="BU59" s="181">
        <f t="shared" si="367"/>
        <v>2886.0658497926593</v>
      </c>
      <c r="BV59" s="181">
        <f t="shared" si="367"/>
        <v>2655.1805818092826</v>
      </c>
      <c r="BW59" s="181">
        <f t="shared" si="367"/>
        <v>2442.7661352644859</v>
      </c>
      <c r="BX59" s="181">
        <f t="shared" si="367"/>
        <v>2247.3448444433511</v>
      </c>
      <c r="BY59" s="181">
        <f t="shared" si="367"/>
        <v>2067.5572568878533</v>
      </c>
      <c r="BZ59" s="181">
        <f t="shared" si="367"/>
        <v>1902.1526763367654</v>
      </c>
      <c r="CA59" s="181">
        <f t="shared" si="367"/>
        <v>1749.9804622298479</v>
      </c>
      <c r="CB59" s="181">
        <f t="shared" si="367"/>
        <v>1609.9820252513887</v>
      </c>
      <c r="CC59" s="181">
        <f t="shared" si="367"/>
        <v>1481.1834632313253</v>
      </c>
      <c r="CD59" s="181">
        <f t="shared" si="367"/>
        <v>1362.6887861728669</v>
      </c>
      <c r="CE59" s="181">
        <f t="shared" si="367"/>
        <v>1253.6736832790077</v>
      </c>
      <c r="CF59" s="181">
        <f t="shared" si="367"/>
        <v>1153.3797886167467</v>
      </c>
      <c r="CG59" s="181">
        <f t="shared" si="367"/>
        <v>1061.1094055274129</v>
      </c>
      <c r="CH59" s="181">
        <f t="shared" si="367"/>
        <v>976.22065308526157</v>
      </c>
      <c r="CI59" s="181">
        <f t="shared" si="367"/>
        <v>898.12300083845855</v>
      </c>
      <c r="CJ59" s="181">
        <f t="shared" si="367"/>
        <v>826.2731607714295</v>
      </c>
      <c r="CK59" s="181">
        <f t="shared" si="367"/>
        <v>760.17130790978672</v>
      </c>
      <c r="CL59" s="181">
        <f t="shared" si="367"/>
        <v>699.35760327696801</v>
      </c>
      <c r="CM59" s="181">
        <f t="shared" si="367"/>
        <v>643.40899501487615</v>
      </c>
      <c r="CN59" s="181">
        <f t="shared" si="367"/>
        <v>591.93627541363242</v>
      </c>
      <c r="CO59" s="181">
        <f t="shared" si="367"/>
        <v>544.58137338057156</v>
      </c>
      <c r="CP59" s="181">
        <f t="shared" si="367"/>
        <v>501.01486351013187</v>
      </c>
      <c r="CQ59" s="181">
        <f t="shared" si="367"/>
        <v>460.93367442935704</v>
      </c>
      <c r="CR59" s="181">
        <f t="shared" si="367"/>
        <v>424.0589804750681</v>
      </c>
      <c r="CS59" s="181">
        <f t="shared" si="367"/>
        <v>390.13426203712822</v>
      </c>
      <c r="CT59" s="181">
        <f t="shared" si="367"/>
        <v>358.92352107420567</v>
      </c>
      <c r="CU59" s="181">
        <f t="shared" si="367"/>
        <v>330.20963938832284</v>
      </c>
      <c r="CV59" s="181">
        <f t="shared" si="367"/>
        <v>303.79286823719741</v>
      </c>
      <c r="CW59" s="181">
        <f t="shared" si="367"/>
        <v>279.48943877816203</v>
      </c>
      <c r="CX59" s="181">
        <f t="shared" si="367"/>
        <v>257.13028367593887</v>
      </c>
      <c r="CY59" s="181">
        <f t="shared" si="367"/>
        <v>236.55986098185181</v>
      </c>
      <c r="CZ59" s="181">
        <f t="shared" si="367"/>
        <v>217.63507210329175</v>
      </c>
      <c r="DA59" s="181">
        <f t="shared" si="367"/>
        <v>200.22426633507013</v>
      </c>
      <c r="DB59" s="181">
        <f t="shared" si="367"/>
        <v>184.20632502824068</v>
      </c>
      <c r="DC59" s="181">
        <f t="shared" si="367"/>
        <v>169.46981902599336</v>
      </c>
      <c r="DD59" s="181">
        <f t="shared" si="367"/>
        <v>155.91223350390791</v>
      </c>
      <c r="DE59" s="181">
        <f t="shared" si="367"/>
        <v>143.43925482362508</v>
      </c>
      <c r="DF59" s="181">
        <f t="shared" si="367"/>
        <v>131.96411443769932</v>
      </c>
      <c r="DG59" s="181">
        <f t="shared" si="367"/>
        <v>121.40698528274893</v>
      </c>
      <c r="DH59" s="181">
        <f t="shared" si="367"/>
        <v>111.6944264601171</v>
      </c>
      <c r="DI59" s="181">
        <f t="shared" si="367"/>
        <v>102.75887234330177</v>
      </c>
      <c r="DJ59" s="181">
        <f t="shared" si="367"/>
        <v>94.538162555843599</v>
      </c>
      <c r="DK59" s="181">
        <f t="shared" si="367"/>
        <v>86.975109551399953</v>
      </c>
      <c r="DL59" s="181">
        <f t="shared" si="367"/>
        <v>80.01710078731179</v>
      </c>
      <c r="DM59" s="181">
        <f t="shared" si="367"/>
        <v>73.61573272436857</v>
      </c>
      <c r="DN59" s="181">
        <f t="shared" si="367"/>
        <v>67.726474106460813</v>
      </c>
      <c r="DO59" s="181">
        <f t="shared" si="367"/>
        <v>62.308356177955865</v>
      </c>
      <c r="DP59" s="181">
        <f t="shared" si="367"/>
        <v>57.323687683790922</v>
      </c>
      <c r="DQ59" s="181">
        <f t="shared" si="367"/>
        <v>52.737792669087646</v>
      </c>
      <c r="DR59" s="181">
        <f t="shared" si="367"/>
        <v>48.518769255578519</v>
      </c>
      <c r="DS59" s="181">
        <f t="shared" si="367"/>
        <v>44.637267715185878</v>
      </c>
      <c r="DT59" s="181">
        <f t="shared" si="367"/>
        <v>41.066286298036573</v>
      </c>
      <c r="DU59" s="181">
        <f t="shared" si="367"/>
        <v>37.780983394235371</v>
      </c>
      <c r="DV59" s="181">
        <f t="shared" si="367"/>
        <v>34.758504722714427</v>
      </c>
      <c r="DW59" s="181">
        <f t="shared" si="367"/>
        <v>31.977824344933033</v>
      </c>
      <c r="DX59" s="181">
        <f t="shared" si="367"/>
        <v>29.419598397314548</v>
      </c>
      <c r="DY59" s="181">
        <f t="shared" si="367"/>
        <v>27.066030525565147</v>
      </c>
      <c r="DZ59" s="181">
        <f t="shared" si="367"/>
        <v>24.900748083591463</v>
      </c>
      <c r="EA59" s="181">
        <f t="shared" si="367"/>
        <v>22.908688236922025</v>
      </c>
      <c r="EB59" s="181">
        <f t="shared" ref="EB59:GM59" si="368">-EB30+EB52+EB56+EB57</f>
        <v>21.075993178039791</v>
      </c>
      <c r="EC59" s="181">
        <f t="shared" si="368"/>
        <v>19.389913723766803</v>
      </c>
      <c r="ED59" s="181">
        <f t="shared" si="368"/>
        <v>17.838720625936986</v>
      </c>
      <c r="EE59" s="181">
        <f t="shared" si="368"/>
        <v>16.41162297591567</v>
      </c>
      <c r="EF59" s="181">
        <f t="shared" si="368"/>
        <v>15.098693137913942</v>
      </c>
      <c r="EG59" s="181">
        <f t="shared" si="368"/>
        <v>13.890797686874867</v>
      </c>
      <c r="EH59" s="181">
        <f t="shared" si="368"/>
        <v>12.779533871859313</v>
      </c>
      <c r="EI59" s="181">
        <f t="shared" si="368"/>
        <v>11.757171162068843</v>
      </c>
      <c r="EJ59" s="181">
        <f t="shared" si="368"/>
        <v>10.81659746915102</v>
      </c>
      <c r="EK59" s="181">
        <f t="shared" si="368"/>
        <v>9.9512696716189382</v>
      </c>
      <c r="EL59" s="181">
        <f t="shared" si="368"/>
        <v>9.1551680979132648</v>
      </c>
      <c r="EM59" s="181">
        <f t="shared" si="368"/>
        <v>8.4227546501159676</v>
      </c>
      <c r="EN59" s="181">
        <f t="shared" si="368"/>
        <v>7.7489342780411246</v>
      </c>
      <c r="EO59" s="181">
        <f t="shared" si="368"/>
        <v>7.1290195357799533</v>
      </c>
      <c r="EP59" s="181">
        <f t="shared" si="368"/>
        <v>6.5586979728937154</v>
      </c>
      <c r="EQ59" s="181">
        <f t="shared" si="368"/>
        <v>6.0340021350979809</v>
      </c>
      <c r="ER59" s="181">
        <f t="shared" si="368"/>
        <v>5.5512819643318654</v>
      </c>
      <c r="ES59" s="181">
        <f t="shared" si="368"/>
        <v>5.1071794071793555</v>
      </c>
      <c r="ET59" s="181">
        <f t="shared" si="368"/>
        <v>4.6986050546169285</v>
      </c>
      <c r="EU59" s="181">
        <f t="shared" si="368"/>
        <v>4.3227166502177718</v>
      </c>
      <c r="EV59" s="181">
        <f t="shared" si="368"/>
        <v>3.9768993182480337</v>
      </c>
      <c r="EW59" s="181">
        <f t="shared" si="368"/>
        <v>3.6587473727762698</v>
      </c>
      <c r="EX59" s="181">
        <f t="shared" si="368"/>
        <v>3.3660475829243661</v>
      </c>
      <c r="EY59" s="181">
        <f t="shared" si="368"/>
        <v>3.0967637762427329</v>
      </c>
      <c r="EZ59" s="181">
        <f t="shared" si="368"/>
        <v>2.8490226741135123</v>
      </c>
      <c r="FA59" s="181">
        <f t="shared" si="368"/>
        <v>2.6211008602380752</v>
      </c>
      <c r="FB59" s="181">
        <f t="shared" si="368"/>
        <v>2.4114127914607524</v>
      </c>
      <c r="FC59" s="181">
        <f t="shared" si="368"/>
        <v>2.2184997680783272</v>
      </c>
      <c r="FD59" s="181">
        <f t="shared" si="368"/>
        <v>2.0410197865962982</v>
      </c>
      <c r="FE59" s="181">
        <f t="shared" si="368"/>
        <v>1.8777382037043573</v>
      </c>
      <c r="FF59" s="181">
        <f t="shared" si="368"/>
        <v>1.7275191473960876</v>
      </c>
      <c r="FG59" s="181">
        <f t="shared" si="368"/>
        <v>1.5893176156282425</v>
      </c>
      <c r="FH59" s="181">
        <f t="shared" si="368"/>
        <v>1.4621722063422202</v>
      </c>
      <c r="FI59" s="181">
        <f t="shared" si="368"/>
        <v>1.3451984298229218</v>
      </c>
      <c r="FJ59" s="181">
        <f t="shared" si="368"/>
        <v>1.2375825554132462</v>
      </c>
      <c r="FK59" s="181">
        <f t="shared" si="368"/>
        <v>1.1385759510099889</v>
      </c>
      <c r="FL59" s="181">
        <f t="shared" si="368"/>
        <v>1.047489874958992</v>
      </c>
      <c r="FM59" s="181">
        <f t="shared" si="368"/>
        <v>0.96369068503379829</v>
      </c>
      <c r="FN59" s="181">
        <f t="shared" si="368"/>
        <v>0.88659543022513387</v>
      </c>
      <c r="FO59" s="181">
        <f t="shared" si="368"/>
        <v>0.8156677958369255</v>
      </c>
      <c r="FP59" s="181">
        <f t="shared" si="368"/>
        <v>0.75041437223553664</v>
      </c>
      <c r="FQ59" s="181">
        <f t="shared" si="368"/>
        <v>0.6903812225162983</v>
      </c>
      <c r="FR59" s="181">
        <f t="shared" si="368"/>
        <v>0.63515072464942934</v>
      </c>
      <c r="FS59" s="181">
        <f t="shared" si="368"/>
        <v>0.58433866664767264</v>
      </c>
      <c r="FT59" s="181">
        <f t="shared" si="368"/>
        <v>0.53759157329797747</v>
      </c>
      <c r="FU59" s="181">
        <f t="shared" si="368"/>
        <v>0.49458424746990204</v>
      </c>
      <c r="FV59" s="181">
        <f t="shared" si="368"/>
        <v>0.45501750767230986</v>
      </c>
      <c r="FW59" s="181">
        <f t="shared" si="368"/>
        <v>0.41861610710620883</v>
      </c>
      <c r="FX59" s="181">
        <f t="shared" si="368"/>
        <v>0.38512681856751441</v>
      </c>
      <c r="FY59" s="181">
        <f t="shared" si="368"/>
        <v>0.35431667312979698</v>
      </c>
      <c r="FZ59" s="181">
        <f t="shared" si="368"/>
        <v>0.32597133934497835</v>
      </c>
      <c r="GA59" s="181">
        <f t="shared" si="368"/>
        <v>0.29989363223314286</v>
      </c>
      <c r="GB59" s="181">
        <f t="shared" si="368"/>
        <v>0.27590214163064958</v>
      </c>
      <c r="GC59" s="181">
        <f t="shared" si="368"/>
        <v>0.25382997035980226</v>
      </c>
      <c r="GD59" s="181">
        <f t="shared" si="368"/>
        <v>0.23352357268333435</v>
      </c>
      <c r="GE59" s="181">
        <f t="shared" si="368"/>
        <v>0.21484168693423272</v>
      </c>
      <c r="GF59" s="181">
        <f t="shared" si="368"/>
        <v>0.19765435203909876</v>
      </c>
      <c r="GG59" s="181">
        <f t="shared" si="368"/>
        <v>0.18184200391173364</v>
      </c>
      <c r="GH59" s="181">
        <f t="shared" si="368"/>
        <v>0.16729464367032051</v>
      </c>
      <c r="GI59" s="181">
        <f t="shared" si="368"/>
        <v>0.15391107216477395</v>
      </c>
      <c r="GJ59" s="181">
        <f t="shared" si="368"/>
        <v>0.14159818634390831</v>
      </c>
      <c r="GK59" s="181">
        <f t="shared" si="368"/>
        <v>0.13027033150196077</v>
      </c>
      <c r="GL59" s="181">
        <f t="shared" si="368"/>
        <v>0.11984870493412018</v>
      </c>
      <c r="GM59" s="181">
        <f t="shared" si="368"/>
        <v>0.110260808467865</v>
      </c>
      <c r="GN59" s="181">
        <f t="shared" ref="GN59:HA59" si="369">-GN30+GN52+GN56+GN57</f>
        <v>0.10143994376063348</v>
      </c>
      <c r="GO59" s="181">
        <f t="shared" si="369"/>
        <v>9.3324748277664182E-2</v>
      </c>
      <c r="GP59" s="181">
        <f t="shared" si="369"/>
        <v>8.5858768373727801E-2</v>
      </c>
      <c r="GQ59" s="181">
        <f t="shared" si="369"/>
        <v>7.8990066945552828E-2</v>
      </c>
      <c r="GR59" s="181">
        <f t="shared" si="369"/>
        <v>7.2670861631631847E-2</v>
      </c>
      <c r="GS59" s="181">
        <f t="shared" si="369"/>
        <v>6.6857192665338516E-2</v>
      </c>
      <c r="GT59" s="181">
        <f t="shared" si="369"/>
        <v>6.1508617252111437E-2</v>
      </c>
      <c r="GU59" s="181">
        <f t="shared" si="369"/>
        <v>5.658792793750763E-2</v>
      </c>
      <c r="GV59" s="181">
        <f t="shared" si="369"/>
        <v>5.2060893774032592E-2</v>
      </c>
      <c r="GW59" s="181">
        <f t="shared" si="369"/>
        <v>4.7896022200584414E-2</v>
      </c>
      <c r="GX59" s="181">
        <f t="shared" si="369"/>
        <v>4.4064340442419053E-2</v>
      </c>
      <c r="GY59" s="181">
        <f t="shared" si="369"/>
        <v>4.053919315338135E-2</v>
      </c>
      <c r="GZ59" s="181">
        <f t="shared" si="369"/>
        <v>3.7296057641506196E-2</v>
      </c>
      <c r="HA59" s="181">
        <f t="shared" si="369"/>
        <v>3.4312373101711272E-2</v>
      </c>
      <c r="HB59" s="181">
        <f>-HB36+HB52+HB56</f>
        <v>3.1567383259534836E-2</v>
      </c>
    </row>
    <row r="61" spans="2:210" x14ac:dyDescent="0.2">
      <c r="B61" s="109" t="s">
        <v>163</v>
      </c>
      <c r="D61" s="181">
        <f>+D59</f>
        <v>5069456.0597063024</v>
      </c>
      <c r="E61" s="181">
        <f>+D61+E59</f>
        <v>5558970.372428894</v>
      </c>
      <c r="F61" s="181">
        <f t="shared" ref="F61:BQ61" si="370">+E61+F59</f>
        <v>5972804.8668758338</v>
      </c>
      <c r="G61" s="181">
        <f>+F61+G59</f>
        <v>6224772.1468754141</v>
      </c>
      <c r="H61" s="181">
        <f t="shared" si="370"/>
        <v>6420063.3712171838</v>
      </c>
      <c r="I61" s="181">
        <f t="shared" si="370"/>
        <v>6563212.6243537664</v>
      </c>
      <c r="J61" s="181">
        <f t="shared" si="370"/>
        <v>6658391.2639815779</v>
      </c>
      <c r="K61" s="181">
        <f t="shared" si="370"/>
        <v>6709436.9391813204</v>
      </c>
      <c r="L61" s="181">
        <f t="shared" si="370"/>
        <v>6719880.2871072385</v>
      </c>
      <c r="M61" s="181">
        <f t="shared" si="370"/>
        <v>6692969.4939412382</v>
      </c>
      <c r="N61" s="181">
        <f t="shared" si="370"/>
        <v>6631692.8909706734</v>
      </c>
      <c r="O61" s="181">
        <f t="shared" si="370"/>
        <v>6538799.7429799084</v>
      </c>
      <c r="P61" s="181">
        <f t="shared" si="370"/>
        <v>6416819.3735705605</v>
      </c>
      <c r="Q61" s="181">
        <f t="shared" si="370"/>
        <v>6268078.760456115</v>
      </c>
      <c r="R61" s="181">
        <f t="shared" si="370"/>
        <v>6094718.723132981</v>
      </c>
      <c r="S61" s="181">
        <f t="shared" si="370"/>
        <v>5898708.8155378532</v>
      </c>
      <c r="T61" s="181">
        <f t="shared" si="370"/>
        <v>5681861.02729249</v>
      </c>
      <c r="U61" s="181">
        <f t="shared" si="370"/>
        <v>5445842.388848912</v>
      </c>
      <c r="V61" s="181">
        <f t="shared" si="370"/>
        <v>5192186.5682229754</v>
      </c>
      <c r="W61" s="181">
        <f t="shared" si="370"/>
        <v>4922304.5399892684</v>
      </c>
      <c r="X61" s="181">
        <f t="shared" si="370"/>
        <v>4637494.4007564131</v>
      </c>
      <c r="Y61" s="181">
        <f t="shared" si="370"/>
        <v>4338950.3994043414</v>
      </c>
      <c r="Z61" s="181">
        <f t="shared" si="370"/>
        <v>4027771.2449025912</v>
      </c>
      <c r="AA61" s="181">
        <f t="shared" si="370"/>
        <v>3704967.7495031361</v>
      </c>
      <c r="AB61" s="181">
        <f t="shared" si="370"/>
        <v>3371469.860477793</v>
      </c>
      <c r="AC61" s="181">
        <f t="shared" si="370"/>
        <v>3028133.1293166326</v>
      </c>
      <c r="AD61" s="181">
        <f t="shared" si="370"/>
        <v>2675744.66339052</v>
      </c>
      <c r="AE61" s="181">
        <f t="shared" si="370"/>
        <v>2315028.6014806516</v>
      </c>
      <c r="AF61" s="181">
        <f t="shared" si="370"/>
        <v>1946651.1512657281</v>
      </c>
      <c r="AG61" s="181">
        <f t="shared" si="370"/>
        <v>1571225.2238101535</v>
      </c>
      <c r="AH61" s="181">
        <f t="shared" si="370"/>
        <v>1189314.6972931803</v>
      </c>
      <c r="AI61" s="181">
        <f t="shared" si="370"/>
        <v>801438.33963972016</v>
      </c>
      <c r="AJ61" s="181">
        <f t="shared" si="370"/>
        <v>408073.41734069207</v>
      </c>
      <c r="AK61" s="181">
        <f t="shared" si="370"/>
        <v>9659.0155677414732</v>
      </c>
      <c r="AL61" s="181">
        <f t="shared" si="370"/>
        <v>-393400.90732121788</v>
      </c>
      <c r="AM61" s="181">
        <f t="shared" si="370"/>
        <v>-565220.29391384579</v>
      </c>
      <c r="AN61" s="181">
        <f t="shared" si="370"/>
        <v>-520002.64957906341</v>
      </c>
      <c r="AO61" s="181">
        <f t="shared" si="370"/>
        <v>-478402.41679106362</v>
      </c>
      <c r="AP61" s="181">
        <f t="shared" si="370"/>
        <v>-440130.20262610383</v>
      </c>
      <c r="AQ61" s="181">
        <f t="shared" si="370"/>
        <v>-404919.7655943408</v>
      </c>
      <c r="AR61" s="181">
        <f t="shared" si="370"/>
        <v>-372526.16352511878</v>
      </c>
      <c r="AS61" s="181">
        <f t="shared" si="370"/>
        <v>-342724.04962143447</v>
      </c>
      <c r="AT61" s="181">
        <f t="shared" si="370"/>
        <v>-315306.1048300449</v>
      </c>
      <c r="AU61" s="181">
        <f t="shared" si="370"/>
        <v>-290081.59562196652</v>
      </c>
      <c r="AV61" s="181">
        <f t="shared" si="370"/>
        <v>-266875.04715053434</v>
      </c>
      <c r="AW61" s="181">
        <f t="shared" si="370"/>
        <v>-245525.02255681675</v>
      </c>
      <c r="AX61" s="181">
        <f t="shared" si="370"/>
        <v>-225882.99993059662</v>
      </c>
      <c r="AY61" s="181">
        <f t="shared" si="370"/>
        <v>-207812.33911447402</v>
      </c>
      <c r="AZ61" s="181">
        <f t="shared" si="370"/>
        <v>-191187.33116364118</v>
      </c>
      <c r="BA61" s="181">
        <f t="shared" si="370"/>
        <v>-175892.32384887498</v>
      </c>
      <c r="BB61" s="181">
        <f t="shared" si="370"/>
        <v>-161820.91711929004</v>
      </c>
      <c r="BC61" s="181">
        <f t="shared" si="370"/>
        <v>-148875.22292807186</v>
      </c>
      <c r="BD61" s="181">
        <f t="shared" si="370"/>
        <v>-136965.18427215109</v>
      </c>
      <c r="BE61" s="181">
        <f t="shared" si="370"/>
        <v>-126007.94870870392</v>
      </c>
      <c r="BF61" s="181">
        <f t="shared" si="370"/>
        <v>-115927.29199033255</v>
      </c>
      <c r="BG61" s="181">
        <f t="shared" si="370"/>
        <v>-106653.0878094309</v>
      </c>
      <c r="BH61" s="181">
        <f t="shared" si="370"/>
        <v>-98120.819963001399</v>
      </c>
      <c r="BI61" s="181">
        <f t="shared" si="370"/>
        <v>-90271.133544286276</v>
      </c>
      <c r="BJ61" s="181">
        <f t="shared" si="370"/>
        <v>-83049.42203906842</v>
      </c>
      <c r="BK61" s="181">
        <f t="shared" si="370"/>
        <v>-76405.447454267967</v>
      </c>
      <c r="BL61" s="181">
        <f t="shared" si="370"/>
        <v>-70292.9908362516</v>
      </c>
      <c r="BM61" s="181">
        <f t="shared" si="370"/>
        <v>-64669.530747676567</v>
      </c>
      <c r="BN61" s="181">
        <f t="shared" si="370"/>
        <v>-59495.94746618755</v>
      </c>
      <c r="BO61" s="181">
        <f t="shared" si="370"/>
        <v>-54736.250847217663</v>
      </c>
      <c r="BP61" s="181">
        <f t="shared" si="370"/>
        <v>-50357.329957765411</v>
      </c>
      <c r="BQ61" s="181">
        <f t="shared" si="370"/>
        <v>-46328.722739469333</v>
      </c>
      <c r="BR61" s="181">
        <f t="shared" ref="BR61:EC61" si="371">+BQ61+BR59</f>
        <v>-42622.404098636878</v>
      </c>
      <c r="BS61" s="181">
        <f t="shared" si="371"/>
        <v>-39212.590949070975</v>
      </c>
      <c r="BT61" s="181">
        <f t="shared" si="371"/>
        <v>-36075.562851470335</v>
      </c>
      <c r="BU61" s="181">
        <f t="shared" si="371"/>
        <v>-33189.497001677679</v>
      </c>
      <c r="BV61" s="181">
        <f t="shared" si="371"/>
        <v>-30534.316419868395</v>
      </c>
      <c r="BW61" s="181">
        <f t="shared" si="371"/>
        <v>-28091.550284603909</v>
      </c>
      <c r="BX61" s="181">
        <f t="shared" si="371"/>
        <v>-25844.205440160556</v>
      </c>
      <c r="BY61" s="181">
        <f t="shared" si="371"/>
        <v>-23776.648183272704</v>
      </c>
      <c r="BZ61" s="181">
        <f t="shared" si="371"/>
        <v>-21874.495506935938</v>
      </c>
      <c r="CA61" s="181">
        <f t="shared" si="371"/>
        <v>-20124.515044706091</v>
      </c>
      <c r="CB61" s="181">
        <f t="shared" si="371"/>
        <v>-18514.533019454702</v>
      </c>
      <c r="CC61" s="181">
        <f t="shared" si="371"/>
        <v>-17033.349556223377</v>
      </c>
      <c r="CD61" s="181">
        <f t="shared" si="371"/>
        <v>-15670.66077005051</v>
      </c>
      <c r="CE61" s="181">
        <f t="shared" si="371"/>
        <v>-14416.987086771502</v>
      </c>
      <c r="CF61" s="181">
        <f t="shared" si="371"/>
        <v>-13263.607298154755</v>
      </c>
      <c r="CG61" s="181">
        <f t="shared" si="371"/>
        <v>-12202.497892627342</v>
      </c>
      <c r="CH61" s="181">
        <f t="shared" si="371"/>
        <v>-11226.27723954208</v>
      </c>
      <c r="CI61" s="181">
        <f t="shared" si="371"/>
        <v>-10328.154238703621</v>
      </c>
      <c r="CJ61" s="181">
        <f t="shared" si="371"/>
        <v>-9501.8810779321902</v>
      </c>
      <c r="CK61" s="181">
        <f t="shared" si="371"/>
        <v>-8741.709770022404</v>
      </c>
      <c r="CL61" s="181">
        <f t="shared" si="371"/>
        <v>-8042.3521667454361</v>
      </c>
      <c r="CM61" s="181">
        <f t="shared" si="371"/>
        <v>-7398.9431717305597</v>
      </c>
      <c r="CN61" s="181">
        <f t="shared" si="371"/>
        <v>-6807.0068963169269</v>
      </c>
      <c r="CO61" s="181">
        <f t="shared" si="371"/>
        <v>-6262.4255229363553</v>
      </c>
      <c r="CP61" s="181">
        <f t="shared" si="371"/>
        <v>-5761.410659426223</v>
      </c>
      <c r="CQ61" s="181">
        <f t="shared" si="371"/>
        <v>-5300.4769849968661</v>
      </c>
      <c r="CR61" s="181">
        <f t="shared" si="371"/>
        <v>-4876.4180045217981</v>
      </c>
      <c r="CS61" s="181">
        <f t="shared" si="371"/>
        <v>-4486.2837424846703</v>
      </c>
      <c r="CT61" s="181">
        <f t="shared" si="371"/>
        <v>-4127.3602214104649</v>
      </c>
      <c r="CU61" s="181">
        <f t="shared" si="371"/>
        <v>-3797.1505820221419</v>
      </c>
      <c r="CV61" s="181">
        <f t="shared" si="371"/>
        <v>-3493.3577137849443</v>
      </c>
      <c r="CW61" s="181">
        <f t="shared" si="371"/>
        <v>-3213.8682750067824</v>
      </c>
      <c r="CX61" s="181">
        <f t="shared" si="371"/>
        <v>-2956.7379913308437</v>
      </c>
      <c r="CY61" s="181">
        <f t="shared" si="371"/>
        <v>-2720.178130348992</v>
      </c>
      <c r="CZ61" s="181">
        <f t="shared" si="371"/>
        <v>-2502.5430582457002</v>
      </c>
      <c r="DA61" s="181">
        <f t="shared" si="371"/>
        <v>-2302.3187919106299</v>
      </c>
      <c r="DB61" s="181">
        <f t="shared" si="371"/>
        <v>-2118.1124668823891</v>
      </c>
      <c r="DC61" s="181">
        <f t="shared" si="371"/>
        <v>-1948.6426478563958</v>
      </c>
      <c r="DD61" s="181">
        <f t="shared" si="371"/>
        <v>-1792.730414352488</v>
      </c>
      <c r="DE61" s="181">
        <f t="shared" si="371"/>
        <v>-1649.2911595288629</v>
      </c>
      <c r="DF61" s="181">
        <f t="shared" si="371"/>
        <v>-1517.3270450911637</v>
      </c>
      <c r="DG61" s="181">
        <f t="shared" si="371"/>
        <v>-1395.9200598084146</v>
      </c>
      <c r="DH61" s="181">
        <f t="shared" si="371"/>
        <v>-1284.2256333482976</v>
      </c>
      <c r="DI61" s="181">
        <f t="shared" si="371"/>
        <v>-1181.4667610049958</v>
      </c>
      <c r="DJ61" s="181">
        <f t="shared" si="371"/>
        <v>-1086.9285984491521</v>
      </c>
      <c r="DK61" s="181">
        <f t="shared" si="371"/>
        <v>-999.95348889775209</v>
      </c>
      <c r="DL61" s="181">
        <f t="shared" si="371"/>
        <v>-919.93638811044025</v>
      </c>
      <c r="DM61" s="181">
        <f t="shared" si="371"/>
        <v>-846.32065538607162</v>
      </c>
      <c r="DN61" s="181">
        <f t="shared" si="371"/>
        <v>-778.59418127961078</v>
      </c>
      <c r="DO61" s="181">
        <f t="shared" si="371"/>
        <v>-716.28582510165495</v>
      </c>
      <c r="DP61" s="181">
        <f t="shared" si="371"/>
        <v>-658.96213741786403</v>
      </c>
      <c r="DQ61" s="181">
        <f t="shared" si="371"/>
        <v>-606.22434474877639</v>
      </c>
      <c r="DR61" s="181">
        <f t="shared" si="371"/>
        <v>-557.7055754931979</v>
      </c>
      <c r="DS61" s="181">
        <f t="shared" si="371"/>
        <v>-513.06830777801201</v>
      </c>
      <c r="DT61" s="181">
        <f t="shared" si="371"/>
        <v>-472.00202147997544</v>
      </c>
      <c r="DU61" s="181">
        <f t="shared" si="371"/>
        <v>-434.22103808574008</v>
      </c>
      <c r="DV61" s="181">
        <f t="shared" si="371"/>
        <v>-399.46253336302567</v>
      </c>
      <c r="DW61" s="181">
        <f t="shared" si="371"/>
        <v>-367.48470901809264</v>
      </c>
      <c r="DX61" s="181">
        <f t="shared" si="371"/>
        <v>-338.06511062077811</v>
      </c>
      <c r="DY61" s="181">
        <f t="shared" si="371"/>
        <v>-310.99908009521295</v>
      </c>
      <c r="DZ61" s="181">
        <f t="shared" si="371"/>
        <v>-286.09833201162149</v>
      </c>
      <c r="EA61" s="181">
        <f t="shared" si="371"/>
        <v>-263.18964377469945</v>
      </c>
      <c r="EB61" s="181">
        <f t="shared" si="371"/>
        <v>-242.11365059665965</v>
      </c>
      <c r="EC61" s="181">
        <f t="shared" si="371"/>
        <v>-222.72373687289286</v>
      </c>
      <c r="ED61" s="181">
        <f t="shared" ref="ED61:GO61" si="372">+EC61+ED59</f>
        <v>-204.88501624695587</v>
      </c>
      <c r="EE61" s="181">
        <f t="shared" si="372"/>
        <v>-188.47339327104021</v>
      </c>
      <c r="EF61" s="181">
        <f t="shared" si="372"/>
        <v>-173.37470013312625</v>
      </c>
      <c r="EG61" s="181">
        <f t="shared" si="372"/>
        <v>-159.48390244625139</v>
      </c>
      <c r="EH61" s="181">
        <f t="shared" si="372"/>
        <v>-146.70436857439208</v>
      </c>
      <c r="EI61" s="181">
        <f t="shared" si="372"/>
        <v>-134.94719741232325</v>
      </c>
      <c r="EJ61" s="181">
        <f t="shared" si="372"/>
        <v>-124.13059994317223</v>
      </c>
      <c r="EK61" s="181">
        <f t="shared" si="372"/>
        <v>-114.17933027155328</v>
      </c>
      <c r="EL61" s="181">
        <f t="shared" si="372"/>
        <v>-105.02416217364002</v>
      </c>
      <c r="EM61" s="181">
        <f t="shared" si="372"/>
        <v>-96.60140752352406</v>
      </c>
      <c r="EN61" s="181">
        <f t="shared" si="372"/>
        <v>-88.85247324548294</v>
      </c>
      <c r="EO61" s="181">
        <f t="shared" si="372"/>
        <v>-81.723453709702994</v>
      </c>
      <c r="EP61" s="181">
        <f t="shared" si="372"/>
        <v>-75.164755736809283</v>
      </c>
      <c r="EQ61" s="181">
        <f t="shared" si="372"/>
        <v>-69.130753601711305</v>
      </c>
      <c r="ER61" s="181">
        <f t="shared" si="372"/>
        <v>-63.579471637379442</v>
      </c>
      <c r="ES61" s="181">
        <f t="shared" si="372"/>
        <v>-58.472292230200082</v>
      </c>
      <c r="ET61" s="181">
        <f t="shared" si="372"/>
        <v>-53.773687175583156</v>
      </c>
      <c r="EU61" s="181">
        <f t="shared" si="372"/>
        <v>-49.450970525365385</v>
      </c>
      <c r="EV61" s="181">
        <f t="shared" si="372"/>
        <v>-45.474071207117348</v>
      </c>
      <c r="EW61" s="181">
        <f t="shared" si="372"/>
        <v>-41.815323834341079</v>
      </c>
      <c r="EX61" s="181">
        <f t="shared" si="372"/>
        <v>-38.449276251416713</v>
      </c>
      <c r="EY61" s="181">
        <f t="shared" si="372"/>
        <v>-35.352512475173981</v>
      </c>
      <c r="EZ61" s="181">
        <f t="shared" si="372"/>
        <v>-32.503489801060468</v>
      </c>
      <c r="FA61" s="181">
        <f t="shared" si="372"/>
        <v>-29.882388940822391</v>
      </c>
      <c r="FB61" s="181">
        <f t="shared" si="372"/>
        <v>-27.47097614936164</v>
      </c>
      <c r="FC61" s="181">
        <f t="shared" si="372"/>
        <v>-25.252476381283312</v>
      </c>
      <c r="FD61" s="181">
        <f t="shared" si="372"/>
        <v>-23.211456594687014</v>
      </c>
      <c r="FE61" s="181">
        <f t="shared" si="372"/>
        <v>-21.333718390982657</v>
      </c>
      <c r="FF61" s="181">
        <f t="shared" si="372"/>
        <v>-19.60619924358657</v>
      </c>
      <c r="FG61" s="181">
        <f t="shared" si="372"/>
        <v>-18.016881627958327</v>
      </c>
      <c r="FH61" s="181">
        <f t="shared" si="372"/>
        <v>-16.554709421616106</v>
      </c>
      <c r="FI61" s="181">
        <f t="shared" si="372"/>
        <v>-15.209510991793184</v>
      </c>
      <c r="FJ61" s="181">
        <f t="shared" si="372"/>
        <v>-13.971928436379939</v>
      </c>
      <c r="FK61" s="181">
        <f t="shared" si="372"/>
        <v>-12.83335248536995</v>
      </c>
      <c r="FL61" s="181">
        <f t="shared" si="372"/>
        <v>-11.785862610410959</v>
      </c>
      <c r="FM61" s="181">
        <f t="shared" si="372"/>
        <v>-10.822171925377161</v>
      </c>
      <c r="FN61" s="181">
        <f t="shared" si="372"/>
        <v>-9.9355764951520271</v>
      </c>
      <c r="FO61" s="181">
        <f t="shared" si="372"/>
        <v>-9.1199086993151024</v>
      </c>
      <c r="FP61" s="181">
        <f t="shared" si="372"/>
        <v>-8.3694943270795665</v>
      </c>
      <c r="FQ61" s="181">
        <f t="shared" si="372"/>
        <v>-7.6791131045632683</v>
      </c>
      <c r="FR61" s="181">
        <f t="shared" si="372"/>
        <v>-7.0439623799138387</v>
      </c>
      <c r="FS61" s="181">
        <f t="shared" si="372"/>
        <v>-6.4596237132661658</v>
      </c>
      <c r="FT61" s="181">
        <f t="shared" si="372"/>
        <v>-5.9220321399681879</v>
      </c>
      <c r="FU61" s="181">
        <f t="shared" si="372"/>
        <v>-5.4274478924982859</v>
      </c>
      <c r="FV61" s="181">
        <f t="shared" si="372"/>
        <v>-4.9724303848259757</v>
      </c>
      <c r="FW61" s="181">
        <f t="shared" si="372"/>
        <v>-4.5538142777197672</v>
      </c>
      <c r="FX61" s="181">
        <f t="shared" si="372"/>
        <v>-4.1686874591522525</v>
      </c>
      <c r="FY61" s="181">
        <f t="shared" si="372"/>
        <v>-3.8143707860224554</v>
      </c>
      <c r="FZ61" s="181">
        <f t="shared" si="372"/>
        <v>-3.488399446677477</v>
      </c>
      <c r="GA61" s="181">
        <f t="shared" si="372"/>
        <v>-3.1885058144443343</v>
      </c>
      <c r="GB61" s="181">
        <f t="shared" si="372"/>
        <v>-2.9126036728136846</v>
      </c>
      <c r="GC61" s="181">
        <f t="shared" si="372"/>
        <v>-2.6587737024538822</v>
      </c>
      <c r="GD61" s="181">
        <f t="shared" si="372"/>
        <v>-2.4252501297705478</v>
      </c>
      <c r="GE61" s="181">
        <f t="shared" si="372"/>
        <v>-2.2104084428363149</v>
      </c>
      <c r="GF61" s="181">
        <f t="shared" si="372"/>
        <v>-2.0127540907972161</v>
      </c>
      <c r="GG61" s="181">
        <f t="shared" si="372"/>
        <v>-1.8309120868854825</v>
      </c>
      <c r="GH61" s="181">
        <f t="shared" si="372"/>
        <v>-1.663617443215162</v>
      </c>
      <c r="GI61" s="181">
        <f t="shared" si="372"/>
        <v>-1.5097063710503882</v>
      </c>
      <c r="GJ61" s="181">
        <f t="shared" si="372"/>
        <v>-1.3681081847064798</v>
      </c>
      <c r="GK61" s="181">
        <f t="shared" si="372"/>
        <v>-1.2378378532045189</v>
      </c>
      <c r="GL61" s="181">
        <f t="shared" si="372"/>
        <v>-1.1179891482703987</v>
      </c>
      <c r="GM61" s="181">
        <f t="shared" si="372"/>
        <v>-1.0077283398025338</v>
      </c>
      <c r="GN61" s="181">
        <f t="shared" si="372"/>
        <v>-0.90628839604190037</v>
      </c>
      <c r="GO61" s="181">
        <f t="shared" si="372"/>
        <v>-0.81296364776423613</v>
      </c>
      <c r="GP61" s="181">
        <f t="shared" ref="GP61:HA61" si="373">+GO61+GP59</f>
        <v>-0.72710487939050839</v>
      </c>
      <c r="GQ61" s="181">
        <f t="shared" si="373"/>
        <v>-0.64811481244495561</v>
      </c>
      <c r="GR61" s="181">
        <f t="shared" si="373"/>
        <v>-0.57544395081332378</v>
      </c>
      <c r="GS61" s="181">
        <f t="shared" si="373"/>
        <v>-0.50858675814798526</v>
      </c>
      <c r="GT61" s="181">
        <f t="shared" si="373"/>
        <v>-0.44707814089587383</v>
      </c>
      <c r="GU61" s="181">
        <f t="shared" si="373"/>
        <v>-0.39049021295836622</v>
      </c>
      <c r="GV61" s="181">
        <f t="shared" si="373"/>
        <v>-0.33842931918433361</v>
      </c>
      <c r="GW61" s="181">
        <f t="shared" si="373"/>
        <v>-0.29053329698374919</v>
      </c>
      <c r="GX61" s="181">
        <f t="shared" si="373"/>
        <v>-0.24646895654133014</v>
      </c>
      <c r="GY61" s="181">
        <f t="shared" si="373"/>
        <v>-0.20592976338794877</v>
      </c>
      <c r="GZ61" s="181">
        <f t="shared" si="373"/>
        <v>-0.16863370574644257</v>
      </c>
      <c r="HA61" s="181">
        <f t="shared" si="373"/>
        <v>-0.13432133264473128</v>
      </c>
    </row>
    <row r="63" spans="2:210" x14ac:dyDescent="0.2">
      <c r="B63" s="109" t="s">
        <v>150</v>
      </c>
      <c r="D63" s="184">
        <v>0.3</v>
      </c>
      <c r="E63" s="292">
        <f>+D63</f>
        <v>0.3</v>
      </c>
      <c r="F63" s="292">
        <f t="shared" ref="F63:J63" si="374">+E63</f>
        <v>0.3</v>
      </c>
      <c r="G63" s="292">
        <f t="shared" si="374"/>
        <v>0.3</v>
      </c>
      <c r="H63" s="292">
        <f t="shared" si="374"/>
        <v>0.3</v>
      </c>
      <c r="I63" s="292">
        <f t="shared" si="374"/>
        <v>0.3</v>
      </c>
      <c r="J63" s="292">
        <f t="shared" si="374"/>
        <v>0.3</v>
      </c>
      <c r="K63" s="184">
        <f t="shared" ref="K63:BK63" si="375">+J63</f>
        <v>0.3</v>
      </c>
      <c r="L63" s="184">
        <f t="shared" si="375"/>
        <v>0.3</v>
      </c>
      <c r="M63" s="184">
        <f t="shared" si="375"/>
        <v>0.3</v>
      </c>
      <c r="N63" s="184">
        <f t="shared" si="375"/>
        <v>0.3</v>
      </c>
      <c r="O63" s="184">
        <f t="shared" si="375"/>
        <v>0.3</v>
      </c>
      <c r="P63" s="184">
        <f t="shared" si="375"/>
        <v>0.3</v>
      </c>
      <c r="Q63" s="184">
        <f t="shared" si="375"/>
        <v>0.3</v>
      </c>
      <c r="R63" s="184">
        <f t="shared" si="375"/>
        <v>0.3</v>
      </c>
      <c r="S63" s="184">
        <f t="shared" si="375"/>
        <v>0.3</v>
      </c>
      <c r="T63" s="184">
        <f t="shared" si="375"/>
        <v>0.3</v>
      </c>
      <c r="U63" s="184">
        <f t="shared" si="375"/>
        <v>0.3</v>
      </c>
      <c r="V63" s="184">
        <f t="shared" si="375"/>
        <v>0.3</v>
      </c>
      <c r="W63" s="184">
        <f t="shared" si="375"/>
        <v>0.3</v>
      </c>
      <c r="X63" s="184">
        <f t="shared" si="375"/>
        <v>0.3</v>
      </c>
      <c r="Y63" s="184">
        <f t="shared" si="375"/>
        <v>0.3</v>
      </c>
      <c r="Z63" s="184">
        <f t="shared" si="375"/>
        <v>0.3</v>
      </c>
      <c r="AA63" s="184">
        <f t="shared" si="375"/>
        <v>0.3</v>
      </c>
      <c r="AB63" s="184">
        <f t="shared" si="375"/>
        <v>0.3</v>
      </c>
      <c r="AC63" s="184">
        <f t="shared" si="375"/>
        <v>0.3</v>
      </c>
      <c r="AD63" s="184">
        <f t="shared" si="375"/>
        <v>0.3</v>
      </c>
      <c r="AE63" s="184">
        <f t="shared" si="375"/>
        <v>0.3</v>
      </c>
      <c r="AF63" s="184">
        <f t="shared" si="375"/>
        <v>0.3</v>
      </c>
      <c r="AG63" s="184">
        <f t="shared" si="375"/>
        <v>0.3</v>
      </c>
      <c r="AH63" s="184">
        <f t="shared" si="375"/>
        <v>0.3</v>
      </c>
      <c r="AI63" s="184">
        <f t="shared" si="375"/>
        <v>0.3</v>
      </c>
      <c r="AJ63" s="184">
        <f t="shared" si="375"/>
        <v>0.3</v>
      </c>
      <c r="AK63" s="184">
        <f t="shared" si="375"/>
        <v>0.3</v>
      </c>
      <c r="AL63" s="184">
        <f t="shared" si="375"/>
        <v>0.3</v>
      </c>
      <c r="AM63" s="184">
        <f t="shared" si="375"/>
        <v>0.3</v>
      </c>
      <c r="AN63" s="184">
        <f t="shared" si="375"/>
        <v>0.3</v>
      </c>
      <c r="AO63" s="184">
        <f t="shared" si="375"/>
        <v>0.3</v>
      </c>
      <c r="AP63" s="184">
        <f t="shared" si="375"/>
        <v>0.3</v>
      </c>
      <c r="AQ63" s="184">
        <f t="shared" si="375"/>
        <v>0.3</v>
      </c>
      <c r="AR63" s="184">
        <f t="shared" si="375"/>
        <v>0.3</v>
      </c>
      <c r="AS63" s="184">
        <f t="shared" si="375"/>
        <v>0.3</v>
      </c>
      <c r="AT63" s="184">
        <f t="shared" si="375"/>
        <v>0.3</v>
      </c>
      <c r="AU63" s="184">
        <f t="shared" si="375"/>
        <v>0.3</v>
      </c>
      <c r="AV63" s="184">
        <f t="shared" si="375"/>
        <v>0.3</v>
      </c>
      <c r="AW63" s="184">
        <f t="shared" si="375"/>
        <v>0.3</v>
      </c>
      <c r="AX63" s="184">
        <f t="shared" si="375"/>
        <v>0.3</v>
      </c>
      <c r="AY63" s="184">
        <f t="shared" si="375"/>
        <v>0.3</v>
      </c>
      <c r="AZ63" s="184">
        <f t="shared" si="375"/>
        <v>0.3</v>
      </c>
      <c r="BA63" s="184">
        <f t="shared" si="375"/>
        <v>0.3</v>
      </c>
      <c r="BB63" s="184">
        <f t="shared" si="375"/>
        <v>0.3</v>
      </c>
      <c r="BC63" s="184">
        <f t="shared" si="375"/>
        <v>0.3</v>
      </c>
      <c r="BD63" s="184">
        <f t="shared" si="375"/>
        <v>0.3</v>
      </c>
      <c r="BE63" s="184">
        <f t="shared" si="375"/>
        <v>0.3</v>
      </c>
      <c r="BF63" s="184">
        <f t="shared" si="375"/>
        <v>0.3</v>
      </c>
      <c r="BG63" s="184">
        <f t="shared" si="375"/>
        <v>0.3</v>
      </c>
      <c r="BH63" s="184">
        <f t="shared" si="375"/>
        <v>0.3</v>
      </c>
      <c r="BI63" s="184">
        <f t="shared" si="375"/>
        <v>0.3</v>
      </c>
      <c r="BJ63" s="184">
        <f t="shared" si="375"/>
        <v>0.3</v>
      </c>
      <c r="BK63" s="184">
        <f t="shared" si="375"/>
        <v>0.3</v>
      </c>
      <c r="BL63" s="184">
        <v>0.31</v>
      </c>
      <c r="BM63" s="184">
        <v>0.31</v>
      </c>
      <c r="BN63" s="184">
        <v>0.31</v>
      </c>
      <c r="BO63" s="184">
        <v>0.31</v>
      </c>
      <c r="BP63" s="184">
        <v>0.31</v>
      </c>
      <c r="BQ63" s="184">
        <v>0.31</v>
      </c>
      <c r="BR63" s="184">
        <v>0.31</v>
      </c>
      <c r="BS63" s="184">
        <v>0.31</v>
      </c>
      <c r="BT63" s="184">
        <v>0.31</v>
      </c>
      <c r="BU63" s="184">
        <v>0.31</v>
      </c>
      <c r="BV63" s="184">
        <v>0.31</v>
      </c>
      <c r="BW63" s="184">
        <v>0.31</v>
      </c>
      <c r="BX63" s="184">
        <v>0.31</v>
      </c>
      <c r="BY63" s="184">
        <v>0.31</v>
      </c>
      <c r="BZ63" s="184">
        <v>0.31</v>
      </c>
      <c r="CA63" s="184">
        <v>0.31</v>
      </c>
      <c r="CB63" s="184">
        <v>0.31</v>
      </c>
      <c r="CC63" s="184">
        <v>0.31</v>
      </c>
      <c r="CD63" s="184">
        <v>0.31</v>
      </c>
      <c r="CE63" s="184">
        <v>0.31</v>
      </c>
      <c r="CF63" s="184">
        <v>0.31</v>
      </c>
      <c r="CG63" s="184">
        <v>0.31</v>
      </c>
      <c r="CH63" s="184">
        <v>0.31</v>
      </c>
      <c r="CI63" s="184">
        <v>0.31</v>
      </c>
      <c r="CJ63" s="184">
        <v>0.31</v>
      </c>
      <c r="CK63" s="184">
        <v>0.31</v>
      </c>
      <c r="CL63" s="184">
        <v>0.31</v>
      </c>
      <c r="CM63" s="184">
        <v>0.31</v>
      </c>
      <c r="CN63" s="184">
        <v>0.31</v>
      </c>
      <c r="CO63" s="184">
        <v>0.31</v>
      </c>
      <c r="CP63" s="184">
        <v>0.31</v>
      </c>
      <c r="CQ63" s="184">
        <v>0.31</v>
      </c>
      <c r="CR63" s="184">
        <v>0.31</v>
      </c>
      <c r="CS63" s="184">
        <v>0.31</v>
      </c>
      <c r="CT63" s="184">
        <v>0.31</v>
      </c>
      <c r="CU63" s="184">
        <v>0.31</v>
      </c>
      <c r="CV63" s="184">
        <v>0.31</v>
      </c>
      <c r="CW63" s="184">
        <v>0.31</v>
      </c>
      <c r="CX63" s="184">
        <v>0.31</v>
      </c>
      <c r="CY63" s="184">
        <v>0.31</v>
      </c>
      <c r="CZ63" s="184">
        <v>0.31</v>
      </c>
      <c r="DA63" s="184">
        <v>0.31</v>
      </c>
      <c r="DB63" s="184">
        <v>0.31</v>
      </c>
      <c r="DC63" s="184">
        <v>0.31</v>
      </c>
      <c r="DD63" s="184">
        <v>0.31</v>
      </c>
      <c r="DE63" s="184">
        <v>0.31</v>
      </c>
      <c r="DF63" s="184">
        <v>0.31</v>
      </c>
      <c r="DG63" s="184">
        <v>0.31</v>
      </c>
      <c r="DH63" s="184">
        <v>0.31</v>
      </c>
      <c r="DI63" s="184">
        <v>0.31</v>
      </c>
      <c r="DJ63" s="184">
        <v>0.31</v>
      </c>
      <c r="DK63" s="184">
        <v>0.31</v>
      </c>
      <c r="DL63" s="184">
        <v>0.31</v>
      </c>
      <c r="DM63" s="184">
        <v>0.31</v>
      </c>
      <c r="DN63" s="184">
        <v>0.31</v>
      </c>
      <c r="DO63" s="184">
        <v>0.31</v>
      </c>
      <c r="DP63" s="184">
        <v>0.31</v>
      </c>
      <c r="DQ63" s="184">
        <v>0.31</v>
      </c>
      <c r="DR63" s="184">
        <v>0.31</v>
      </c>
      <c r="DS63" s="184">
        <v>0.31</v>
      </c>
      <c r="DT63" s="184">
        <v>0.31</v>
      </c>
      <c r="DU63" s="184">
        <v>0.31</v>
      </c>
      <c r="DV63" s="184">
        <v>0.31</v>
      </c>
      <c r="DW63" s="184">
        <v>0.31</v>
      </c>
      <c r="DX63" s="184">
        <v>0.31</v>
      </c>
      <c r="DY63" s="184">
        <v>0.31</v>
      </c>
      <c r="DZ63" s="184">
        <v>0.31</v>
      </c>
      <c r="EA63" s="184">
        <v>0.31</v>
      </c>
      <c r="EB63" s="184">
        <v>0.31</v>
      </c>
      <c r="EC63" s="184">
        <v>0.31</v>
      </c>
      <c r="ED63" s="184">
        <v>0.31</v>
      </c>
      <c r="EE63" s="184">
        <v>0.31</v>
      </c>
      <c r="EF63" s="184">
        <v>0.31</v>
      </c>
      <c r="EG63" s="184">
        <v>0.31</v>
      </c>
      <c r="EH63" s="184">
        <v>0.31</v>
      </c>
      <c r="EI63" s="184">
        <v>0.31</v>
      </c>
      <c r="EJ63" s="184">
        <v>0.31</v>
      </c>
      <c r="EK63" s="184">
        <v>0.31</v>
      </c>
      <c r="EL63" s="184">
        <v>0.31</v>
      </c>
      <c r="EM63" s="184">
        <v>0.31</v>
      </c>
      <c r="EN63" s="184">
        <v>0.31</v>
      </c>
      <c r="EO63" s="184">
        <v>0.31</v>
      </c>
      <c r="EP63" s="184">
        <v>0.31</v>
      </c>
      <c r="EQ63" s="184">
        <v>0.31</v>
      </c>
      <c r="ER63" s="184">
        <v>0.31</v>
      </c>
      <c r="ES63" s="184">
        <v>0.31</v>
      </c>
      <c r="ET63" s="184">
        <v>0.31</v>
      </c>
      <c r="EU63" s="184">
        <v>0.31</v>
      </c>
      <c r="EV63" s="184">
        <v>0.31</v>
      </c>
      <c r="EW63" s="184">
        <v>0.31</v>
      </c>
      <c r="EX63" s="184">
        <v>0.31</v>
      </c>
      <c r="EY63" s="184">
        <v>0.31</v>
      </c>
      <c r="EZ63" s="184">
        <v>0.31</v>
      </c>
      <c r="FA63" s="184">
        <v>0.31</v>
      </c>
      <c r="FB63" s="184">
        <v>0.31</v>
      </c>
      <c r="FC63" s="184">
        <v>0.31</v>
      </c>
      <c r="FD63" s="184">
        <v>0.31</v>
      </c>
      <c r="FE63" s="184">
        <v>0.31</v>
      </c>
      <c r="FF63" s="184">
        <v>0.31</v>
      </c>
      <c r="FG63" s="184">
        <v>0.31</v>
      </c>
      <c r="FH63" s="184">
        <v>0.31</v>
      </c>
      <c r="FI63" s="184">
        <v>0.31</v>
      </c>
      <c r="FJ63" s="184">
        <v>0.31</v>
      </c>
      <c r="FK63" s="184">
        <v>0.31</v>
      </c>
      <c r="FL63" s="184">
        <v>0.31</v>
      </c>
      <c r="FM63" s="184">
        <v>0.31</v>
      </c>
      <c r="FN63" s="184">
        <v>0.31</v>
      </c>
      <c r="FO63" s="184">
        <v>0.31</v>
      </c>
      <c r="FP63" s="184">
        <v>0.31</v>
      </c>
      <c r="FQ63" s="184">
        <v>0.31</v>
      </c>
      <c r="FR63" s="184">
        <v>0.31</v>
      </c>
      <c r="FS63" s="184">
        <v>0.31</v>
      </c>
      <c r="FT63" s="184">
        <v>0.31</v>
      </c>
      <c r="FU63" s="184">
        <v>0.31</v>
      </c>
      <c r="FV63" s="184">
        <v>0.31</v>
      </c>
      <c r="FW63" s="184">
        <v>0.31</v>
      </c>
      <c r="FX63" s="184">
        <v>0.31</v>
      </c>
      <c r="FY63" s="184">
        <v>0.31</v>
      </c>
      <c r="FZ63" s="184">
        <v>0.31</v>
      </c>
      <c r="GA63" s="184">
        <v>0.31</v>
      </c>
      <c r="GB63" s="184">
        <v>0.31</v>
      </c>
      <c r="GC63" s="184">
        <v>0.31</v>
      </c>
      <c r="GD63" s="184">
        <v>0.31</v>
      </c>
      <c r="GE63" s="184">
        <v>0.31</v>
      </c>
      <c r="GF63" s="184">
        <v>0.31</v>
      </c>
      <c r="GG63" s="184">
        <v>0.31</v>
      </c>
      <c r="GH63" s="184">
        <v>0.31</v>
      </c>
      <c r="GI63" s="184">
        <v>0.31</v>
      </c>
      <c r="GJ63" s="184">
        <v>0.31</v>
      </c>
      <c r="GK63" s="184">
        <v>0.31</v>
      </c>
      <c r="GL63" s="184">
        <v>0.31</v>
      </c>
      <c r="GM63" s="184">
        <v>0.31</v>
      </c>
      <c r="GN63" s="184">
        <v>0.31</v>
      </c>
      <c r="GO63" s="184">
        <v>0.31</v>
      </c>
      <c r="GP63" s="184">
        <v>0.31</v>
      </c>
      <c r="GQ63" s="184">
        <v>0.31</v>
      </c>
      <c r="GR63" s="184">
        <v>0.31</v>
      </c>
      <c r="GS63" s="184">
        <v>0.31</v>
      </c>
      <c r="GT63" s="184">
        <v>0.31</v>
      </c>
      <c r="GU63" s="184">
        <v>0.31</v>
      </c>
      <c r="GV63" s="184">
        <v>0.31</v>
      </c>
      <c r="GW63" s="184">
        <v>0.31</v>
      </c>
      <c r="GX63" s="184">
        <v>0.31</v>
      </c>
      <c r="GY63" s="184">
        <v>0.31</v>
      </c>
      <c r="GZ63" s="184">
        <v>0.31</v>
      </c>
      <c r="HA63" s="184">
        <v>0.31</v>
      </c>
    </row>
    <row r="65" spans="1:209" x14ac:dyDescent="0.2">
      <c r="B65" s="109" t="s">
        <v>151</v>
      </c>
      <c r="D65" s="182">
        <f>+D61*D63</f>
        <v>1520836.8179118906</v>
      </c>
      <c r="E65" s="182">
        <f t="shared" ref="E65:K65" si="376">+E61*E63</f>
        <v>1667691.1117286682</v>
      </c>
      <c r="F65" s="182">
        <f t="shared" si="376"/>
        <v>1791841.4600627501</v>
      </c>
      <c r="G65" s="182">
        <f t="shared" si="376"/>
        <v>1867431.6440626241</v>
      </c>
      <c r="H65" s="182">
        <f t="shared" si="376"/>
        <v>1926019.011365155</v>
      </c>
      <c r="I65" s="182">
        <f t="shared" si="376"/>
        <v>1968963.7873061299</v>
      </c>
      <c r="J65" s="182">
        <f t="shared" si="376"/>
        <v>1997517.3791944734</v>
      </c>
      <c r="K65" s="182">
        <f t="shared" si="376"/>
        <v>2012831.081754396</v>
      </c>
      <c r="L65" s="182">
        <f t="shared" ref="L65" si="377">+L61*L63</f>
        <v>2015964.0861321716</v>
      </c>
      <c r="M65" s="182">
        <f t="shared" ref="M65:S65" si="378">+M61*M63</f>
        <v>2007890.8481823714</v>
      </c>
      <c r="N65" s="182">
        <f t="shared" si="378"/>
        <v>1989507.8672912018</v>
      </c>
      <c r="O65" s="182">
        <f t="shared" si="378"/>
        <v>1961639.9228939724</v>
      </c>
      <c r="P65" s="182">
        <f t="shared" si="378"/>
        <v>1925045.8120711681</v>
      </c>
      <c r="Q65" s="182">
        <f t="shared" si="378"/>
        <v>1880423.6281368344</v>
      </c>
      <c r="R65" s="182">
        <f t="shared" si="378"/>
        <v>1828415.6169398942</v>
      </c>
      <c r="S65" s="182">
        <f t="shared" si="378"/>
        <v>1769612.644661356</v>
      </c>
      <c r="T65" s="182">
        <f t="shared" ref="T65:AN65" si="379">+T61*T63</f>
        <v>1704558.3081877469</v>
      </c>
      <c r="U65" s="182">
        <f t="shared" si="379"/>
        <v>1633752.7166546735</v>
      </c>
      <c r="V65" s="182">
        <f t="shared" si="379"/>
        <v>1557655.9704668925</v>
      </c>
      <c r="W65" s="182">
        <f t="shared" si="379"/>
        <v>1476691.3619967804</v>
      </c>
      <c r="X65" s="182">
        <f t="shared" si="379"/>
        <v>1391248.3202269238</v>
      </c>
      <c r="Y65" s="182">
        <f t="shared" si="379"/>
        <v>1301685.1198213024</v>
      </c>
      <c r="Z65" s="182">
        <f t="shared" si="379"/>
        <v>1208331.3734707774</v>
      </c>
      <c r="AA65" s="182">
        <f t="shared" si="379"/>
        <v>1111490.3248509408</v>
      </c>
      <c r="AB65" s="182">
        <f t="shared" si="379"/>
        <v>1011440.9581433379</v>
      </c>
      <c r="AC65" s="182">
        <f t="shared" si="379"/>
        <v>908439.93879498972</v>
      </c>
      <c r="AD65" s="182">
        <f t="shared" si="379"/>
        <v>802723.39901715599</v>
      </c>
      <c r="AE65" s="182">
        <f t="shared" si="379"/>
        <v>694508.58044419542</v>
      </c>
      <c r="AF65" s="182">
        <f t="shared" si="379"/>
        <v>583995.34537971835</v>
      </c>
      <c r="AG65" s="182">
        <f t="shared" si="379"/>
        <v>471367.56714304606</v>
      </c>
      <c r="AH65" s="182">
        <f t="shared" si="379"/>
        <v>356794.40918795409</v>
      </c>
      <c r="AI65" s="182">
        <f t="shared" si="379"/>
        <v>240431.50189191604</v>
      </c>
      <c r="AJ65" s="182">
        <f t="shared" si="379"/>
        <v>122422.02520220762</v>
      </c>
      <c r="AK65" s="182">
        <f t="shared" si="379"/>
        <v>2897.7046703224419</v>
      </c>
      <c r="AL65" s="182">
        <f t="shared" si="379"/>
        <v>-118020.27219636536</v>
      </c>
      <c r="AM65" s="182">
        <f t="shared" si="379"/>
        <v>-169566.08817415373</v>
      </c>
      <c r="AN65" s="182">
        <f t="shared" si="379"/>
        <v>-156000.79487371902</v>
      </c>
      <c r="AO65" s="182">
        <f t="shared" ref="AO65:AS65" si="380">+AO61*AO63</f>
        <v>-143520.72503731909</v>
      </c>
      <c r="AP65" s="182">
        <f t="shared" si="380"/>
        <v>-132039.06078783114</v>
      </c>
      <c r="AQ65" s="182">
        <f t="shared" si="380"/>
        <v>-121475.92967830223</v>
      </c>
      <c r="AR65" s="182">
        <f t="shared" si="380"/>
        <v>-111757.84905753563</v>
      </c>
      <c r="AS65" s="182">
        <f t="shared" si="380"/>
        <v>-102817.21488643035</v>
      </c>
      <c r="AT65" s="182">
        <f t="shared" ref="AT65:BC65" si="381">+AT61*AT63</f>
        <v>-94591.831449013465</v>
      </c>
      <c r="AU65" s="182">
        <f t="shared" si="381"/>
        <v>-87024.478686589951</v>
      </c>
      <c r="AV65" s="182">
        <f t="shared" si="381"/>
        <v>-80062.514145160298</v>
      </c>
      <c r="AW65" s="182">
        <f t="shared" si="381"/>
        <v>-73657.506767045023</v>
      </c>
      <c r="AX65" s="182">
        <f t="shared" si="381"/>
        <v>-67764.899979178983</v>
      </c>
      <c r="AY65" s="182">
        <f t="shared" si="381"/>
        <v>-62343.701734342205</v>
      </c>
      <c r="AZ65" s="182">
        <f t="shared" si="381"/>
        <v>-57356.199349092356</v>
      </c>
      <c r="BA65" s="182">
        <f t="shared" si="381"/>
        <v>-52767.697154662492</v>
      </c>
      <c r="BB65" s="182">
        <f t="shared" si="381"/>
        <v>-48546.275135787007</v>
      </c>
      <c r="BC65" s="182">
        <f t="shared" si="381"/>
        <v>-44662.56687842156</v>
      </c>
      <c r="BD65" s="182">
        <f t="shared" ref="BD65:DM65" si="382">+BD61*BD63</f>
        <v>-41089.555281645327</v>
      </c>
      <c r="BE65" s="182">
        <f t="shared" si="382"/>
        <v>-37802.384612611175</v>
      </c>
      <c r="BF65" s="182">
        <f t="shared" si="382"/>
        <v>-34778.187597099764</v>
      </c>
      <c r="BG65" s="182">
        <f t="shared" si="382"/>
        <v>-31995.926342829269</v>
      </c>
      <c r="BH65" s="182">
        <f t="shared" si="382"/>
        <v>-29436.24598890042</v>
      </c>
      <c r="BI65" s="182">
        <f t="shared" si="382"/>
        <v>-27081.340063285883</v>
      </c>
      <c r="BJ65" s="182">
        <f t="shared" si="382"/>
        <v>-24914.826611720524</v>
      </c>
      <c r="BK65" s="182">
        <f t="shared" si="382"/>
        <v>-22921.634236280388</v>
      </c>
      <c r="BL65" s="182">
        <f t="shared" si="382"/>
        <v>-21790.827159237997</v>
      </c>
      <c r="BM65" s="182">
        <f t="shared" si="382"/>
        <v>-20047.554531779737</v>
      </c>
      <c r="BN65" s="182">
        <f t="shared" si="382"/>
        <v>-18443.743714518139</v>
      </c>
      <c r="BO65" s="182">
        <f t="shared" si="382"/>
        <v>-16968.237762637476</v>
      </c>
      <c r="BP65" s="182">
        <f t="shared" si="382"/>
        <v>-15610.772286907277</v>
      </c>
      <c r="BQ65" s="182">
        <f t="shared" si="382"/>
        <v>-14361.904049235492</v>
      </c>
      <c r="BR65" s="182">
        <f t="shared" si="382"/>
        <v>-13212.945270577433</v>
      </c>
      <c r="BS65" s="182">
        <f t="shared" si="382"/>
        <v>-12155.903194212002</v>
      </c>
      <c r="BT65" s="182">
        <f t="shared" si="382"/>
        <v>-11183.424483955803</v>
      </c>
      <c r="BU65" s="182">
        <f t="shared" si="382"/>
        <v>-10288.744070520081</v>
      </c>
      <c r="BV65" s="182">
        <f t="shared" si="382"/>
        <v>-9465.638090159202</v>
      </c>
      <c r="BW65" s="182">
        <f t="shared" si="382"/>
        <v>-8708.3805882272118</v>
      </c>
      <c r="BX65" s="182">
        <f t="shared" si="382"/>
        <v>-8011.7036864497722</v>
      </c>
      <c r="BY65" s="182">
        <f t="shared" si="382"/>
        <v>-7370.7609368145386</v>
      </c>
      <c r="BZ65" s="182">
        <f t="shared" si="382"/>
        <v>-6781.093607150141</v>
      </c>
      <c r="CA65" s="182">
        <f t="shared" si="382"/>
        <v>-6238.5996638588886</v>
      </c>
      <c r="CB65" s="182">
        <f t="shared" si="382"/>
        <v>-5739.5052360309573</v>
      </c>
      <c r="CC65" s="182">
        <f t="shared" si="382"/>
        <v>-5280.3383624292464</v>
      </c>
      <c r="CD65" s="182">
        <f t="shared" si="382"/>
        <v>-4857.9048387156581</v>
      </c>
      <c r="CE65" s="182">
        <f t="shared" si="382"/>
        <v>-4469.2659968991657</v>
      </c>
      <c r="CF65" s="182">
        <f t="shared" si="382"/>
        <v>-4111.718262427974</v>
      </c>
      <c r="CG65" s="182">
        <f t="shared" si="382"/>
        <v>-3782.774346714476</v>
      </c>
      <c r="CH65" s="182">
        <f t="shared" si="382"/>
        <v>-3480.1459442580449</v>
      </c>
      <c r="CI65" s="182">
        <f t="shared" si="382"/>
        <v>-3201.7278139981222</v>
      </c>
      <c r="CJ65" s="182">
        <f t="shared" si="382"/>
        <v>-2945.5831341589787</v>
      </c>
      <c r="CK65" s="182">
        <f t="shared" si="382"/>
        <v>-2709.930028706945</v>
      </c>
      <c r="CL65" s="182">
        <f t="shared" si="382"/>
        <v>-2493.129171691085</v>
      </c>
      <c r="CM65" s="182">
        <f t="shared" si="382"/>
        <v>-2293.6723832364737</v>
      </c>
      <c r="CN65" s="182">
        <f t="shared" si="382"/>
        <v>-2110.1721378582474</v>
      </c>
      <c r="CO65" s="182">
        <f t="shared" si="382"/>
        <v>-1941.3519121102702</v>
      </c>
      <c r="CP65" s="182">
        <f t="shared" si="382"/>
        <v>-1786.0373044221292</v>
      </c>
      <c r="CQ65" s="182">
        <f t="shared" si="382"/>
        <v>-1643.1478653490285</v>
      </c>
      <c r="CR65" s="182">
        <f t="shared" si="382"/>
        <v>-1511.6895814017573</v>
      </c>
      <c r="CS65" s="182">
        <f t="shared" si="382"/>
        <v>-1390.7479601702478</v>
      </c>
      <c r="CT65" s="182">
        <f t="shared" si="382"/>
        <v>-1279.4816686372442</v>
      </c>
      <c r="CU65" s="182">
        <f t="shared" si="382"/>
        <v>-1177.1166804268639</v>
      </c>
      <c r="CV65" s="182">
        <f t="shared" si="382"/>
        <v>-1082.9408912733327</v>
      </c>
      <c r="CW65" s="182">
        <f t="shared" si="382"/>
        <v>-996.29916525210251</v>
      </c>
      <c r="CX65" s="182">
        <f t="shared" si="382"/>
        <v>-916.58877731256155</v>
      </c>
      <c r="CY65" s="182">
        <f t="shared" si="382"/>
        <v>-843.25522040818748</v>
      </c>
      <c r="CZ65" s="182">
        <f t="shared" si="382"/>
        <v>-775.78834805616702</v>
      </c>
      <c r="DA65" s="182">
        <f t="shared" si="382"/>
        <v>-713.71882549229531</v>
      </c>
      <c r="DB65" s="182">
        <f t="shared" si="382"/>
        <v>-656.61486473354057</v>
      </c>
      <c r="DC65" s="182">
        <f t="shared" si="382"/>
        <v>-604.07922083548272</v>
      </c>
      <c r="DD65" s="182">
        <f t="shared" si="382"/>
        <v>-555.74642844927132</v>
      </c>
      <c r="DE65" s="182">
        <f t="shared" si="382"/>
        <v>-511.28025945394751</v>
      </c>
      <c r="DF65" s="182">
        <f t="shared" si="382"/>
        <v>-470.37138397826072</v>
      </c>
      <c r="DG65" s="182">
        <f t="shared" si="382"/>
        <v>-432.73521854060851</v>
      </c>
      <c r="DH65" s="182">
        <f t="shared" si="382"/>
        <v>-398.10994633797225</v>
      </c>
      <c r="DI65" s="182">
        <f t="shared" si="382"/>
        <v>-366.25469591154871</v>
      </c>
      <c r="DJ65" s="182">
        <f t="shared" si="382"/>
        <v>-336.94786551923715</v>
      </c>
      <c r="DK65" s="182">
        <f t="shared" si="382"/>
        <v>-309.98558155830312</v>
      </c>
      <c r="DL65" s="182">
        <f t="shared" si="382"/>
        <v>-285.18028031423648</v>
      </c>
      <c r="DM65" s="182">
        <f t="shared" si="382"/>
        <v>-262.3594031696822</v>
      </c>
      <c r="DN65" s="182">
        <f t="shared" ref="DN65:FY65" si="383">+DN61*DN63</f>
        <v>-241.36419619667933</v>
      </c>
      <c r="DO65" s="182">
        <f t="shared" si="383"/>
        <v>-222.04860578151303</v>
      </c>
      <c r="DP65" s="182">
        <f t="shared" si="383"/>
        <v>-204.27826259953784</v>
      </c>
      <c r="DQ65" s="182">
        <f t="shared" si="383"/>
        <v>-187.92954687212068</v>
      </c>
      <c r="DR65" s="182">
        <f t="shared" si="383"/>
        <v>-172.88872840289136</v>
      </c>
      <c r="DS65" s="182">
        <f t="shared" si="383"/>
        <v>-159.05117541118372</v>
      </c>
      <c r="DT65" s="182">
        <f t="shared" si="383"/>
        <v>-146.32062665879238</v>
      </c>
      <c r="DU65" s="182">
        <f t="shared" si="383"/>
        <v>-134.60852180657943</v>
      </c>
      <c r="DV65" s="182">
        <f t="shared" si="383"/>
        <v>-123.83338534253795</v>
      </c>
      <c r="DW65" s="182">
        <f t="shared" si="383"/>
        <v>-113.92025979560871</v>
      </c>
      <c r="DX65" s="182">
        <f t="shared" si="383"/>
        <v>-104.80018429244122</v>
      </c>
      <c r="DY65" s="182">
        <f t="shared" si="383"/>
        <v>-96.40971482951602</v>
      </c>
      <c r="DZ65" s="182">
        <f t="shared" si="383"/>
        <v>-88.690482923602659</v>
      </c>
      <c r="EA65" s="182">
        <f t="shared" si="383"/>
        <v>-81.588789570156834</v>
      </c>
      <c r="EB65" s="182">
        <f t="shared" si="383"/>
        <v>-75.055231684964497</v>
      </c>
      <c r="EC65" s="182">
        <f t="shared" si="383"/>
        <v>-69.044358430596787</v>
      </c>
      <c r="ED65" s="182">
        <f t="shared" si="383"/>
        <v>-63.514355036556317</v>
      </c>
      <c r="EE65" s="182">
        <f t="shared" si="383"/>
        <v>-58.426751914022468</v>
      </c>
      <c r="EF65" s="182">
        <f t="shared" si="383"/>
        <v>-53.746157041269136</v>
      </c>
      <c r="EG65" s="182">
        <f t="shared" si="383"/>
        <v>-49.440009758337929</v>
      </c>
      <c r="EH65" s="182">
        <f t="shared" si="383"/>
        <v>-45.478354258061543</v>
      </c>
      <c r="EI65" s="182">
        <f t="shared" si="383"/>
        <v>-41.833631197820203</v>
      </c>
      <c r="EJ65" s="182">
        <f t="shared" si="383"/>
        <v>-38.480485982383392</v>
      </c>
      <c r="EK65" s="182">
        <f t="shared" si="383"/>
        <v>-35.395592384181519</v>
      </c>
      <c r="EL65" s="182">
        <f t="shared" si="383"/>
        <v>-32.557490273828407</v>
      </c>
      <c r="EM65" s="182">
        <f t="shared" si="383"/>
        <v>-29.946436332292457</v>
      </c>
      <c r="EN65" s="182">
        <f t="shared" si="383"/>
        <v>-27.544266706099712</v>
      </c>
      <c r="EO65" s="182">
        <f t="shared" si="383"/>
        <v>-25.334270650007927</v>
      </c>
      <c r="EP65" s="182">
        <f t="shared" si="383"/>
        <v>-23.301074278410876</v>
      </c>
      <c r="EQ65" s="182">
        <f t="shared" si="383"/>
        <v>-21.430533616530504</v>
      </c>
      <c r="ER65" s="182">
        <f t="shared" si="383"/>
        <v>-19.709636207587625</v>
      </c>
      <c r="ES65" s="182">
        <f t="shared" si="383"/>
        <v>-18.126410591362024</v>
      </c>
      <c r="ET65" s="182">
        <f t="shared" si="383"/>
        <v>-16.669843024430779</v>
      </c>
      <c r="EU65" s="182">
        <f t="shared" si="383"/>
        <v>-15.329800862863269</v>
      </c>
      <c r="EV65" s="182">
        <f t="shared" si="383"/>
        <v>-14.096962074206377</v>
      </c>
      <c r="EW65" s="182">
        <f t="shared" si="383"/>
        <v>-12.962750388645734</v>
      </c>
      <c r="EX65" s="182">
        <f t="shared" si="383"/>
        <v>-11.919275637939181</v>
      </c>
      <c r="EY65" s="182">
        <f t="shared" si="383"/>
        <v>-10.959278867303935</v>
      </c>
      <c r="EZ65" s="182">
        <f t="shared" si="383"/>
        <v>-10.076081838328745</v>
      </c>
      <c r="FA65" s="182">
        <f t="shared" si="383"/>
        <v>-9.263540571654941</v>
      </c>
      <c r="FB65" s="182">
        <f t="shared" si="383"/>
        <v>-8.5160026063021075</v>
      </c>
      <c r="FC65" s="182">
        <f t="shared" si="383"/>
        <v>-7.8282676781978271</v>
      </c>
      <c r="FD65" s="182">
        <f t="shared" si="383"/>
        <v>-7.1955515443529743</v>
      </c>
      <c r="FE65" s="182">
        <f t="shared" si="383"/>
        <v>-6.6134527012046238</v>
      </c>
      <c r="FF65" s="182">
        <f t="shared" si="383"/>
        <v>-6.0779217655118369</v>
      </c>
      <c r="FG65" s="182">
        <f t="shared" si="383"/>
        <v>-5.5852333046670815</v>
      </c>
      <c r="FH65" s="182">
        <f t="shared" si="383"/>
        <v>-5.1319599207009929</v>
      </c>
      <c r="FI65" s="182">
        <f t="shared" si="383"/>
        <v>-4.7149484074558874</v>
      </c>
      <c r="FJ65" s="182">
        <f t="shared" si="383"/>
        <v>-4.3312978152777806</v>
      </c>
      <c r="FK65" s="182">
        <f t="shared" si="383"/>
        <v>-3.9783392704646845</v>
      </c>
      <c r="FL65" s="182">
        <f t="shared" si="383"/>
        <v>-3.6536174092273974</v>
      </c>
      <c r="FM65" s="182">
        <f t="shared" si="383"/>
        <v>-3.3548732968669199</v>
      </c>
      <c r="FN65" s="182">
        <f t="shared" si="383"/>
        <v>-3.0800287134971285</v>
      </c>
      <c r="FO65" s="182">
        <f t="shared" si="383"/>
        <v>-2.8271716967876817</v>
      </c>
      <c r="FP65" s="182">
        <f t="shared" si="383"/>
        <v>-2.5945432413946654</v>
      </c>
      <c r="FQ65" s="182">
        <f t="shared" si="383"/>
        <v>-2.380525062414613</v>
      </c>
      <c r="FR65" s="182">
        <f t="shared" si="383"/>
        <v>-2.1836283377732899</v>
      </c>
      <c r="FS65" s="182">
        <f t="shared" si="383"/>
        <v>-2.0024833511125113</v>
      </c>
      <c r="FT65" s="182">
        <f t="shared" si="383"/>
        <v>-1.8358299633901383</v>
      </c>
      <c r="FU65" s="182">
        <f t="shared" si="383"/>
        <v>-1.6825088466744686</v>
      </c>
      <c r="FV65" s="182">
        <f t="shared" si="383"/>
        <v>-1.5414534192960525</v>
      </c>
      <c r="FW65" s="182">
        <f t="shared" si="383"/>
        <v>-1.4116824260931278</v>
      </c>
      <c r="FX65" s="182">
        <f t="shared" si="383"/>
        <v>-1.2922931123371983</v>
      </c>
      <c r="FY65" s="182">
        <f t="shared" si="383"/>
        <v>-1.1824549436669611</v>
      </c>
      <c r="FZ65" s="182">
        <f t="shared" ref="FZ65:HA65" si="384">+FZ61*FZ63</f>
        <v>-1.0814038284700178</v>
      </c>
      <c r="GA65" s="182">
        <f t="shared" si="384"/>
        <v>-0.98843680247774368</v>
      </c>
      <c r="GB65" s="182">
        <f t="shared" si="384"/>
        <v>-0.90290713857224225</v>
      </c>
      <c r="GC65" s="182">
        <f t="shared" si="384"/>
        <v>-0.82421984776070345</v>
      </c>
      <c r="GD65" s="182">
        <f t="shared" si="384"/>
        <v>-0.75182754022886977</v>
      </c>
      <c r="GE65" s="182">
        <f t="shared" si="384"/>
        <v>-0.6852266172792576</v>
      </c>
      <c r="GF65" s="182">
        <f t="shared" si="384"/>
        <v>-0.62395376814713699</v>
      </c>
      <c r="GG65" s="182">
        <f t="shared" si="384"/>
        <v>-0.5675827469344995</v>
      </c>
      <c r="GH65" s="182">
        <f t="shared" si="384"/>
        <v>-0.51572140739670025</v>
      </c>
      <c r="GI65" s="182">
        <f t="shared" si="384"/>
        <v>-0.46800897502562033</v>
      </c>
      <c r="GJ65" s="182">
        <f t="shared" si="384"/>
        <v>-0.42411353725900874</v>
      </c>
      <c r="GK65" s="182">
        <f t="shared" si="384"/>
        <v>-0.38372973449340086</v>
      </c>
      <c r="GL65" s="182">
        <f t="shared" si="384"/>
        <v>-0.3465766359638236</v>
      </c>
      <c r="GM65" s="182">
        <f t="shared" si="384"/>
        <v>-0.31239578533878548</v>
      </c>
      <c r="GN65" s="182">
        <f t="shared" si="384"/>
        <v>-0.28094940277298913</v>
      </c>
      <c r="GO65" s="182">
        <f t="shared" si="384"/>
        <v>-0.25201873080691317</v>
      </c>
      <c r="GP65" s="182">
        <f t="shared" si="384"/>
        <v>-0.22540251261105759</v>
      </c>
      <c r="GQ65" s="182">
        <f t="shared" si="384"/>
        <v>-0.20091559185793623</v>
      </c>
      <c r="GR65" s="182">
        <f t="shared" si="384"/>
        <v>-0.17838762475213038</v>
      </c>
      <c r="GS65" s="182">
        <f t="shared" si="384"/>
        <v>-0.15766189502587544</v>
      </c>
      <c r="GT65" s="182">
        <f t="shared" si="384"/>
        <v>-0.1385942236777209</v>
      </c>
      <c r="GU65" s="182">
        <f t="shared" si="384"/>
        <v>-0.12105196601709353</v>
      </c>
      <c r="GV65" s="182">
        <f t="shared" si="384"/>
        <v>-0.10491308894714342</v>
      </c>
      <c r="GW65" s="182">
        <f t="shared" si="384"/>
        <v>-9.0065322064962247E-2</v>
      </c>
      <c r="GX65" s="182">
        <f t="shared" si="384"/>
        <v>-7.6405376527812346E-2</v>
      </c>
      <c r="GY65" s="182">
        <f t="shared" si="384"/>
        <v>-6.3838226650264118E-2</v>
      </c>
      <c r="GZ65" s="182">
        <f t="shared" si="384"/>
        <v>-5.2276448781397193E-2</v>
      </c>
      <c r="HA65" s="182">
        <f t="shared" si="384"/>
        <v>-4.1639613119866699E-2</v>
      </c>
    </row>
    <row r="66" spans="1:209" x14ac:dyDescent="0.2">
      <c r="G66" s="185"/>
    </row>
    <row r="67" spans="1:209" x14ac:dyDescent="0.2">
      <c r="K67" s="181"/>
    </row>
    <row r="68" spans="1:209" x14ac:dyDescent="0.2">
      <c r="A68" s="226" t="s">
        <v>178</v>
      </c>
      <c r="B68" s="227"/>
      <c r="C68" s="228"/>
      <c r="D68" s="115" t="s">
        <v>168</v>
      </c>
      <c r="E68" s="115" t="s">
        <v>171</v>
      </c>
      <c r="F68" s="229" t="s">
        <v>164</v>
      </c>
      <c r="K68" s="245"/>
    </row>
    <row r="69" spans="1:209" x14ac:dyDescent="0.2">
      <c r="A69" s="230"/>
      <c r="B69" s="231"/>
      <c r="C69" s="121" t="s">
        <v>175</v>
      </c>
      <c r="D69" s="121" t="s">
        <v>169</v>
      </c>
      <c r="E69" s="121" t="s">
        <v>172</v>
      </c>
      <c r="F69" s="123" t="s">
        <v>168</v>
      </c>
      <c r="K69" s="185"/>
    </row>
    <row r="70" spans="1:209" x14ac:dyDescent="0.2">
      <c r="A70" s="230"/>
      <c r="B70" s="222" t="s">
        <v>176</v>
      </c>
      <c r="C70" s="223">
        <v>44196</v>
      </c>
      <c r="D70" s="224" t="s">
        <v>170</v>
      </c>
      <c r="E70" s="224" t="s">
        <v>173</v>
      </c>
      <c r="F70" s="232" t="s">
        <v>174</v>
      </c>
      <c r="K70" s="244"/>
    </row>
    <row r="71" spans="1:209" x14ac:dyDescent="0.2">
      <c r="A71" s="233">
        <v>364</v>
      </c>
      <c r="B71" s="185" t="s">
        <v>166</v>
      </c>
      <c r="C71" s="185">
        <v>79149678.579999998</v>
      </c>
      <c r="D71" s="185">
        <v>2899253</v>
      </c>
      <c r="E71" s="185">
        <v>142877</v>
      </c>
      <c r="F71" s="234">
        <f>+D71+E71</f>
        <v>3042130</v>
      </c>
      <c r="G71" s="185"/>
      <c r="H71" s="185"/>
      <c r="I71" s="185"/>
      <c r="J71" s="185"/>
      <c r="K71" s="185"/>
    </row>
    <row r="72" spans="1:209" x14ac:dyDescent="0.2">
      <c r="A72" s="233">
        <v>365</v>
      </c>
      <c r="B72" s="185" t="s">
        <v>167</v>
      </c>
      <c r="C72" s="185">
        <v>115298396.09</v>
      </c>
      <c r="D72" s="185">
        <v>3804847</v>
      </c>
      <c r="E72" s="185">
        <v>248899</v>
      </c>
      <c r="F72" s="234">
        <f>+D72+E72</f>
        <v>4053746</v>
      </c>
      <c r="G72" s="185"/>
      <c r="H72" s="185"/>
      <c r="I72" s="185"/>
      <c r="J72" s="185"/>
      <c r="K72" s="185"/>
    </row>
    <row r="73" spans="1:209" ht="13.5" x14ac:dyDescent="0.35">
      <c r="A73" s="233">
        <v>368</v>
      </c>
      <c r="B73" s="185" t="s">
        <v>199</v>
      </c>
      <c r="C73" s="235">
        <v>92265753.289999992</v>
      </c>
      <c r="D73" s="235">
        <v>3232184</v>
      </c>
      <c r="E73" s="235">
        <v>464204</v>
      </c>
      <c r="F73" s="236">
        <f>+D73+E73</f>
        <v>3696388</v>
      </c>
      <c r="G73" s="185"/>
      <c r="H73" s="185"/>
      <c r="I73" s="185"/>
      <c r="J73" s="185"/>
      <c r="K73" s="185"/>
    </row>
    <row r="74" spans="1:209" ht="13.5" x14ac:dyDescent="0.35">
      <c r="A74" s="230"/>
      <c r="B74" s="231" t="s">
        <v>164</v>
      </c>
      <c r="C74" s="237">
        <f>SUM(C71:C73)</f>
        <v>286713827.96000004</v>
      </c>
      <c r="D74" s="237">
        <f t="shared" ref="D74:E74" si="385">SUM(D71:D73)</f>
        <v>9936284</v>
      </c>
      <c r="E74" s="237">
        <f t="shared" si="385"/>
        <v>855980</v>
      </c>
      <c r="F74" s="238">
        <f>SUM(F71:F73)</f>
        <v>10792264</v>
      </c>
    </row>
    <row r="75" spans="1:209" x14ac:dyDescent="0.2">
      <c r="A75" s="239" t="s">
        <v>177</v>
      </c>
      <c r="B75" s="240"/>
      <c r="C75" s="241"/>
      <c r="D75" s="241"/>
      <c r="E75" s="241"/>
      <c r="F75" s="242">
        <f>+F74/C74</f>
        <v>3.764123996665291E-2</v>
      </c>
    </row>
  </sheetData>
  <pageMargins left="0.7" right="0.7" top="0.75" bottom="0.75" header="0.3" footer="0.3"/>
  <pageSetup orientation="portrait" horizontalDpi="204" verticalDpi="196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9"/>
  <sheetViews>
    <sheetView showRuler="0" topLeftCell="C1" zoomScaleNormal="100" workbookViewId="0">
      <selection activeCell="G20" sqref="G20:G21"/>
    </sheetView>
  </sheetViews>
  <sheetFormatPr defaultRowHeight="15" x14ac:dyDescent="0.25"/>
  <cols>
    <col min="1" max="1" width="3" hidden="1" customWidth="1"/>
    <col min="2" max="2" width="3.5703125" hidden="1" customWidth="1"/>
    <col min="3" max="3" width="83.5703125" style="11" customWidth="1"/>
    <col min="4" max="4" width="20.42578125" style="68" bestFit="1" customWidth="1"/>
    <col min="5" max="5" width="12.28515625" style="11" bestFit="1" customWidth="1"/>
    <col min="6" max="6" width="7.5703125" customWidth="1"/>
    <col min="7" max="7" width="10.5703125" bestFit="1" customWidth="1"/>
  </cols>
  <sheetData>
    <row r="1" spans="1:5" ht="21" customHeight="1" x14ac:dyDescent="0.25">
      <c r="A1" s="1"/>
      <c r="B1" s="1"/>
      <c r="C1" s="322" t="s">
        <v>127</v>
      </c>
      <c r="D1" s="322"/>
      <c r="E1" s="322"/>
    </row>
    <row r="2" spans="1:5" ht="25.15" customHeight="1" x14ac:dyDescent="0.25">
      <c r="A2" s="2"/>
      <c r="B2" s="3" t="s">
        <v>0</v>
      </c>
      <c r="C2" s="55" t="s">
        <v>83</v>
      </c>
      <c r="D2" s="61" t="s">
        <v>103</v>
      </c>
      <c r="E2" s="56" t="s">
        <v>79</v>
      </c>
    </row>
    <row r="3" spans="1:5" x14ac:dyDescent="0.25">
      <c r="A3" s="2" t="s">
        <v>1</v>
      </c>
      <c r="B3" s="4"/>
      <c r="C3" s="23" t="s">
        <v>11</v>
      </c>
      <c r="D3" s="63"/>
      <c r="E3" s="24"/>
    </row>
    <row r="4" spans="1:5" x14ac:dyDescent="0.25">
      <c r="A4" s="2" t="s">
        <v>2</v>
      </c>
      <c r="B4" s="4"/>
      <c r="C4" s="25" t="s">
        <v>228</v>
      </c>
      <c r="D4" s="66" t="s">
        <v>200</v>
      </c>
      <c r="E4" s="89">
        <f>+'Total Annual Impact'!B4/1000</f>
        <v>13280.237424000001</v>
      </c>
    </row>
    <row r="5" spans="1:5" ht="16.5" x14ac:dyDescent="0.35">
      <c r="A5" s="2" t="s">
        <v>3</v>
      </c>
      <c r="B5" s="4"/>
      <c r="C5" s="25" t="s">
        <v>219</v>
      </c>
      <c r="D5" s="66" t="s">
        <v>95</v>
      </c>
      <c r="E5" s="27">
        <f>-Retirements!D7/1000*0.9</f>
        <v>-1153.0222704219882</v>
      </c>
    </row>
    <row r="6" spans="1:5" x14ac:dyDescent="0.25">
      <c r="A6" s="2" t="s">
        <v>37</v>
      </c>
      <c r="B6" s="4"/>
      <c r="C6" s="25" t="s">
        <v>78</v>
      </c>
      <c r="D6" s="66" t="s">
        <v>85</v>
      </c>
      <c r="E6" s="28">
        <f>SUM(E4:E5)</f>
        <v>12127.215153578012</v>
      </c>
    </row>
    <row r="7" spans="1:5" x14ac:dyDescent="0.25">
      <c r="A7" s="2" t="s">
        <v>4</v>
      </c>
      <c r="B7" s="4"/>
      <c r="C7" s="25"/>
      <c r="D7" s="66"/>
      <c r="E7" s="26"/>
    </row>
    <row r="8" spans="1:5" x14ac:dyDescent="0.25">
      <c r="A8" s="2" t="s">
        <v>5</v>
      </c>
      <c r="B8" s="4"/>
      <c r="C8" s="25" t="s">
        <v>65</v>
      </c>
      <c r="D8" s="66" t="s">
        <v>86</v>
      </c>
      <c r="E8" s="29">
        <f>+'Annual Depreciation and CCA'!F75</f>
        <v>3.764123996665291E-2</v>
      </c>
    </row>
    <row r="9" spans="1:5" x14ac:dyDescent="0.25">
      <c r="A9" s="2" t="s">
        <v>6</v>
      </c>
      <c r="B9" s="4"/>
      <c r="C9" s="25" t="s">
        <v>270</v>
      </c>
      <c r="D9" s="66" t="s">
        <v>87</v>
      </c>
      <c r="E9" s="28">
        <f>E6*E8</f>
        <v>456.48341572305947</v>
      </c>
    </row>
    <row r="10" spans="1:5" x14ac:dyDescent="0.25">
      <c r="A10" s="2" t="s">
        <v>7</v>
      </c>
      <c r="B10" s="4"/>
      <c r="C10" s="25"/>
      <c r="D10" s="66"/>
      <c r="E10" s="26"/>
    </row>
    <row r="11" spans="1:5" x14ac:dyDescent="0.25">
      <c r="A11" s="2" t="s">
        <v>8</v>
      </c>
      <c r="B11" s="4"/>
      <c r="C11" s="23" t="s">
        <v>66</v>
      </c>
      <c r="D11" s="63"/>
      <c r="E11" s="24"/>
    </row>
    <row r="12" spans="1:5" x14ac:dyDescent="0.25">
      <c r="A12" s="2" t="s">
        <v>9</v>
      </c>
      <c r="B12" s="4"/>
      <c r="C12" s="13" t="s">
        <v>67</v>
      </c>
      <c r="D12" s="62" t="s">
        <v>88</v>
      </c>
      <c r="E12" s="89">
        <f>+E4</f>
        <v>13280.237424000001</v>
      </c>
    </row>
    <row r="13" spans="1:5" ht="16.5" x14ac:dyDescent="0.35">
      <c r="A13" s="2" t="s">
        <v>10</v>
      </c>
      <c r="B13" s="4"/>
      <c r="C13" s="25" t="s">
        <v>224</v>
      </c>
      <c r="D13" s="66" t="s">
        <v>89</v>
      </c>
      <c r="E13" s="27">
        <v>0</v>
      </c>
    </row>
    <row r="14" spans="1:5" x14ac:dyDescent="0.25">
      <c r="A14" s="2" t="s">
        <v>12</v>
      </c>
      <c r="B14" s="4"/>
      <c r="C14" s="25" t="s">
        <v>81</v>
      </c>
      <c r="D14" s="66" t="s">
        <v>90</v>
      </c>
      <c r="E14" s="28">
        <f>SUM(E12:E13)</f>
        <v>13280.237424000001</v>
      </c>
    </row>
    <row r="15" spans="1:5" x14ac:dyDescent="0.25">
      <c r="A15" s="2" t="s">
        <v>13</v>
      </c>
      <c r="B15" s="4"/>
      <c r="C15" s="30"/>
      <c r="D15" s="67"/>
      <c r="E15" s="31"/>
    </row>
    <row r="16" spans="1:5" x14ac:dyDescent="0.25">
      <c r="A16" s="2" t="s">
        <v>14</v>
      </c>
      <c r="B16" s="4"/>
      <c r="C16" s="23" t="s">
        <v>17</v>
      </c>
      <c r="D16" s="63"/>
      <c r="E16" s="24"/>
    </row>
    <row r="17" spans="1:11" x14ac:dyDescent="0.25">
      <c r="A17" s="2" t="s">
        <v>15</v>
      </c>
      <c r="B17" s="4"/>
      <c r="C17" s="25" t="s">
        <v>68</v>
      </c>
      <c r="D17" s="66" t="s">
        <v>105</v>
      </c>
      <c r="E17" s="26">
        <f>-'Total Annual Impact'!D4/1000</f>
        <v>-4070.6736570000007</v>
      </c>
      <c r="H17" s="9"/>
      <c r="I17" s="9"/>
      <c r="J17" s="9"/>
      <c r="K17" s="9"/>
    </row>
    <row r="18" spans="1:11" ht="16.5" x14ac:dyDescent="0.35">
      <c r="A18" s="2" t="s">
        <v>16</v>
      </c>
      <c r="B18" s="4"/>
      <c r="C18" s="25" t="s">
        <v>271</v>
      </c>
      <c r="D18" s="66" t="s">
        <v>91</v>
      </c>
      <c r="E18" s="27">
        <f>SUM('Annual Depreciation and CCA'!D30:D30)/1000</f>
        <v>456.48341572305952</v>
      </c>
    </row>
    <row r="19" spans="1:11" x14ac:dyDescent="0.25">
      <c r="A19" s="2" t="s">
        <v>18</v>
      </c>
      <c r="B19" s="4"/>
      <c r="C19" s="25" t="s">
        <v>82</v>
      </c>
      <c r="D19" s="66" t="s">
        <v>92</v>
      </c>
      <c r="E19" s="28">
        <f>SUM(E17:E18)</f>
        <v>-3614.1902412769414</v>
      </c>
    </row>
    <row r="20" spans="1:11" x14ac:dyDescent="0.25">
      <c r="A20" s="2" t="s">
        <v>19</v>
      </c>
      <c r="B20" s="4"/>
      <c r="C20" s="25"/>
      <c r="D20" s="66"/>
      <c r="E20" s="22"/>
    </row>
    <row r="21" spans="1:11" x14ac:dyDescent="0.25">
      <c r="A21" s="2" t="s">
        <v>20</v>
      </c>
      <c r="B21" s="4"/>
      <c r="C21" s="18" t="s">
        <v>108</v>
      </c>
      <c r="D21" s="72" t="s">
        <v>110</v>
      </c>
      <c r="E21" s="90">
        <f>E6-E19</f>
        <v>15741.405394854954</v>
      </c>
    </row>
    <row r="22" spans="1:11" x14ac:dyDescent="0.25">
      <c r="A22" s="2" t="s">
        <v>21</v>
      </c>
      <c r="B22" s="4"/>
      <c r="C22" s="30"/>
      <c r="D22" s="67"/>
      <c r="E22" s="31"/>
    </row>
    <row r="23" spans="1:11" x14ac:dyDescent="0.25">
      <c r="A23" s="2" t="s">
        <v>22</v>
      </c>
      <c r="B23" s="4"/>
      <c r="C23" s="74" t="s">
        <v>57</v>
      </c>
      <c r="D23" s="63"/>
      <c r="E23" s="32"/>
      <c r="H23" s="9"/>
    </row>
    <row r="24" spans="1:11" x14ac:dyDescent="0.25">
      <c r="A24" s="2" t="s">
        <v>23</v>
      </c>
      <c r="B24" s="4"/>
      <c r="C24" s="79" t="s">
        <v>223</v>
      </c>
      <c r="D24" s="80" t="s">
        <v>89</v>
      </c>
      <c r="E24" s="81">
        <f>+E13</f>
        <v>0</v>
      </c>
    </row>
    <row r="25" spans="1:11" x14ac:dyDescent="0.25">
      <c r="A25" s="2" t="s">
        <v>24</v>
      </c>
      <c r="B25" s="4"/>
      <c r="C25" s="30"/>
      <c r="D25" s="67"/>
      <c r="E25" s="31"/>
    </row>
    <row r="26" spans="1:11" x14ac:dyDescent="0.25">
      <c r="A26" s="2" t="s">
        <v>25</v>
      </c>
      <c r="B26" s="4"/>
      <c r="C26" s="23" t="s">
        <v>58</v>
      </c>
      <c r="D26" s="63"/>
      <c r="E26" s="24"/>
    </row>
    <row r="27" spans="1:11" x14ac:dyDescent="0.25">
      <c r="A27" s="2" t="s">
        <v>26</v>
      </c>
      <c r="B27" s="4"/>
      <c r="C27" s="25" t="s">
        <v>80</v>
      </c>
      <c r="D27" s="66" t="s">
        <v>89</v>
      </c>
      <c r="E27" s="28">
        <f>+E24</f>
        <v>0</v>
      </c>
    </row>
    <row r="28" spans="1:11" x14ac:dyDescent="0.25">
      <c r="A28" s="2" t="s">
        <v>27</v>
      </c>
      <c r="B28" s="4"/>
      <c r="C28" s="25" t="s">
        <v>162</v>
      </c>
      <c r="D28" s="66" t="s">
        <v>93</v>
      </c>
      <c r="E28" s="29">
        <v>0</v>
      </c>
    </row>
    <row r="29" spans="1:11" x14ac:dyDescent="0.25">
      <c r="A29" s="2" t="s">
        <v>28</v>
      </c>
      <c r="B29" s="4"/>
      <c r="C29" s="13" t="s">
        <v>59</v>
      </c>
      <c r="D29" s="62" t="s">
        <v>94</v>
      </c>
      <c r="E29" s="14">
        <f>E27*E28</f>
        <v>0</v>
      </c>
    </row>
    <row r="30" spans="1:11" x14ac:dyDescent="0.25">
      <c r="A30" s="2"/>
      <c r="B30" s="4"/>
      <c r="C30" s="13"/>
      <c r="D30" s="62"/>
      <c r="E30" s="14"/>
    </row>
    <row r="31" spans="1:11" x14ac:dyDescent="0.25">
      <c r="A31" s="2"/>
      <c r="B31" s="4"/>
      <c r="C31" s="18" t="s">
        <v>107</v>
      </c>
      <c r="D31" s="72" t="s">
        <v>109</v>
      </c>
      <c r="E31" s="90">
        <f>+E27-E29</f>
        <v>0</v>
      </c>
    </row>
    <row r="32" spans="1:11" x14ac:dyDescent="0.25">
      <c r="A32" s="2" t="s">
        <v>29</v>
      </c>
      <c r="B32" s="4"/>
      <c r="C32" s="16"/>
      <c r="E32" s="17"/>
    </row>
    <row r="33" spans="1:5" x14ac:dyDescent="0.25">
      <c r="A33" s="2" t="s">
        <v>30</v>
      </c>
      <c r="B33" s="4"/>
      <c r="C33" s="23" t="s">
        <v>226</v>
      </c>
      <c r="D33" s="63" t="s">
        <v>111</v>
      </c>
      <c r="E33" s="33">
        <f>E9+E29</f>
        <v>456.48341572305947</v>
      </c>
    </row>
    <row r="34" spans="1:5" x14ac:dyDescent="0.25">
      <c r="A34" s="2"/>
      <c r="B34" s="4"/>
      <c r="C34" s="18"/>
      <c r="D34" s="72"/>
      <c r="E34" s="90"/>
    </row>
    <row r="35" spans="1:5" x14ac:dyDescent="0.25">
      <c r="A35" s="2"/>
      <c r="B35" s="1"/>
      <c r="C35" s="45"/>
      <c r="D35" s="60"/>
      <c r="E35" s="284"/>
    </row>
    <row r="36" spans="1:5" x14ac:dyDescent="0.25">
      <c r="A36" s="2"/>
      <c r="B36" s="1"/>
    </row>
    <row r="37" spans="1:5" x14ac:dyDescent="0.25">
      <c r="A37" s="2"/>
      <c r="B37" s="1"/>
    </row>
    <row r="38" spans="1:5" x14ac:dyDescent="0.25">
      <c r="A38" s="2"/>
      <c r="B38" s="1"/>
    </row>
    <row r="39" spans="1:5" x14ac:dyDescent="0.25">
      <c r="A39" s="2"/>
      <c r="B39" s="1"/>
    </row>
    <row r="40" spans="1:5" x14ac:dyDescent="0.25">
      <c r="A40" s="2"/>
      <c r="B40" s="1"/>
    </row>
    <row r="41" spans="1:5" x14ac:dyDescent="0.25">
      <c r="A41" s="2"/>
      <c r="B41" s="1"/>
    </row>
    <row r="42" spans="1:5" x14ac:dyDescent="0.25">
      <c r="A42" s="2"/>
      <c r="B42" s="1"/>
    </row>
    <row r="43" spans="1:5" x14ac:dyDescent="0.25">
      <c r="A43" s="2"/>
      <c r="B43" s="1"/>
    </row>
    <row r="44" spans="1:5" x14ac:dyDescent="0.25">
      <c r="A44" s="2"/>
      <c r="B44" s="1"/>
    </row>
    <row r="45" spans="1:5" x14ac:dyDescent="0.25">
      <c r="A45" s="2"/>
      <c r="B45" s="1"/>
    </row>
    <row r="46" spans="1:5" x14ac:dyDescent="0.25">
      <c r="A46" s="2"/>
      <c r="B46" s="1"/>
    </row>
    <row r="47" spans="1:5" x14ac:dyDescent="0.25">
      <c r="A47" s="2"/>
      <c r="B47" s="1"/>
    </row>
    <row r="48" spans="1:5" x14ac:dyDescent="0.25">
      <c r="A48" s="2"/>
      <c r="B48" s="1"/>
    </row>
    <row r="49" spans="1:1" x14ac:dyDescent="0.25">
      <c r="A49" s="2"/>
    </row>
  </sheetData>
  <mergeCells count="1">
    <mergeCell ref="C1:E1"/>
  </mergeCells>
  <printOptions horizontalCentered="1"/>
  <pageMargins left="0.7" right="0.2" top="0.75" bottom="0.5" header="0.3" footer="0.3"/>
  <pageSetup scale="83" orientation="portrait" r:id="rId1"/>
  <headerFooter>
    <oddHeader>&amp;R&amp;"Arial,Bold"Appendix D</oddHeader>
    <oddFooter>&amp;C&amp;"Arial,Regular"Page &amp;P of 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54"/>
  <sheetViews>
    <sheetView showRuler="0" topLeftCell="C1" zoomScaleNormal="100" workbookViewId="0">
      <selection activeCell="E9" sqref="E9"/>
    </sheetView>
  </sheetViews>
  <sheetFormatPr defaultRowHeight="15" x14ac:dyDescent="0.25"/>
  <cols>
    <col min="1" max="1" width="3" hidden="1" customWidth="1"/>
    <col min="2" max="2" width="3.5703125" hidden="1" customWidth="1"/>
    <col min="3" max="3" width="83.5703125" style="11" customWidth="1"/>
    <col min="4" max="4" width="20.42578125" style="68" bestFit="1" customWidth="1"/>
    <col min="5" max="5" width="12.28515625" style="11" bestFit="1" customWidth="1"/>
    <col min="6" max="6" width="7.5703125" customWidth="1"/>
    <col min="7" max="7" width="10.5703125" bestFit="1" customWidth="1"/>
  </cols>
  <sheetData>
    <row r="1" spans="1:5" ht="21" customHeight="1" x14ac:dyDescent="0.25">
      <c r="A1" s="1"/>
      <c r="B1" s="1"/>
      <c r="C1" s="322" t="s">
        <v>127</v>
      </c>
      <c r="D1" s="322"/>
      <c r="E1" s="322"/>
    </row>
    <row r="2" spans="1:5" ht="25.15" customHeight="1" x14ac:dyDescent="0.25">
      <c r="A2" s="2"/>
      <c r="B2" s="3" t="s">
        <v>0</v>
      </c>
      <c r="C2" s="55" t="s">
        <v>83</v>
      </c>
      <c r="D2" s="61" t="s">
        <v>103</v>
      </c>
      <c r="E2" s="56" t="s">
        <v>79</v>
      </c>
    </row>
    <row r="3" spans="1:5" x14ac:dyDescent="0.25">
      <c r="A3" s="2" t="s">
        <v>1</v>
      </c>
      <c r="B3" s="4"/>
      <c r="C3" s="23" t="s">
        <v>11</v>
      </c>
      <c r="D3" s="63"/>
      <c r="E3" s="24"/>
    </row>
    <row r="4" spans="1:5" x14ac:dyDescent="0.25">
      <c r="A4" s="2" t="s">
        <v>2</v>
      </c>
      <c r="B4" s="4"/>
      <c r="C4" s="25" t="s">
        <v>202</v>
      </c>
      <c r="D4" s="66" t="s">
        <v>200</v>
      </c>
      <c r="E4" s="89">
        <f>('Total Annual Impact'!E4)/1000</f>
        <v>20232.177</v>
      </c>
    </row>
    <row r="5" spans="1:5" ht="16.5" x14ac:dyDescent="0.35">
      <c r="A5" s="2" t="s">
        <v>3</v>
      </c>
      <c r="B5" s="4"/>
      <c r="C5" s="25" t="s">
        <v>71</v>
      </c>
      <c r="D5" s="66" t="s">
        <v>128</v>
      </c>
      <c r="E5" s="27">
        <f>-E4*0</f>
        <v>0</v>
      </c>
    </row>
    <row r="6" spans="1:5" x14ac:dyDescent="0.25">
      <c r="A6" s="2" t="s">
        <v>37</v>
      </c>
      <c r="B6" s="4"/>
      <c r="C6" s="25" t="s">
        <v>78</v>
      </c>
      <c r="D6" s="66" t="s">
        <v>85</v>
      </c>
      <c r="E6" s="28">
        <f>SUM(E4:E5)</f>
        <v>20232.177</v>
      </c>
    </row>
    <row r="7" spans="1:5" x14ac:dyDescent="0.25">
      <c r="A7" s="2" t="s">
        <v>4</v>
      </c>
      <c r="B7" s="4"/>
      <c r="C7" s="25"/>
      <c r="D7" s="66"/>
      <c r="E7" s="26"/>
    </row>
    <row r="8" spans="1:5" x14ac:dyDescent="0.25">
      <c r="A8" s="2" t="s">
        <v>5</v>
      </c>
      <c r="B8" s="4"/>
      <c r="C8" s="25" t="s">
        <v>298</v>
      </c>
      <c r="D8" s="66" t="s">
        <v>86</v>
      </c>
      <c r="E8" s="29">
        <v>0.125</v>
      </c>
    </row>
    <row r="9" spans="1:5" x14ac:dyDescent="0.25">
      <c r="A9" s="2" t="s">
        <v>6</v>
      </c>
      <c r="B9" s="4"/>
      <c r="C9" s="25" t="s">
        <v>284</v>
      </c>
      <c r="D9" s="66" t="s">
        <v>87</v>
      </c>
      <c r="E9" s="28">
        <f>E6*E8*5/12</f>
        <v>1053.7592187499999</v>
      </c>
    </row>
    <row r="10" spans="1:5" x14ac:dyDescent="0.25">
      <c r="A10" s="2" t="s">
        <v>7</v>
      </c>
      <c r="B10" s="4"/>
      <c r="C10" s="25"/>
      <c r="D10" s="66"/>
      <c r="E10" s="26"/>
    </row>
    <row r="11" spans="1:5" x14ac:dyDescent="0.25">
      <c r="A11" s="2" t="s">
        <v>8</v>
      </c>
      <c r="B11" s="4"/>
      <c r="C11" s="23" t="s">
        <v>66</v>
      </c>
      <c r="D11" s="63"/>
      <c r="E11" s="24"/>
    </row>
    <row r="12" spans="1:5" x14ac:dyDescent="0.25">
      <c r="A12" s="2" t="s">
        <v>9</v>
      </c>
      <c r="B12" s="4"/>
      <c r="C12" s="13" t="s">
        <v>67</v>
      </c>
      <c r="D12" s="62" t="s">
        <v>88</v>
      </c>
      <c r="E12" s="89">
        <f>+E4</f>
        <v>20232.177</v>
      </c>
    </row>
    <row r="13" spans="1:5" ht="16.5" x14ac:dyDescent="0.35">
      <c r="A13" s="2" t="s">
        <v>10</v>
      </c>
      <c r="B13" s="4"/>
      <c r="C13" s="25" t="s">
        <v>225</v>
      </c>
      <c r="D13" s="66" t="s">
        <v>89</v>
      </c>
      <c r="E13" s="27">
        <v>0</v>
      </c>
    </row>
    <row r="14" spans="1:5" x14ac:dyDescent="0.25">
      <c r="A14" s="2" t="s">
        <v>12</v>
      </c>
      <c r="B14" s="4"/>
      <c r="C14" s="25" t="s">
        <v>81</v>
      </c>
      <c r="D14" s="66" t="s">
        <v>90</v>
      </c>
      <c r="E14" s="28">
        <f>SUM(E12:E13)</f>
        <v>20232.177</v>
      </c>
    </row>
    <row r="15" spans="1:5" x14ac:dyDescent="0.25">
      <c r="A15" s="2" t="s">
        <v>13</v>
      </c>
      <c r="B15" s="4"/>
      <c r="C15" s="30"/>
      <c r="D15" s="67"/>
      <c r="E15" s="31"/>
    </row>
    <row r="16" spans="1:5" x14ac:dyDescent="0.25">
      <c r="A16" s="2" t="s">
        <v>14</v>
      </c>
      <c r="B16" s="4"/>
      <c r="C16" s="23" t="s">
        <v>17</v>
      </c>
      <c r="D16" s="63"/>
      <c r="E16" s="24"/>
    </row>
    <row r="17" spans="1:11" x14ac:dyDescent="0.25">
      <c r="A17" s="2" t="s">
        <v>15</v>
      </c>
      <c r="B17" s="4"/>
      <c r="C17" s="25" t="s">
        <v>68</v>
      </c>
      <c r="D17" s="66" t="s">
        <v>105</v>
      </c>
      <c r="E17" s="26">
        <v>0</v>
      </c>
      <c r="H17" s="9"/>
      <c r="I17" s="9"/>
      <c r="J17" s="9"/>
      <c r="K17" s="9"/>
    </row>
    <row r="18" spans="1:11" ht="16.5" x14ac:dyDescent="0.35">
      <c r="A18" s="2" t="s">
        <v>16</v>
      </c>
      <c r="B18" s="4"/>
      <c r="C18" s="25" t="s">
        <v>230</v>
      </c>
      <c r="D18" s="66" t="s">
        <v>91</v>
      </c>
      <c r="E18" s="27">
        <f>+E9</f>
        <v>1053.7592187499999</v>
      </c>
    </row>
    <row r="19" spans="1:11" x14ac:dyDescent="0.25">
      <c r="A19" s="2" t="s">
        <v>18</v>
      </c>
      <c r="B19" s="4"/>
      <c r="C19" s="25" t="s">
        <v>82</v>
      </c>
      <c r="D19" s="66" t="s">
        <v>92</v>
      </c>
      <c r="E19" s="28">
        <f>SUM(E17:E18)</f>
        <v>1053.7592187499999</v>
      </c>
    </row>
    <row r="20" spans="1:11" x14ac:dyDescent="0.25">
      <c r="A20" s="2" t="s">
        <v>19</v>
      </c>
      <c r="B20" s="4"/>
      <c r="C20" s="25"/>
      <c r="D20" s="66"/>
      <c r="E20" s="22"/>
    </row>
    <row r="21" spans="1:11" x14ac:dyDescent="0.25">
      <c r="A21" s="2" t="s">
        <v>20</v>
      </c>
      <c r="B21" s="4"/>
      <c r="C21" s="18" t="s">
        <v>108</v>
      </c>
      <c r="D21" s="72" t="s">
        <v>110</v>
      </c>
      <c r="E21" s="90">
        <f>E6-E19</f>
        <v>19178.417781249998</v>
      </c>
    </row>
    <row r="22" spans="1:11" x14ac:dyDescent="0.25">
      <c r="A22" s="2" t="s">
        <v>21</v>
      </c>
      <c r="B22" s="4"/>
      <c r="C22" s="30"/>
      <c r="D22" s="67"/>
      <c r="E22" s="31"/>
    </row>
    <row r="23" spans="1:11" x14ac:dyDescent="0.25">
      <c r="A23" s="2" t="s">
        <v>22</v>
      </c>
      <c r="B23" s="4"/>
      <c r="C23" s="74" t="s">
        <v>57</v>
      </c>
      <c r="D23" s="63"/>
      <c r="E23" s="32"/>
      <c r="H23" s="9"/>
    </row>
    <row r="24" spans="1:11" x14ac:dyDescent="0.25">
      <c r="A24" s="2" t="s">
        <v>23</v>
      </c>
      <c r="B24" s="4"/>
      <c r="C24" s="79" t="s">
        <v>227</v>
      </c>
      <c r="D24" s="80" t="s">
        <v>89</v>
      </c>
      <c r="E24" s="81">
        <f>+E13</f>
        <v>0</v>
      </c>
    </row>
    <row r="25" spans="1:11" x14ac:dyDescent="0.25">
      <c r="A25" s="2" t="s">
        <v>24</v>
      </c>
      <c r="B25" s="4"/>
      <c r="C25" s="30"/>
      <c r="D25" s="67"/>
      <c r="E25" s="31"/>
    </row>
    <row r="26" spans="1:11" x14ac:dyDescent="0.25">
      <c r="A26" s="2" t="s">
        <v>25</v>
      </c>
      <c r="B26" s="4"/>
      <c r="C26" s="23" t="s">
        <v>58</v>
      </c>
      <c r="D26" s="63"/>
      <c r="E26" s="24"/>
    </row>
    <row r="27" spans="1:11" x14ac:dyDescent="0.25">
      <c r="A27" s="2" t="s">
        <v>26</v>
      </c>
      <c r="B27" s="4"/>
      <c r="C27" s="25" t="s">
        <v>80</v>
      </c>
      <c r="D27" s="66" t="s">
        <v>89</v>
      </c>
      <c r="E27" s="28">
        <f>+E24</f>
        <v>0</v>
      </c>
    </row>
    <row r="28" spans="1:11" x14ac:dyDescent="0.25">
      <c r="A28" s="2" t="s">
        <v>27</v>
      </c>
      <c r="B28" s="4"/>
      <c r="C28" s="25" t="s">
        <v>162</v>
      </c>
      <c r="D28" s="66" t="s">
        <v>93</v>
      </c>
      <c r="E28" s="29">
        <v>0</v>
      </c>
    </row>
    <row r="29" spans="1:11" x14ac:dyDescent="0.25">
      <c r="A29" s="2" t="s">
        <v>28</v>
      </c>
      <c r="B29" s="4"/>
      <c r="C29" s="13" t="s">
        <v>59</v>
      </c>
      <c r="D29" s="62" t="s">
        <v>94</v>
      </c>
      <c r="E29" s="14">
        <f>E27*E28</f>
        <v>0</v>
      </c>
    </row>
    <row r="30" spans="1:11" x14ac:dyDescent="0.25">
      <c r="A30" s="2"/>
      <c r="B30" s="4"/>
      <c r="C30" s="13"/>
      <c r="D30" s="62"/>
      <c r="E30" s="14"/>
    </row>
    <row r="31" spans="1:11" x14ac:dyDescent="0.25">
      <c r="A31" s="2"/>
      <c r="B31" s="4"/>
      <c r="C31" s="18" t="s">
        <v>107</v>
      </c>
      <c r="D31" s="72" t="s">
        <v>109</v>
      </c>
      <c r="E31" s="90">
        <f>+E27-E29</f>
        <v>0</v>
      </c>
    </row>
    <row r="32" spans="1:11" x14ac:dyDescent="0.25">
      <c r="A32" s="2" t="s">
        <v>29</v>
      </c>
      <c r="B32" s="4"/>
      <c r="C32" s="16"/>
      <c r="E32" s="17"/>
    </row>
    <row r="33" spans="1:6" x14ac:dyDescent="0.25">
      <c r="A33" s="2" t="s">
        <v>30</v>
      </c>
      <c r="B33" s="4"/>
      <c r="C33" s="23" t="s">
        <v>229</v>
      </c>
      <c r="D33" s="63" t="s">
        <v>111</v>
      </c>
      <c r="E33" s="33">
        <f>E9+E29</f>
        <v>1053.7592187499999</v>
      </c>
    </row>
    <row r="34" spans="1:6" x14ac:dyDescent="0.25">
      <c r="A34" s="2"/>
      <c r="B34" s="4"/>
      <c r="C34" s="18"/>
      <c r="D34" s="72"/>
      <c r="E34" s="90"/>
    </row>
    <row r="35" spans="1:6" x14ac:dyDescent="0.25">
      <c r="A35" s="2"/>
      <c r="B35" s="1"/>
      <c r="C35" s="13"/>
      <c r="D35" s="62"/>
      <c r="E35" s="15"/>
    </row>
    <row r="36" spans="1:6" x14ac:dyDescent="0.25">
      <c r="A36" s="2"/>
      <c r="B36" s="1"/>
      <c r="C36" s="95"/>
      <c r="D36" s="83"/>
      <c r="E36" s="84"/>
      <c r="F36" s="59"/>
    </row>
    <row r="37" spans="1:6" x14ac:dyDescent="0.25">
      <c r="A37" s="2"/>
      <c r="B37" s="1"/>
      <c r="C37" s="19"/>
      <c r="D37" s="69"/>
      <c r="E37" s="15"/>
    </row>
    <row r="38" spans="1:6" x14ac:dyDescent="0.25">
      <c r="A38" s="2"/>
      <c r="B38" s="1"/>
      <c r="C38" s="19"/>
      <c r="D38" s="69"/>
      <c r="E38" s="17"/>
    </row>
    <row r="39" spans="1:6" x14ac:dyDescent="0.25">
      <c r="C39" s="19"/>
      <c r="E39" s="17"/>
    </row>
    <row r="40" spans="1:6" x14ac:dyDescent="0.25">
      <c r="A40" s="2"/>
      <c r="B40" s="1"/>
      <c r="C40" s="96"/>
      <c r="D40" s="97"/>
      <c r="E40" s="21"/>
    </row>
    <row r="41" spans="1:6" x14ac:dyDescent="0.25">
      <c r="A41" s="2"/>
      <c r="B41" s="1"/>
    </row>
    <row r="42" spans="1:6" x14ac:dyDescent="0.25">
      <c r="A42" s="2"/>
      <c r="B42" s="1"/>
    </row>
    <row r="43" spans="1:6" x14ac:dyDescent="0.25">
      <c r="A43" s="2"/>
      <c r="B43" s="1"/>
    </row>
    <row r="44" spans="1:6" x14ac:dyDescent="0.25">
      <c r="A44" s="2"/>
      <c r="B44" s="1"/>
    </row>
    <row r="45" spans="1:6" x14ac:dyDescent="0.25">
      <c r="A45" s="2"/>
      <c r="B45" s="1"/>
    </row>
    <row r="46" spans="1:6" x14ac:dyDescent="0.25">
      <c r="A46" s="2"/>
      <c r="B46" s="1"/>
    </row>
    <row r="47" spans="1:6" x14ac:dyDescent="0.25">
      <c r="A47" s="2"/>
      <c r="B47" s="1"/>
    </row>
    <row r="48" spans="1:6" x14ac:dyDescent="0.25">
      <c r="A48" s="2"/>
      <c r="B48" s="1"/>
    </row>
    <row r="49" spans="1:2" x14ac:dyDescent="0.25">
      <c r="A49" s="2"/>
      <c r="B49" s="1"/>
    </row>
    <row r="50" spans="1:2" x14ac:dyDescent="0.25">
      <c r="A50" s="2"/>
      <c r="B50" s="1"/>
    </row>
    <row r="51" spans="1:2" x14ac:dyDescent="0.25">
      <c r="A51" s="2"/>
      <c r="B51" s="1"/>
    </row>
    <row r="52" spans="1:2" x14ac:dyDescent="0.25">
      <c r="A52" s="2"/>
      <c r="B52" s="1"/>
    </row>
    <row r="53" spans="1:2" x14ac:dyDescent="0.25">
      <c r="A53" s="2"/>
      <c r="B53" s="1"/>
    </row>
    <row r="54" spans="1:2" x14ac:dyDescent="0.25">
      <c r="A54" s="2"/>
    </row>
  </sheetData>
  <mergeCells count="1">
    <mergeCell ref="C1:E1"/>
  </mergeCells>
  <printOptions horizontalCentered="1"/>
  <pageMargins left="0.7" right="0.2" top="0.75" bottom="0.5" header="0.3" footer="0.3"/>
  <pageSetup scale="83" orientation="portrait" r:id="rId1"/>
  <headerFooter>
    <oddHeader>&amp;R&amp;"Arial,Bold"Appendix D</oddHeader>
    <oddFooter>&amp;C&amp;"Arial,Regular"Page &amp;P of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4"/>
  <sheetViews>
    <sheetView showWhiteSpace="0" topLeftCell="C1" zoomScaleNormal="100" workbookViewId="0">
      <selection activeCell="J18" sqref="J18:J19"/>
    </sheetView>
  </sheetViews>
  <sheetFormatPr defaultRowHeight="15" x14ac:dyDescent="0.25"/>
  <cols>
    <col min="1" max="1" width="3.28515625" hidden="1" customWidth="1"/>
    <col min="2" max="2" width="3.28515625" style="1" hidden="1" customWidth="1"/>
    <col min="3" max="3" width="79.140625" bestFit="1" customWidth="1"/>
    <col min="4" max="4" width="22.42578125" style="71" bestFit="1" customWidth="1"/>
    <col min="5" max="5" width="13.42578125" customWidth="1"/>
    <col min="6" max="6" width="15.7109375" bestFit="1" customWidth="1"/>
    <col min="7" max="7" width="11.5703125" bestFit="1" customWidth="1"/>
  </cols>
  <sheetData>
    <row r="1" spans="1:7" ht="21" customHeight="1" x14ac:dyDescent="0.25">
      <c r="B1" s="5" t="s">
        <v>41</v>
      </c>
      <c r="C1" s="323" t="s">
        <v>127</v>
      </c>
      <c r="D1" s="323"/>
      <c r="E1" s="323"/>
    </row>
    <row r="2" spans="1:7" ht="25.15" customHeight="1" x14ac:dyDescent="0.25">
      <c r="A2" s="2" t="s">
        <v>1</v>
      </c>
      <c r="B2" s="4"/>
      <c r="C2" s="55" t="s">
        <v>74</v>
      </c>
      <c r="D2" s="61" t="s">
        <v>103</v>
      </c>
      <c r="E2" s="56" t="str">
        <f>' Depreciation'!E2</f>
        <v>Annual</v>
      </c>
    </row>
    <row r="3" spans="1:7" x14ac:dyDescent="0.25">
      <c r="A3" s="2" t="s">
        <v>2</v>
      </c>
      <c r="B3" s="4"/>
      <c r="C3" s="23" t="s">
        <v>53</v>
      </c>
      <c r="D3" s="63"/>
      <c r="E3" s="32"/>
    </row>
    <row r="4" spans="1:7" x14ac:dyDescent="0.25">
      <c r="A4" s="2" t="s">
        <v>37</v>
      </c>
      <c r="B4" s="4"/>
      <c r="C4" s="13" t="str">
        <f>+' Depreciation'!C4</f>
        <v xml:space="preserve">  Capital Investment - Fiona Restoration</v>
      </c>
      <c r="D4" s="66" t="s">
        <v>141</v>
      </c>
      <c r="E4" s="36">
        <f>+' Depreciation'!E4</f>
        <v>13280.237424000001</v>
      </c>
    </row>
    <row r="5" spans="1:7" x14ac:dyDescent="0.25">
      <c r="A5" s="2" t="s">
        <v>6</v>
      </c>
      <c r="B5" s="4"/>
      <c r="C5" s="13"/>
      <c r="D5" s="62"/>
      <c r="E5" s="36"/>
      <c r="G5" s="8"/>
    </row>
    <row r="6" spans="1:7" ht="16.5" x14ac:dyDescent="0.35">
      <c r="A6" s="2" t="s">
        <v>9</v>
      </c>
      <c r="B6" s="4"/>
      <c r="C6" s="13" t="s">
        <v>266</v>
      </c>
      <c r="D6" s="62" t="s">
        <v>95</v>
      </c>
      <c r="E6" s="35">
        <f>SUM('Annual Depreciation and CCA'!D52:D52)/1000</f>
        <v>1455.2658184293616</v>
      </c>
    </row>
    <row r="7" spans="1:7" x14ac:dyDescent="0.25">
      <c r="A7" s="2" t="s">
        <v>10</v>
      </c>
      <c r="B7" s="4"/>
      <c r="C7" s="13"/>
      <c r="D7" s="62"/>
      <c r="E7" s="12"/>
    </row>
    <row r="8" spans="1:7" x14ac:dyDescent="0.25">
      <c r="A8" s="2" t="s">
        <v>12</v>
      </c>
      <c r="B8" s="4"/>
      <c r="C8" s="13" t="s">
        <v>42</v>
      </c>
      <c r="D8" s="62" t="s">
        <v>143</v>
      </c>
      <c r="E8" s="34">
        <f>+E4-E6</f>
        <v>11824.971605570639</v>
      </c>
    </row>
    <row r="9" spans="1:7" x14ac:dyDescent="0.25">
      <c r="A9" s="2" t="s">
        <v>13</v>
      </c>
      <c r="B9" s="4"/>
      <c r="C9" s="13"/>
      <c r="D9" s="62"/>
      <c r="E9" s="12"/>
    </row>
    <row r="10" spans="1:7" x14ac:dyDescent="0.25">
      <c r="A10" s="2" t="s">
        <v>14</v>
      </c>
      <c r="B10" s="4"/>
      <c r="C10" s="23" t="s">
        <v>36</v>
      </c>
      <c r="D10" s="63"/>
      <c r="E10" s="24"/>
    </row>
    <row r="11" spans="1:7" x14ac:dyDescent="0.25">
      <c r="A11" s="2" t="s">
        <v>15</v>
      </c>
      <c r="B11" s="4"/>
      <c r="C11" s="13" t="str">
        <f>C6</f>
        <v xml:space="preserve">CCA Deductions </v>
      </c>
      <c r="D11" s="62" t="s">
        <v>96</v>
      </c>
      <c r="E11" s="34">
        <f>E6</f>
        <v>1455.2658184293616</v>
      </c>
    </row>
    <row r="12" spans="1:7" x14ac:dyDescent="0.25">
      <c r="A12" s="2" t="s">
        <v>16</v>
      </c>
      <c r="B12" s="4"/>
      <c r="C12" s="13" t="s">
        <v>272</v>
      </c>
      <c r="D12" s="62" t="s">
        <v>125</v>
      </c>
      <c r="E12" s="38">
        <f>SUM('Annual Depreciation and CCA'!D30:D30)/1000</f>
        <v>456.48341572305952</v>
      </c>
    </row>
    <row r="13" spans="1:7" ht="16.5" x14ac:dyDescent="0.35">
      <c r="A13" s="2"/>
      <c r="B13" s="4"/>
      <c r="C13" s="243" t="str">
        <f>+'Annual Depreciation and CCA'!B56</f>
        <v>Cost of Removal  deducted immediately for Tax</v>
      </c>
      <c r="D13" s="62" t="s">
        <v>97</v>
      </c>
      <c r="E13" s="37">
        <f>+'Annual Depreciation and CCA'!D56/1000</f>
        <v>4070.6736570000007</v>
      </c>
    </row>
    <row r="14" spans="1:7" x14ac:dyDescent="0.25">
      <c r="A14" s="2" t="s">
        <v>18</v>
      </c>
      <c r="B14" s="4"/>
      <c r="C14" s="13" t="s">
        <v>54</v>
      </c>
      <c r="D14" s="62" t="s">
        <v>179</v>
      </c>
      <c r="E14" s="38">
        <f>+E11+E13-E12</f>
        <v>5069.4560597063028</v>
      </c>
    </row>
    <row r="15" spans="1:7" x14ac:dyDescent="0.25">
      <c r="A15" s="2" t="s">
        <v>19</v>
      </c>
      <c r="B15" s="4"/>
      <c r="C15" s="13" t="s">
        <v>50</v>
      </c>
      <c r="D15" s="62" t="s">
        <v>98</v>
      </c>
      <c r="E15" s="39">
        <v>0.3</v>
      </c>
    </row>
    <row r="16" spans="1:7" x14ac:dyDescent="0.25">
      <c r="A16" s="2" t="s">
        <v>20</v>
      </c>
      <c r="B16" s="4"/>
      <c r="C16" s="13" t="s">
        <v>145</v>
      </c>
      <c r="D16" s="62" t="s">
        <v>180</v>
      </c>
      <c r="E16" s="38">
        <f>ROUND((IF(E14&gt;0,E14*E15,0)),0)</f>
        <v>1521</v>
      </c>
    </row>
    <row r="17" spans="1:7" x14ac:dyDescent="0.25">
      <c r="A17" s="2" t="s">
        <v>25</v>
      </c>
      <c r="B17" s="4"/>
      <c r="C17" s="13"/>
      <c r="D17" s="62"/>
      <c r="E17" s="12"/>
    </row>
    <row r="18" spans="1:7" x14ac:dyDescent="0.25">
      <c r="A18" s="2" t="s">
        <v>26</v>
      </c>
      <c r="B18" s="4"/>
      <c r="C18" s="23" t="s">
        <v>76</v>
      </c>
      <c r="D18" s="63"/>
      <c r="E18" s="24"/>
    </row>
    <row r="19" spans="1:7" x14ac:dyDescent="0.25">
      <c r="A19" s="2" t="s">
        <v>27</v>
      </c>
      <c r="B19" s="4"/>
      <c r="C19" s="13" t="s">
        <v>56</v>
      </c>
      <c r="D19" s="62" t="s">
        <v>181</v>
      </c>
      <c r="E19" s="34">
        <f>+'Rate Base &amp; Cost Capital'!I12</f>
        <v>1894</v>
      </c>
    </row>
    <row r="20" spans="1:7" x14ac:dyDescent="0.25">
      <c r="A20" s="2" t="s">
        <v>28</v>
      </c>
      <c r="B20" s="4"/>
      <c r="C20" s="13"/>
      <c r="D20" s="62"/>
      <c r="E20" s="36"/>
    </row>
    <row r="21" spans="1:7" x14ac:dyDescent="0.25">
      <c r="A21" s="2" t="s">
        <v>29</v>
      </c>
      <c r="B21" s="4"/>
      <c r="C21" s="13" t="s">
        <v>222</v>
      </c>
      <c r="D21" s="62" t="s">
        <v>182</v>
      </c>
      <c r="E21" s="36">
        <f>(+'Rate Base &amp; Cost Capital'!I11)/(1-'Income Taxes'!E15)*E15</f>
        <v>253.28571428571428</v>
      </c>
      <c r="G21" s="9"/>
    </row>
    <row r="22" spans="1:7" ht="16.5" x14ac:dyDescent="0.35">
      <c r="A22" s="2" t="s">
        <v>30</v>
      </c>
      <c r="B22" s="4"/>
      <c r="C22" s="73" t="s">
        <v>62</v>
      </c>
      <c r="D22" s="62" t="s">
        <v>183</v>
      </c>
      <c r="E22" s="35">
        <f>-'Rate Base &amp; Cost Capital'!I10</f>
        <v>-1303</v>
      </c>
    </row>
    <row r="23" spans="1:7" x14ac:dyDescent="0.25">
      <c r="A23" s="2" t="s">
        <v>31</v>
      </c>
      <c r="B23" s="4"/>
      <c r="C23" s="45"/>
      <c r="D23" s="60" t="s">
        <v>184</v>
      </c>
      <c r="E23" s="78">
        <f>+E19+E21+E22</f>
        <v>844.28571428571422</v>
      </c>
    </row>
    <row r="24" spans="1:7" x14ac:dyDescent="0.25">
      <c r="A24" s="2" t="s">
        <v>32</v>
      </c>
      <c r="B24" s="4"/>
      <c r="C24" s="16"/>
      <c r="D24" s="68"/>
      <c r="E24" s="17"/>
    </row>
    <row r="25" spans="1:7" x14ac:dyDescent="0.25">
      <c r="A25" s="2" t="s">
        <v>33</v>
      </c>
      <c r="B25" s="4"/>
      <c r="C25" s="23" t="s">
        <v>146</v>
      </c>
      <c r="D25" s="63"/>
      <c r="E25" s="24"/>
    </row>
    <row r="26" spans="1:7" x14ac:dyDescent="0.25">
      <c r="A26" s="2" t="s">
        <v>34</v>
      </c>
      <c r="C26" s="13" t="s">
        <v>56</v>
      </c>
      <c r="D26" s="62" t="s">
        <v>189</v>
      </c>
      <c r="E26" s="34">
        <f>E23</f>
        <v>844.28571428571422</v>
      </c>
      <c r="F26" s="175"/>
    </row>
    <row r="27" spans="1:7" x14ac:dyDescent="0.25">
      <c r="A27" s="2" t="s">
        <v>35</v>
      </c>
      <c r="B27" s="7"/>
      <c r="C27" s="13" t="s">
        <v>51</v>
      </c>
      <c r="D27" s="62" t="s">
        <v>117</v>
      </c>
      <c r="E27" s="36">
        <f>' Depreciation'!E33</f>
        <v>456.48341572305947</v>
      </c>
      <c r="F27" s="175"/>
    </row>
    <row r="28" spans="1:7" ht="16.5" x14ac:dyDescent="0.35">
      <c r="A28" s="2" t="s">
        <v>43</v>
      </c>
      <c r="B28" s="2"/>
      <c r="C28" s="13" t="s">
        <v>70</v>
      </c>
      <c r="D28" s="62" t="s">
        <v>185</v>
      </c>
      <c r="E28" s="35">
        <f>-'Annual Depreciation and CCA'!D52/1000</f>
        <v>-1455.2658184293616</v>
      </c>
      <c r="F28" s="175"/>
    </row>
    <row r="29" spans="1:7" x14ac:dyDescent="0.25">
      <c r="A29" s="2" t="s">
        <v>44</v>
      </c>
      <c r="C29" s="13"/>
      <c r="D29" s="62" t="s">
        <v>186</v>
      </c>
      <c r="E29" s="36">
        <f>SUM(E26:E28)</f>
        <v>-154.49668842058804</v>
      </c>
    </row>
    <row r="30" spans="1:7" x14ac:dyDescent="0.25">
      <c r="A30" s="2" t="s">
        <v>45</v>
      </c>
      <c r="C30" s="13" t="s">
        <v>52</v>
      </c>
      <c r="D30" s="62" t="s">
        <v>187</v>
      </c>
      <c r="E30" s="39">
        <v>0.3</v>
      </c>
    </row>
    <row r="31" spans="1:7" x14ac:dyDescent="0.25">
      <c r="A31" s="2" t="s">
        <v>46</v>
      </c>
      <c r="C31" s="13" t="s">
        <v>147</v>
      </c>
      <c r="D31" s="62" t="s">
        <v>188</v>
      </c>
      <c r="E31" s="36">
        <f>E29*E30</f>
        <v>-46.34900652617641</v>
      </c>
    </row>
    <row r="32" spans="1:7" ht="16.5" x14ac:dyDescent="0.35">
      <c r="A32" s="2" t="s">
        <v>47</v>
      </c>
      <c r="C32" s="13" t="s">
        <v>144</v>
      </c>
      <c r="D32" s="62" t="s">
        <v>190</v>
      </c>
      <c r="E32" s="35">
        <f>(-E27-E28)*E30</f>
        <v>299.63472081189065</v>
      </c>
    </row>
    <row r="33" spans="1:5" x14ac:dyDescent="0.25">
      <c r="A33" s="2" t="s">
        <v>48</v>
      </c>
      <c r="C33" s="23" t="s">
        <v>72</v>
      </c>
      <c r="D33" s="63" t="s">
        <v>191</v>
      </c>
      <c r="E33" s="52">
        <f>SUM(E31:E32)</f>
        <v>253.28571428571422</v>
      </c>
    </row>
    <row r="34" spans="1:5" x14ac:dyDescent="0.25">
      <c r="C34" s="20"/>
      <c r="D34" s="70"/>
      <c r="E34" s="21"/>
    </row>
  </sheetData>
  <mergeCells count="1">
    <mergeCell ref="C1:E1"/>
  </mergeCells>
  <printOptions horizontalCentered="1"/>
  <pageMargins left="0.2" right="0.7" top="0.75" bottom="0.5" header="0.3" footer="0.3"/>
  <pageSetup orientation="portrait" r:id="rId1"/>
  <headerFooter>
    <oddHeader>&amp;R&amp;"Arial,Bold"&amp;10Appendix D</oddHeader>
    <oddFooter>&amp;C&amp;"Arial,Regular"Page &amp;P of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6"/>
  <sheetViews>
    <sheetView showWhiteSpace="0" topLeftCell="C1" zoomScaleNormal="100" workbookViewId="0">
      <selection activeCell="C13" sqref="C13"/>
    </sheetView>
  </sheetViews>
  <sheetFormatPr defaultRowHeight="15" x14ac:dyDescent="0.25"/>
  <cols>
    <col min="1" max="1" width="3" hidden="1" customWidth="1"/>
    <col min="2" max="2" width="3.5703125" hidden="1" customWidth="1"/>
    <col min="3" max="3" width="62.140625" customWidth="1"/>
    <col min="4" max="4" width="17.28515625" style="71" bestFit="1" customWidth="1"/>
    <col min="5" max="5" width="13.42578125" hidden="1" customWidth="1"/>
    <col min="6" max="6" width="0" hidden="1" customWidth="1"/>
    <col min="7" max="7" width="13.42578125" bestFit="1" customWidth="1"/>
    <col min="8" max="9" width="12.28515625" bestFit="1" customWidth="1"/>
    <col min="11" max="11" width="10.5703125" bestFit="1" customWidth="1"/>
  </cols>
  <sheetData>
    <row r="1" spans="1:9" ht="21" customHeight="1" x14ac:dyDescent="0.25">
      <c r="C1" s="323" t="s">
        <v>127</v>
      </c>
      <c r="D1" s="323"/>
      <c r="E1" s="323"/>
    </row>
    <row r="2" spans="1:9" ht="25.15" customHeight="1" x14ac:dyDescent="0.25">
      <c r="A2" s="2"/>
      <c r="B2" s="5" t="s">
        <v>0</v>
      </c>
      <c r="C2" s="55" t="s">
        <v>77</v>
      </c>
      <c r="D2" s="61" t="s">
        <v>103</v>
      </c>
      <c r="E2" s="56" t="str">
        <f>' Depreciation'!E2</f>
        <v>Annual</v>
      </c>
      <c r="G2" s="56" t="s">
        <v>279</v>
      </c>
      <c r="H2" s="56" t="s">
        <v>280</v>
      </c>
      <c r="I2" s="56" t="s">
        <v>281</v>
      </c>
    </row>
    <row r="3" spans="1:9" x14ac:dyDescent="0.25">
      <c r="A3" s="2" t="s">
        <v>1</v>
      </c>
      <c r="B3" s="4"/>
      <c r="C3" s="13" t="s">
        <v>299</v>
      </c>
      <c r="D3" s="62" t="s">
        <v>104</v>
      </c>
      <c r="E3" s="34">
        <f>ROUND((' Depreciation'!E21+Amortization!E21-E4),0)</f>
        <v>15741</v>
      </c>
      <c r="G3" s="34">
        <f>E3</f>
        <v>15741</v>
      </c>
      <c r="H3" s="34">
        <v>0</v>
      </c>
      <c r="I3" s="34">
        <f>SUM(G3:H3)</f>
        <v>15741</v>
      </c>
    </row>
    <row r="4" spans="1:9" x14ac:dyDescent="0.25">
      <c r="A4" s="2"/>
      <c r="B4" s="4"/>
      <c r="C4" s="13" t="s">
        <v>300</v>
      </c>
      <c r="D4" s="62" t="s">
        <v>203</v>
      </c>
      <c r="E4" s="46">
        <f>+'Total Annual Impact'!I4/1000</f>
        <v>19178.417781249998</v>
      </c>
      <c r="G4" s="46"/>
      <c r="H4" s="46">
        <f>E4</f>
        <v>19178.417781249998</v>
      </c>
      <c r="I4" s="46">
        <f t="shared" ref="I4:I5" si="0">SUM(G4:H4)</f>
        <v>19178.417781249998</v>
      </c>
    </row>
    <row r="5" spans="1:9" ht="16.5" x14ac:dyDescent="0.35">
      <c r="A5" s="2" t="s">
        <v>3</v>
      </c>
      <c r="B5" s="4"/>
      <c r="C5" s="13" t="s">
        <v>36</v>
      </c>
      <c r="D5" s="62" t="s">
        <v>112</v>
      </c>
      <c r="E5" s="40">
        <f>ROUND((-'Income Taxes'!E16),0)</f>
        <v>-1521</v>
      </c>
      <c r="G5" s="40">
        <f>E5</f>
        <v>-1521</v>
      </c>
      <c r="H5" s="40">
        <v>0</v>
      </c>
      <c r="I5" s="40">
        <f t="shared" si="0"/>
        <v>-1521</v>
      </c>
    </row>
    <row r="6" spans="1:9" x14ac:dyDescent="0.25">
      <c r="A6" s="2" t="s">
        <v>37</v>
      </c>
      <c r="B6" s="4"/>
      <c r="C6" s="18" t="s">
        <v>84</v>
      </c>
      <c r="D6" s="72" t="s">
        <v>113</v>
      </c>
      <c r="E6" s="41">
        <f>SUM(E3:E5)</f>
        <v>33398.417781249998</v>
      </c>
      <c r="G6" s="41">
        <f>SUM(G3:G5)</f>
        <v>14220</v>
      </c>
      <c r="H6" s="41">
        <f>SUM(H3:H5)</f>
        <v>19178.417781249998</v>
      </c>
      <c r="I6" s="41">
        <f>SUM(I3:I5)</f>
        <v>33398.417781249998</v>
      </c>
    </row>
    <row r="7" spans="1:9" x14ac:dyDescent="0.25">
      <c r="A7" s="2" t="s">
        <v>4</v>
      </c>
      <c r="B7" s="4"/>
      <c r="C7" s="13"/>
      <c r="D7" s="62"/>
      <c r="E7" s="12"/>
      <c r="G7" s="12"/>
      <c r="H7" s="12"/>
      <c r="I7" s="12"/>
    </row>
    <row r="8" spans="1:9" x14ac:dyDescent="0.25">
      <c r="A8" s="2" t="s">
        <v>5</v>
      </c>
      <c r="B8" s="4"/>
      <c r="C8" s="23" t="s">
        <v>265</v>
      </c>
      <c r="D8" s="63" t="s">
        <v>123</v>
      </c>
      <c r="E8" s="42">
        <f>E6/$E28</f>
        <v>5.5952891660885876E-5</v>
      </c>
      <c r="G8" s="42">
        <f>G6/$G28</f>
        <v>2.3822988401099593E-5</v>
      </c>
      <c r="H8" s="42">
        <f t="shared" ref="H8:I8" si="1">H6/$G28</f>
        <v>3.2129903259786279E-5</v>
      </c>
      <c r="I8" s="42">
        <f t="shared" si="1"/>
        <v>5.5952891660885876E-5</v>
      </c>
    </row>
    <row r="9" spans="1:9" x14ac:dyDescent="0.25">
      <c r="A9" s="2" t="s">
        <v>6</v>
      </c>
      <c r="B9" s="4"/>
      <c r="C9" s="16"/>
      <c r="D9" s="68"/>
      <c r="E9" s="12"/>
      <c r="G9" s="12"/>
      <c r="H9" s="12"/>
      <c r="I9" s="12"/>
    </row>
    <row r="10" spans="1:9" x14ac:dyDescent="0.25">
      <c r="A10" s="2" t="s">
        <v>7</v>
      </c>
      <c r="B10" s="4"/>
      <c r="C10" s="13" t="s">
        <v>60</v>
      </c>
      <c r="D10" s="62" t="s">
        <v>114</v>
      </c>
      <c r="E10" s="34">
        <f>ROUND((E$6*E24),0)</f>
        <v>942</v>
      </c>
      <c r="G10" s="34">
        <f>ROUND((G$6*G24),0)</f>
        <v>401</v>
      </c>
      <c r="H10" s="34">
        <f>ROUND((H$6*H24),0)</f>
        <v>902</v>
      </c>
      <c r="I10" s="34">
        <f>SUM(G10:H10)</f>
        <v>1303</v>
      </c>
    </row>
    <row r="11" spans="1:9" ht="16.5" x14ac:dyDescent="0.35">
      <c r="A11" s="2" t="s">
        <v>8</v>
      </c>
      <c r="B11" s="4"/>
      <c r="C11" s="13" t="s">
        <v>61</v>
      </c>
      <c r="D11" s="62" t="s">
        <v>115</v>
      </c>
      <c r="E11" s="35">
        <f>ROUND((E$6*E25),0)</f>
        <v>1389</v>
      </c>
      <c r="G11" s="35">
        <f>ROUND((G$6*G25),0)</f>
        <v>591</v>
      </c>
      <c r="H11" s="35">
        <f>ROUND((H$6*H25),0)</f>
        <v>0</v>
      </c>
      <c r="I11" s="35">
        <f t="shared" ref="I11:I12" si="2">SUM(G11:H11)</f>
        <v>591</v>
      </c>
    </row>
    <row r="12" spans="1:9" x14ac:dyDescent="0.25">
      <c r="A12" s="2" t="s">
        <v>9</v>
      </c>
      <c r="B12" s="4"/>
      <c r="C12" s="13" t="s">
        <v>69</v>
      </c>
      <c r="D12" s="62" t="s">
        <v>116</v>
      </c>
      <c r="E12" s="34">
        <f>SUM(E10:E11)</f>
        <v>2331</v>
      </c>
      <c r="G12" s="34">
        <f>SUM(G10:G11)</f>
        <v>992</v>
      </c>
      <c r="H12" s="34">
        <f>SUM(H10:H11)</f>
        <v>902</v>
      </c>
      <c r="I12" s="34">
        <f t="shared" si="2"/>
        <v>1894</v>
      </c>
    </row>
    <row r="13" spans="1:9" x14ac:dyDescent="0.25">
      <c r="A13" s="2" t="s">
        <v>10</v>
      </c>
      <c r="B13" s="4"/>
      <c r="C13" s="13"/>
      <c r="D13" s="62"/>
      <c r="E13" s="36"/>
      <c r="G13" s="36"/>
      <c r="H13" s="36"/>
      <c r="I13" s="36"/>
    </row>
    <row r="14" spans="1:9" x14ac:dyDescent="0.25">
      <c r="A14" s="2" t="s">
        <v>12</v>
      </c>
      <c r="B14" s="4"/>
      <c r="C14" s="23" t="s">
        <v>106</v>
      </c>
      <c r="D14" s="63"/>
      <c r="E14" s="24"/>
      <c r="G14" s="24"/>
      <c r="H14" s="24"/>
      <c r="I14" s="24"/>
    </row>
    <row r="15" spans="1:9" x14ac:dyDescent="0.25">
      <c r="A15" s="2" t="s">
        <v>13</v>
      </c>
      <c r="B15" s="4"/>
      <c r="C15" s="13" t="s">
        <v>38</v>
      </c>
      <c r="D15" s="62" t="s">
        <v>99</v>
      </c>
      <c r="E15" s="91">
        <f>100%-E16</f>
        <v>0.6</v>
      </c>
      <c r="G15" s="91">
        <f>100%-G16</f>
        <v>0.6</v>
      </c>
      <c r="H15" s="91">
        <f>100%-H16</f>
        <v>1</v>
      </c>
      <c r="I15" s="91">
        <f>AVERAGE(G15:H15)</f>
        <v>0.8</v>
      </c>
    </row>
    <row r="16" spans="1:9" x14ac:dyDescent="0.25">
      <c r="A16" s="2" t="s">
        <v>14</v>
      </c>
      <c r="B16" s="4"/>
      <c r="C16" s="13" t="s">
        <v>39</v>
      </c>
      <c r="D16" s="62" t="s">
        <v>100</v>
      </c>
      <c r="E16" s="91">
        <v>0.4</v>
      </c>
      <c r="G16" s="91">
        <v>0.4</v>
      </c>
      <c r="H16" s="91">
        <v>0</v>
      </c>
      <c r="I16" s="91">
        <f>AVERAGE(G16:H16)</f>
        <v>0.2</v>
      </c>
    </row>
    <row r="17" spans="1:9" x14ac:dyDescent="0.25">
      <c r="A17" s="2" t="s">
        <v>15</v>
      </c>
      <c r="B17" s="4"/>
      <c r="C17" s="13"/>
      <c r="D17" s="62"/>
      <c r="E17" s="22"/>
      <c r="G17" s="22"/>
      <c r="H17" s="22"/>
      <c r="I17" s="22"/>
    </row>
    <row r="18" spans="1:9" x14ac:dyDescent="0.25">
      <c r="A18" s="2" t="s">
        <v>16</v>
      </c>
      <c r="B18" s="4"/>
      <c r="C18" s="13" t="s">
        <v>278</v>
      </c>
      <c r="D18" s="62" t="s">
        <v>93</v>
      </c>
      <c r="E18" s="297">
        <v>4.2299999999999997E-2</v>
      </c>
      <c r="G18" s="297">
        <v>4.2299999999999997E-2</v>
      </c>
      <c r="H18" s="297">
        <v>4.2299999999999997E-2</v>
      </c>
      <c r="I18" s="297">
        <f>H18</f>
        <v>4.2299999999999997E-2</v>
      </c>
    </row>
    <row r="19" spans="1:9" x14ac:dyDescent="0.25">
      <c r="A19" s="2" t="s">
        <v>18</v>
      </c>
      <c r="B19" s="4"/>
      <c r="C19" s="13" t="s">
        <v>40</v>
      </c>
      <c r="D19" s="62" t="s">
        <v>101</v>
      </c>
      <c r="E19" s="58">
        <v>9.35E-2</v>
      </c>
      <c r="G19" s="58">
        <v>9.35E-2</v>
      </c>
      <c r="H19" s="58">
        <v>9.35E-2</v>
      </c>
      <c r="I19" s="58">
        <f>H19</f>
        <v>9.35E-2</v>
      </c>
    </row>
    <row r="20" spans="1:9" x14ac:dyDescent="0.25">
      <c r="A20" s="2" t="s">
        <v>19</v>
      </c>
      <c r="B20" s="4"/>
      <c r="C20" s="13"/>
      <c r="D20" s="62"/>
      <c r="E20" s="12"/>
      <c r="G20" s="12"/>
      <c r="H20" s="12"/>
      <c r="I20" s="12"/>
    </row>
    <row r="21" spans="1:9" x14ac:dyDescent="0.25">
      <c r="A21" s="2" t="s">
        <v>20</v>
      </c>
      <c r="B21" s="4"/>
      <c r="C21" s="13" t="s">
        <v>267</v>
      </c>
      <c r="D21" s="62" t="s">
        <v>102</v>
      </c>
      <c r="E21" s="36">
        <v>638581395</v>
      </c>
      <c r="G21" s="36">
        <v>638581395</v>
      </c>
      <c r="H21" s="36">
        <v>638581395</v>
      </c>
      <c r="I21" s="36">
        <f>H21</f>
        <v>638581395</v>
      </c>
    </row>
    <row r="22" spans="1:9" x14ac:dyDescent="0.25">
      <c r="A22" s="2" t="s">
        <v>21</v>
      </c>
      <c r="B22" s="4"/>
      <c r="C22" s="13" t="s">
        <v>268</v>
      </c>
      <c r="D22" s="62" t="s">
        <v>117</v>
      </c>
      <c r="E22" s="36">
        <v>574368441</v>
      </c>
      <c r="G22" s="36">
        <v>574368441</v>
      </c>
      <c r="H22" s="36">
        <v>574368441</v>
      </c>
      <c r="I22" s="36">
        <f>H22</f>
        <v>574368441</v>
      </c>
    </row>
    <row r="23" spans="1:9" x14ac:dyDescent="0.25">
      <c r="A23" s="2" t="s">
        <v>22</v>
      </c>
      <c r="B23" s="4"/>
      <c r="C23" s="13"/>
      <c r="D23" s="62"/>
      <c r="E23" s="12"/>
      <c r="G23" s="12"/>
      <c r="H23" s="12"/>
      <c r="I23" s="12"/>
    </row>
    <row r="24" spans="1:9" x14ac:dyDescent="0.25">
      <c r="A24" s="2"/>
      <c r="B24" s="1"/>
      <c r="C24" s="13" t="s">
        <v>63</v>
      </c>
      <c r="D24" s="62" t="s">
        <v>118</v>
      </c>
      <c r="E24" s="43">
        <f>E15*E18*E21/E22</f>
        <v>2.8217420471226756E-2</v>
      </c>
      <c r="G24" s="43">
        <f>G15*G18*G21/G22</f>
        <v>2.8217420471226756E-2</v>
      </c>
      <c r="H24" s="43">
        <f>H15*H18*H21/H22</f>
        <v>4.7029034118711267E-2</v>
      </c>
      <c r="I24" s="43">
        <f>I15*I18*I21/I22</f>
        <v>3.7623227294969017E-2</v>
      </c>
    </row>
    <row r="25" spans="1:9" x14ac:dyDescent="0.25">
      <c r="A25" s="2"/>
      <c r="B25" s="1"/>
      <c r="C25" s="13" t="s">
        <v>64</v>
      </c>
      <c r="D25" s="62" t="s">
        <v>119</v>
      </c>
      <c r="E25" s="44">
        <f>E16*E19*E21/E22</f>
        <v>4.1581226383919659E-2</v>
      </c>
      <c r="G25" s="44">
        <f>G16*G19*G21/G22</f>
        <v>4.1581226383919659E-2</v>
      </c>
      <c r="H25" s="44">
        <f>H16*H19*H21/H22</f>
        <v>0</v>
      </c>
      <c r="I25" s="44">
        <f>I16*I19*I21/I22</f>
        <v>2.0790613191959829E-2</v>
      </c>
    </row>
    <row r="26" spans="1:9" x14ac:dyDescent="0.25">
      <c r="A26" s="2"/>
      <c r="B26" s="1"/>
      <c r="C26" s="13" t="s">
        <v>277</v>
      </c>
      <c r="D26" s="62" t="s">
        <v>121</v>
      </c>
      <c r="E26" s="43">
        <f>SUM(E24:E25)</f>
        <v>6.9798646855146418E-2</v>
      </c>
      <c r="G26" s="43">
        <f>SUM(G24:G25)</f>
        <v>6.9798646855146418E-2</v>
      </c>
      <c r="H26" s="43">
        <f>SUM(H24:H25)</f>
        <v>4.7029034118711267E-2</v>
      </c>
      <c r="I26" s="43">
        <f>SUM(I24:I25)</f>
        <v>5.8413840486928846E-2</v>
      </c>
    </row>
    <row r="27" spans="1:9" x14ac:dyDescent="0.25">
      <c r="A27" s="2"/>
      <c r="B27" s="1"/>
      <c r="C27" s="73"/>
      <c r="D27" s="68"/>
      <c r="E27" s="17"/>
      <c r="G27" s="17"/>
      <c r="H27" s="17"/>
      <c r="I27" s="17"/>
    </row>
    <row r="28" spans="1:9" x14ac:dyDescent="0.25">
      <c r="A28" s="2"/>
      <c r="B28" s="1"/>
      <c r="C28" s="23" t="s">
        <v>301</v>
      </c>
      <c r="D28" s="63" t="s">
        <v>120</v>
      </c>
      <c r="E28" s="52">
        <v>596902444</v>
      </c>
      <c r="G28" s="52">
        <f>+E28</f>
        <v>596902444</v>
      </c>
      <c r="H28" s="52"/>
      <c r="I28" s="52"/>
    </row>
    <row r="29" spans="1:9" x14ac:dyDescent="0.25">
      <c r="A29" s="2"/>
      <c r="B29" s="1"/>
      <c r="C29" s="94"/>
      <c r="D29" s="77"/>
      <c r="E29" s="77"/>
      <c r="F29" s="77"/>
      <c r="G29" s="303"/>
      <c r="H29" s="304"/>
      <c r="I29" s="303"/>
    </row>
    <row r="30" spans="1:9" x14ac:dyDescent="0.25">
      <c r="A30" s="2"/>
      <c r="B30" s="1"/>
    </row>
    <row r="31" spans="1:9" x14ac:dyDescent="0.25">
      <c r="A31" s="2"/>
      <c r="B31" s="1"/>
    </row>
    <row r="32" spans="1:9" x14ac:dyDescent="0.25">
      <c r="A32" s="2"/>
      <c r="B32" s="1"/>
    </row>
    <row r="33" spans="1:2" x14ac:dyDescent="0.25">
      <c r="A33" s="2"/>
      <c r="B33" s="1"/>
    </row>
    <row r="34" spans="1:2" x14ac:dyDescent="0.25">
      <c r="A34" s="2"/>
      <c r="B34" s="1"/>
    </row>
    <row r="35" spans="1:2" x14ac:dyDescent="0.25">
      <c r="A35" s="2"/>
      <c r="B35" s="1"/>
    </row>
    <row r="36" spans="1:2" x14ac:dyDescent="0.25">
      <c r="A36" s="2"/>
    </row>
  </sheetData>
  <mergeCells count="1">
    <mergeCell ref="C1:E1"/>
  </mergeCells>
  <printOptions horizontalCentered="1"/>
  <pageMargins left="0.7" right="0.2" top="0.75" bottom="0.5" header="0.3" footer="0.3"/>
  <pageSetup scale="96" orientation="portrait" r:id="rId1"/>
  <headerFooter>
    <oddHeader>&amp;R&amp;"Arial,Bold"&amp;10Appendix D</oddHeader>
    <oddFooter>&amp;C&amp;"Arial,Regular"Page &amp;P of 5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8"/>
  <sheetViews>
    <sheetView topLeftCell="C1" zoomScaleNormal="100" workbookViewId="0">
      <selection activeCell="E7" sqref="E7"/>
    </sheetView>
  </sheetViews>
  <sheetFormatPr defaultColWidth="9.140625" defaultRowHeight="12.75" x14ac:dyDescent="0.2"/>
  <cols>
    <col min="1" max="1" width="2.42578125" style="1" hidden="1" customWidth="1"/>
    <col min="2" max="2" width="3.5703125" style="1" hidden="1" customWidth="1"/>
    <col min="3" max="3" width="56" style="1" bestFit="1" customWidth="1"/>
    <col min="4" max="4" width="16.85546875" style="4" bestFit="1" customWidth="1"/>
    <col min="5" max="5" width="12.28515625" style="1" bestFit="1" customWidth="1"/>
    <col min="6" max="6" width="10.5703125" style="1" bestFit="1" customWidth="1"/>
    <col min="7" max="16384" width="9.140625" style="1"/>
  </cols>
  <sheetData>
    <row r="1" spans="1:11" ht="21" customHeight="1" x14ac:dyDescent="0.2">
      <c r="C1" s="323" t="s">
        <v>127</v>
      </c>
      <c r="D1" s="323"/>
      <c r="E1" s="323"/>
    </row>
    <row r="2" spans="1:11" ht="25.15" customHeight="1" x14ac:dyDescent="0.2">
      <c r="A2" s="2"/>
      <c r="B2" s="5" t="s">
        <v>0</v>
      </c>
      <c r="C2" s="57" t="s">
        <v>231</v>
      </c>
      <c r="D2" s="61" t="s">
        <v>103</v>
      </c>
      <c r="E2" s="56" t="str">
        <f>' Depreciation'!E2</f>
        <v>Annual</v>
      </c>
    </row>
    <row r="3" spans="1:11" ht="14.45" customHeight="1" x14ac:dyDescent="0.2">
      <c r="A3" s="2" t="s">
        <v>1</v>
      </c>
      <c r="B3" s="4"/>
      <c r="C3" s="13" t="s">
        <v>49</v>
      </c>
      <c r="D3" s="62" t="s">
        <v>124</v>
      </c>
      <c r="E3" s="34">
        <f>' Depreciation'!E33</f>
        <v>456.48341572305947</v>
      </c>
    </row>
    <row r="4" spans="1:11" ht="14.45" customHeight="1" x14ac:dyDescent="0.2">
      <c r="A4" s="2"/>
      <c r="B4" s="4"/>
      <c r="C4" s="13" t="s">
        <v>201</v>
      </c>
      <c r="D4" s="62" t="s">
        <v>204</v>
      </c>
      <c r="E4" s="36">
        <f>+Amortization!E9</f>
        <v>1053.7592187499999</v>
      </c>
    </row>
    <row r="5" spans="1:11" ht="14.45" customHeight="1" x14ac:dyDescent="0.2">
      <c r="A5" s="2" t="s">
        <v>2</v>
      </c>
      <c r="B5" s="4"/>
      <c r="C5" s="13" t="s">
        <v>60</v>
      </c>
      <c r="D5" s="62" t="s">
        <v>205</v>
      </c>
      <c r="E5" s="46">
        <f>+'Rate Base &amp; Cost Capital'!I10</f>
        <v>1303</v>
      </c>
    </row>
    <row r="6" spans="1:11" ht="14.45" customHeight="1" x14ac:dyDescent="0.2">
      <c r="A6" s="2" t="s">
        <v>3</v>
      </c>
      <c r="B6" s="4"/>
      <c r="C6" s="13" t="s">
        <v>73</v>
      </c>
      <c r="D6" s="62" t="s">
        <v>206</v>
      </c>
      <c r="E6" s="46">
        <f>+'Rate Base &amp; Cost Capital'!I11</f>
        <v>591</v>
      </c>
    </row>
    <row r="7" spans="1:11" ht="14.45" customHeight="1" x14ac:dyDescent="0.35">
      <c r="A7" s="2" t="s">
        <v>37</v>
      </c>
      <c r="B7" s="4"/>
      <c r="C7" s="13" t="s">
        <v>55</v>
      </c>
      <c r="D7" s="62" t="s">
        <v>207</v>
      </c>
      <c r="E7" s="35">
        <f>'Income Taxes'!E33</f>
        <v>253.28571428571422</v>
      </c>
    </row>
    <row r="8" spans="1:11" ht="14.45" customHeight="1" x14ac:dyDescent="0.2">
      <c r="A8" s="2" t="s">
        <v>4</v>
      </c>
      <c r="B8" s="4"/>
      <c r="C8" s="23" t="s">
        <v>122</v>
      </c>
      <c r="D8" s="63" t="s">
        <v>208</v>
      </c>
      <c r="E8" s="52">
        <f>SUM(E3:E7)-0.3</f>
        <v>3657.2283487587733</v>
      </c>
    </row>
    <row r="9" spans="1:11" ht="14.45" customHeight="1" x14ac:dyDescent="0.2">
      <c r="A9" s="2" t="s">
        <v>5</v>
      </c>
      <c r="B9" s="4"/>
      <c r="C9" s="13"/>
      <c r="D9" s="62"/>
      <c r="E9" s="12"/>
    </row>
    <row r="10" spans="1:11" ht="14.45" customHeight="1" x14ac:dyDescent="0.2">
      <c r="A10" s="2" t="s">
        <v>6</v>
      </c>
      <c r="B10" s="4"/>
      <c r="C10" s="18" t="s">
        <v>232</v>
      </c>
      <c r="D10" s="72" t="s">
        <v>209</v>
      </c>
      <c r="E10" s="252">
        <f>E8/$E12</f>
        <v>1.224782959793202E-2</v>
      </c>
      <c r="G10" s="6"/>
      <c r="H10" s="6"/>
      <c r="I10" s="6"/>
      <c r="J10" s="6"/>
      <c r="K10" s="6"/>
    </row>
    <row r="11" spans="1:11" ht="14.45" customHeight="1" x14ac:dyDescent="0.2">
      <c r="A11" s="2" t="s">
        <v>7</v>
      </c>
      <c r="B11" s="4"/>
      <c r="C11" s="13"/>
      <c r="D11" s="62"/>
      <c r="E11" s="12"/>
    </row>
    <row r="12" spans="1:11" ht="14.45" customHeight="1" x14ac:dyDescent="0.2">
      <c r="A12" s="2" t="s">
        <v>8</v>
      </c>
      <c r="C12" s="18" t="s">
        <v>296</v>
      </c>
      <c r="D12" s="72" t="s">
        <v>210</v>
      </c>
      <c r="E12" s="41">
        <f>298602158/1000</f>
        <v>298602.158</v>
      </c>
    </row>
    <row r="13" spans="1:11" x14ac:dyDescent="0.2">
      <c r="A13" s="2"/>
      <c r="C13" s="75"/>
      <c r="D13" s="76"/>
      <c r="E13" s="82"/>
    </row>
    <row r="14" spans="1:11" x14ac:dyDescent="0.2">
      <c r="C14" s="86"/>
      <c r="D14" s="87"/>
      <c r="E14" s="86"/>
    </row>
    <row r="15" spans="1:11" s="176" customFormat="1" ht="30" x14ac:dyDescent="0.25">
      <c r="C15" s="179" t="s">
        <v>297</v>
      </c>
      <c r="D15" s="177">
        <v>1</v>
      </c>
      <c r="E15" s="178">
        <f>+E8*D15</f>
        <v>3657.2283487587733</v>
      </c>
    </row>
    <row r="17" spans="3:3" x14ac:dyDescent="0.2">
      <c r="C17" s="180"/>
    </row>
    <row r="18" spans="3:3" x14ac:dyDescent="0.2">
      <c r="C18" s="1" t="s">
        <v>269</v>
      </c>
    </row>
  </sheetData>
  <mergeCells count="1">
    <mergeCell ref="C1:E1"/>
  </mergeCells>
  <printOptions horizontalCentered="1"/>
  <pageMargins left="0.7" right="0.2" top="0.75" bottom="0.5" header="0.3" footer="0.3"/>
  <pageSetup orientation="portrait" r:id="rId1"/>
  <headerFooter>
    <oddHeader>&amp;R&amp;"Arial,Bold"&amp;10Appendix D</oddHeader>
    <oddFooter>&amp;C&amp;"Arial,Regular"Page &amp;P of 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3"/>
  <sheetViews>
    <sheetView topLeftCell="A4" workbookViewId="0">
      <selection activeCell="J33" sqref="J33"/>
    </sheetView>
  </sheetViews>
  <sheetFormatPr defaultColWidth="9.140625" defaultRowHeight="14.25" x14ac:dyDescent="0.2"/>
  <cols>
    <col min="1" max="1" width="61.5703125" style="11" bestFit="1" customWidth="1"/>
    <col min="2" max="3" width="10.5703125" style="11" hidden="1" customWidth="1"/>
    <col min="4" max="4" width="4.42578125" style="11" hidden="1" customWidth="1"/>
    <col min="5" max="5" width="18.85546875" style="11" customWidth="1"/>
    <col min="6" max="6" width="12.140625" style="11" hidden="1" customWidth="1"/>
    <col min="7" max="7" width="13.85546875" style="11" hidden="1" customWidth="1"/>
    <col min="8" max="8" width="3.5703125" style="11" customWidth="1"/>
    <col min="9" max="9" width="17.85546875" style="11" customWidth="1"/>
    <col min="10" max="10" width="14.28515625" style="11" customWidth="1"/>
    <col min="11" max="16384" width="9.140625" style="11"/>
  </cols>
  <sheetData>
    <row r="1" spans="1:12" ht="15" x14ac:dyDescent="0.25">
      <c r="A1" s="327" t="s">
        <v>302</v>
      </c>
      <c r="B1" s="328"/>
      <c r="C1" s="328"/>
      <c r="D1" s="328"/>
      <c r="E1" s="328"/>
      <c r="F1" s="328"/>
      <c r="G1" s="329"/>
    </row>
    <row r="2" spans="1:12" ht="15" x14ac:dyDescent="0.25">
      <c r="A2" s="330" t="s">
        <v>276</v>
      </c>
      <c r="B2" s="331"/>
      <c r="C2" s="331"/>
      <c r="D2" s="331"/>
      <c r="E2" s="331"/>
      <c r="F2" s="331"/>
      <c r="G2" s="332"/>
    </row>
    <row r="3" spans="1:12" ht="15" customHeight="1" x14ac:dyDescent="0.25">
      <c r="A3" s="260"/>
      <c r="B3" s="261"/>
      <c r="C3" s="261"/>
      <c r="D3" s="261"/>
      <c r="E3" s="261"/>
      <c r="F3" s="261"/>
      <c r="G3" s="262"/>
    </row>
    <row r="4" spans="1:12" ht="15" x14ac:dyDescent="0.25">
      <c r="A4" s="333" t="s">
        <v>236</v>
      </c>
      <c r="B4" s="334"/>
      <c r="C4" s="334"/>
      <c r="D4" s="334"/>
      <c r="E4" s="334"/>
      <c r="F4" s="334"/>
      <c r="G4" s="335"/>
      <c r="I4" s="333" t="s">
        <v>304</v>
      </c>
      <c r="J4" s="334"/>
    </row>
    <row r="5" spans="1:12" ht="60" x14ac:dyDescent="0.25">
      <c r="A5" s="263"/>
      <c r="B5" s="264">
        <v>2022</v>
      </c>
      <c r="C5" s="264">
        <v>2023</v>
      </c>
      <c r="D5" s="264">
        <v>2024</v>
      </c>
      <c r="E5" s="264">
        <v>2025</v>
      </c>
      <c r="F5" s="265" t="s">
        <v>237</v>
      </c>
      <c r="G5" s="265" t="s">
        <v>238</v>
      </c>
      <c r="I5" s="266" t="s">
        <v>305</v>
      </c>
      <c r="J5" s="310">
        <v>46235</v>
      </c>
    </row>
    <row r="6" spans="1:12" x14ac:dyDescent="0.2">
      <c r="A6" s="267" t="s">
        <v>239</v>
      </c>
      <c r="B6" s="268">
        <v>0.14499999999999999</v>
      </c>
      <c r="C6" s="268">
        <v>0.15540000000000001</v>
      </c>
      <c r="D6" s="268">
        <v>0.16020000000000001</v>
      </c>
      <c r="E6" s="268">
        <v>0.1663</v>
      </c>
      <c r="F6" s="269">
        <f>+(E6-B6)/B6</f>
        <v>0.14689655172413804</v>
      </c>
      <c r="G6" s="270">
        <f>+F6/3</f>
        <v>4.8965517241379347E-2</v>
      </c>
      <c r="I6" s="268">
        <v>6.0999999999999943E-3</v>
      </c>
      <c r="J6" s="271">
        <f>+E6+I6</f>
        <v>0.1724</v>
      </c>
      <c r="L6" s="308"/>
    </row>
    <row r="7" spans="1:12" x14ac:dyDescent="0.2">
      <c r="A7" s="272" t="s">
        <v>240</v>
      </c>
      <c r="B7" s="268">
        <v>0.11459999999999999</v>
      </c>
      <c r="C7" s="268">
        <v>0.1229</v>
      </c>
      <c r="D7" s="268">
        <v>0.12670000000000001</v>
      </c>
      <c r="E7" s="268">
        <v>0.13150000000000001</v>
      </c>
      <c r="F7" s="269">
        <f t="shared" ref="F7:F12" si="0">+(E7-B7)/B7</f>
        <v>0.14746945898778371</v>
      </c>
      <c r="G7" s="270">
        <f t="shared" ref="G7:G12" si="1">+F7/3</f>
        <v>4.9156486329261236E-2</v>
      </c>
      <c r="I7" s="268">
        <v>4.7999999999999987E-3</v>
      </c>
      <c r="J7" s="271">
        <f t="shared" ref="J7:J12" si="2">+E7+$I7</f>
        <v>0.1363</v>
      </c>
    </row>
    <row r="8" spans="1:12" x14ac:dyDescent="0.2">
      <c r="A8" s="267" t="s">
        <v>241</v>
      </c>
      <c r="B8" s="268">
        <v>0.1789</v>
      </c>
      <c r="C8" s="268">
        <v>0.19189999999999999</v>
      </c>
      <c r="D8" s="268">
        <v>0.1978</v>
      </c>
      <c r="E8" s="268">
        <v>0.20530000000000001</v>
      </c>
      <c r="F8" s="269">
        <f t="shared" si="0"/>
        <v>0.14756847400782563</v>
      </c>
      <c r="G8" s="270">
        <f t="shared" si="1"/>
        <v>4.918949133594188E-2</v>
      </c>
      <c r="I8" s="268">
        <v>7.4999999999999789E-3</v>
      </c>
      <c r="J8" s="271">
        <f t="shared" si="2"/>
        <v>0.21279999999999999</v>
      </c>
    </row>
    <row r="9" spans="1:12" x14ac:dyDescent="0.2">
      <c r="A9" s="272" t="s">
        <v>242</v>
      </c>
      <c r="B9" s="268">
        <v>0.1159</v>
      </c>
      <c r="C9" s="268">
        <v>0.12429999999999999</v>
      </c>
      <c r="D9" s="268">
        <v>0.12809999999999999</v>
      </c>
      <c r="E9" s="268">
        <v>0.13289999999999999</v>
      </c>
      <c r="F9" s="269">
        <f t="shared" si="0"/>
        <v>0.14667817083692827</v>
      </c>
      <c r="G9" s="270">
        <f t="shared" si="1"/>
        <v>4.8892723612309424E-2</v>
      </c>
      <c r="I9" s="268">
        <v>4.9000000000000155E-3</v>
      </c>
      <c r="J9" s="271">
        <f t="shared" si="2"/>
        <v>0.13780000000000001</v>
      </c>
    </row>
    <row r="10" spans="1:12" x14ac:dyDescent="0.2">
      <c r="A10" s="267" t="s">
        <v>243</v>
      </c>
      <c r="B10" s="268">
        <v>0.17519999999999999</v>
      </c>
      <c r="C10" s="268">
        <v>0.18779999999999999</v>
      </c>
      <c r="D10" s="268">
        <v>0.19359999999999999</v>
      </c>
      <c r="E10" s="268">
        <v>0.2009</v>
      </c>
      <c r="F10" s="269">
        <f t="shared" si="0"/>
        <v>0.14668949771689499</v>
      </c>
      <c r="G10" s="270">
        <f t="shared" si="1"/>
        <v>4.8896499238964997E-2</v>
      </c>
      <c r="I10" s="268">
        <v>7.3000000000000009E-3</v>
      </c>
      <c r="J10" s="271">
        <f t="shared" si="2"/>
        <v>0.2082</v>
      </c>
    </row>
    <row r="11" spans="1:12" x14ac:dyDescent="0.2">
      <c r="A11" s="272" t="s">
        <v>244</v>
      </c>
      <c r="B11" s="268">
        <v>8.6800000000000002E-2</v>
      </c>
      <c r="C11" s="268">
        <v>9.3100000000000002E-2</v>
      </c>
      <c r="D11" s="268">
        <v>9.5899999999999999E-2</v>
      </c>
      <c r="E11" s="268">
        <v>9.9500000000000005E-2</v>
      </c>
      <c r="F11" s="269">
        <f t="shared" si="0"/>
        <v>0.14631336405529957</v>
      </c>
      <c r="G11" s="270">
        <f t="shared" si="1"/>
        <v>4.8771121351766526E-2</v>
      </c>
      <c r="I11" s="268">
        <v>3.4999999999999892E-3</v>
      </c>
      <c r="J11" s="271">
        <f t="shared" si="2"/>
        <v>0.10299999999999999</v>
      </c>
    </row>
    <row r="12" spans="1:12" x14ac:dyDescent="0.2">
      <c r="A12" s="272" t="s">
        <v>245</v>
      </c>
      <c r="B12" s="268">
        <v>6.9800000000000001E-2</v>
      </c>
      <c r="C12" s="268">
        <v>7.6999999999999999E-2</v>
      </c>
      <c r="D12" s="268">
        <v>7.9699999999999993E-2</v>
      </c>
      <c r="E12" s="268">
        <v>8.3000000000000004E-2</v>
      </c>
      <c r="F12" s="269">
        <f t="shared" si="0"/>
        <v>0.1891117478510029</v>
      </c>
      <c r="G12" s="270">
        <f t="shared" si="1"/>
        <v>6.3037249283667635E-2</v>
      </c>
      <c r="I12" s="268">
        <v>2.9999999999999888E-3</v>
      </c>
      <c r="J12" s="271">
        <f t="shared" si="2"/>
        <v>8.5999999999999993E-2</v>
      </c>
    </row>
    <row r="14" spans="1:12" ht="15" x14ac:dyDescent="0.25">
      <c r="A14" s="327" t="s">
        <v>246</v>
      </c>
      <c r="B14" s="328"/>
      <c r="C14" s="328"/>
      <c r="D14" s="328"/>
      <c r="E14" s="328"/>
      <c r="F14" s="328"/>
    </row>
    <row r="15" spans="1:12" ht="18" customHeight="1" x14ac:dyDescent="0.25">
      <c r="A15" s="273"/>
      <c r="B15" s="264">
        <f>+B5</f>
        <v>2022</v>
      </c>
      <c r="C15" s="264">
        <f t="shared" ref="C15:E15" si="3">+C5</f>
        <v>2023</v>
      </c>
      <c r="D15" s="264">
        <f t="shared" si="3"/>
        <v>2024</v>
      </c>
      <c r="E15" s="264">
        <f t="shared" si="3"/>
        <v>2025</v>
      </c>
      <c r="F15" s="266" t="str">
        <f>+F5</f>
        <v>Cumulative Change over 2022 Rates</v>
      </c>
      <c r="J15" s="310">
        <f>+J5</f>
        <v>46235</v>
      </c>
    </row>
    <row r="16" spans="1:12" x14ac:dyDescent="0.2">
      <c r="A16" s="272" t="s">
        <v>247</v>
      </c>
      <c r="B16" s="268">
        <v>4.0200000000000001E-3</v>
      </c>
      <c r="C16" s="268">
        <v>5.8900000000000003E-3</v>
      </c>
      <c r="D16" s="268">
        <v>2.8700000000000002E-3</v>
      </c>
      <c r="E16" s="268">
        <v>1.4499999999999999E-3</v>
      </c>
      <c r="F16" s="274">
        <f t="shared" ref="F16:F22" si="4">+(E16-B16)/B16</f>
        <v>-0.63930348258706471</v>
      </c>
      <c r="I16" s="275"/>
      <c r="J16" s="271">
        <f>+E16</f>
        <v>1.4499999999999999E-3</v>
      </c>
    </row>
    <row r="17" spans="1:12" x14ac:dyDescent="0.2">
      <c r="A17" s="272" t="s">
        <v>303</v>
      </c>
      <c r="B17" s="268"/>
      <c r="C17" s="268">
        <v>3.3E-3</v>
      </c>
      <c r="D17" s="268">
        <f>+C17</f>
        <v>3.3E-3</v>
      </c>
      <c r="E17" s="268">
        <f>+D17</f>
        <v>3.3E-3</v>
      </c>
      <c r="F17" s="274"/>
      <c r="J17" s="271">
        <f>+E17</f>
        <v>3.3E-3</v>
      </c>
    </row>
    <row r="18" spans="1:12" ht="15" x14ac:dyDescent="0.25">
      <c r="A18" s="272" t="s">
        <v>248</v>
      </c>
      <c r="B18" s="268">
        <f t="shared" ref="B18:C18" si="5">SUM(B16:B17)</f>
        <v>4.0200000000000001E-3</v>
      </c>
      <c r="C18" s="268">
        <f t="shared" si="5"/>
        <v>9.1900000000000003E-3</v>
      </c>
      <c r="D18" s="268">
        <f>SUM(D16:D17)</f>
        <v>6.1700000000000001E-3</v>
      </c>
      <c r="E18" s="268">
        <f>SUM(E16:E17)</f>
        <v>4.7499999999999999E-3</v>
      </c>
      <c r="F18" s="274"/>
      <c r="J18" s="276">
        <f>SUM(J16:J17)</f>
        <v>4.7499999999999999E-3</v>
      </c>
    </row>
    <row r="19" spans="1:12" hidden="1" x14ac:dyDescent="0.2">
      <c r="A19" s="272" t="s">
        <v>249</v>
      </c>
      <c r="B19" s="268">
        <v>-6.9999999999999999E-4</v>
      </c>
      <c r="C19" s="268">
        <v>-1.9499999999999999E-3</v>
      </c>
      <c r="D19" s="268">
        <v>0</v>
      </c>
      <c r="E19" s="268">
        <v>0</v>
      </c>
      <c r="F19" s="277" t="s">
        <v>250</v>
      </c>
      <c r="J19" s="271">
        <f>+E19</f>
        <v>0</v>
      </c>
    </row>
    <row r="20" spans="1:12" hidden="1" x14ac:dyDescent="0.2">
      <c r="A20" s="272" t="s">
        <v>251</v>
      </c>
      <c r="B20" s="268">
        <v>3.5999999999999999E-3</v>
      </c>
      <c r="C20" s="268">
        <v>0</v>
      </c>
      <c r="D20" s="268">
        <v>0</v>
      </c>
      <c r="E20" s="268">
        <v>0</v>
      </c>
      <c r="F20" s="277" t="s">
        <v>250</v>
      </c>
      <c r="J20" s="271">
        <f>+E20</f>
        <v>0</v>
      </c>
    </row>
    <row r="21" spans="1:12" x14ac:dyDescent="0.2">
      <c r="A21" s="272" t="s">
        <v>252</v>
      </c>
      <c r="B21" s="268">
        <v>1.2999999999999999E-3</v>
      </c>
      <c r="C21" s="268">
        <v>0</v>
      </c>
      <c r="D21" s="268">
        <v>3.3E-4</v>
      </c>
      <c r="E21" s="268">
        <v>1.2099999999999999E-3</v>
      </c>
      <c r="F21" s="274">
        <f t="shared" si="4"/>
        <v>-6.9230769230769248E-2</v>
      </c>
      <c r="J21" s="271">
        <f>+E21</f>
        <v>1.2099999999999999E-3</v>
      </c>
    </row>
    <row r="22" spans="1:12" ht="15" x14ac:dyDescent="0.25">
      <c r="A22" s="278" t="s">
        <v>253</v>
      </c>
      <c r="B22" s="276">
        <f t="shared" ref="B22:C22" si="6">ROUND(SUM(B18:B21),4)</f>
        <v>8.2000000000000007E-3</v>
      </c>
      <c r="C22" s="276">
        <f t="shared" si="6"/>
        <v>7.1999999999999998E-3</v>
      </c>
      <c r="D22" s="276">
        <f>ROUND(SUM(D18:D21),4)</f>
        <v>6.4999999999999997E-3</v>
      </c>
      <c r="E22" s="276">
        <f>ROUND(SUM(E18:E21),4)</f>
        <v>6.0000000000000001E-3</v>
      </c>
      <c r="F22" s="279">
        <f t="shared" si="4"/>
        <v>-0.26829268292682934</v>
      </c>
      <c r="J22" s="276">
        <f>SUM(J18:J21)</f>
        <v>5.96E-3</v>
      </c>
    </row>
    <row r="24" spans="1:12" ht="15" x14ac:dyDescent="0.25">
      <c r="A24" s="324" t="s">
        <v>254</v>
      </c>
      <c r="B24" s="325"/>
      <c r="C24" s="325"/>
      <c r="D24" s="325"/>
      <c r="E24" s="325"/>
      <c r="F24" s="325"/>
      <c r="G24" s="326"/>
    </row>
    <row r="25" spans="1:12" ht="16.5" customHeight="1" x14ac:dyDescent="0.25">
      <c r="A25" s="280"/>
      <c r="B25" s="264">
        <f>+B15</f>
        <v>2022</v>
      </c>
      <c r="C25" s="264">
        <f t="shared" ref="C25:F25" si="7">+C15</f>
        <v>2023</v>
      </c>
      <c r="D25" s="264">
        <f t="shared" si="7"/>
        <v>2024</v>
      </c>
      <c r="E25" s="264">
        <f t="shared" si="7"/>
        <v>2025</v>
      </c>
      <c r="F25" s="266" t="str">
        <f t="shared" si="7"/>
        <v>Cumulative Change over 2022 Rates</v>
      </c>
      <c r="G25" s="281" t="str">
        <f>+G5</f>
        <v>Average Annual Variance</v>
      </c>
      <c r="J25" s="310">
        <f t="shared" ref="J25" si="8">+J15</f>
        <v>46235</v>
      </c>
    </row>
    <row r="26" spans="1:12" x14ac:dyDescent="0.2">
      <c r="A26" s="267" t="s">
        <v>239</v>
      </c>
      <c r="B26" s="268">
        <f t="shared" ref="B26:E32" si="9">B6+B$22</f>
        <v>0.1532</v>
      </c>
      <c r="C26" s="268">
        <f t="shared" si="9"/>
        <v>0.16260000000000002</v>
      </c>
      <c r="D26" s="268">
        <f t="shared" si="9"/>
        <v>0.16670000000000001</v>
      </c>
      <c r="E26" s="268">
        <f t="shared" si="9"/>
        <v>0.17230000000000001</v>
      </c>
      <c r="F26" s="269">
        <f>+(E26-B26)/B26</f>
        <v>0.12467362924281988</v>
      </c>
      <c r="G26" s="270">
        <f>+F26/3</f>
        <v>4.1557876414273297E-2</v>
      </c>
      <c r="J26" s="268">
        <f>J6+J$22</f>
        <v>0.17835999999999999</v>
      </c>
      <c r="K26" s="308"/>
      <c r="L26" s="308"/>
    </row>
    <row r="27" spans="1:12" x14ac:dyDescent="0.2">
      <c r="A27" s="272" t="s">
        <v>240</v>
      </c>
      <c r="B27" s="268">
        <f t="shared" si="9"/>
        <v>0.12279999999999999</v>
      </c>
      <c r="C27" s="268">
        <f t="shared" si="9"/>
        <v>0.13009999999999999</v>
      </c>
      <c r="D27" s="268">
        <f t="shared" si="9"/>
        <v>0.13320000000000001</v>
      </c>
      <c r="E27" s="268">
        <f t="shared" si="9"/>
        <v>0.13750000000000001</v>
      </c>
      <c r="F27" s="269">
        <f t="shared" ref="F27:F32" si="10">+(E27-B27)/B27</f>
        <v>0.11970684039087964</v>
      </c>
      <c r="G27" s="270">
        <f t="shared" ref="G27:G32" si="11">+F27/3</f>
        <v>3.9902280130293212E-2</v>
      </c>
      <c r="J27" s="268">
        <f>J7+J$22</f>
        <v>0.14226</v>
      </c>
      <c r="K27" s="308"/>
      <c r="L27" s="308"/>
    </row>
    <row r="28" spans="1:12" x14ac:dyDescent="0.2">
      <c r="A28" s="267" t="s">
        <v>241</v>
      </c>
      <c r="B28" s="268">
        <f t="shared" si="9"/>
        <v>0.18710000000000002</v>
      </c>
      <c r="C28" s="268">
        <f t="shared" si="9"/>
        <v>0.1991</v>
      </c>
      <c r="D28" s="268">
        <f t="shared" si="9"/>
        <v>0.20430000000000001</v>
      </c>
      <c r="E28" s="268">
        <f t="shared" si="9"/>
        <v>0.21130000000000002</v>
      </c>
      <c r="F28" s="269">
        <f t="shared" si="10"/>
        <v>0.12934259754142169</v>
      </c>
      <c r="G28" s="270">
        <f t="shared" si="11"/>
        <v>4.3114199180473899E-2</v>
      </c>
      <c r="J28" s="268">
        <f>J8+J$22</f>
        <v>0.21875999999999998</v>
      </c>
      <c r="K28" s="308"/>
      <c r="L28" s="308"/>
    </row>
    <row r="29" spans="1:12" x14ac:dyDescent="0.2">
      <c r="A29" s="272" t="s">
        <v>242</v>
      </c>
      <c r="B29" s="268">
        <f t="shared" si="9"/>
        <v>0.1241</v>
      </c>
      <c r="C29" s="268">
        <f t="shared" si="9"/>
        <v>0.13150000000000001</v>
      </c>
      <c r="D29" s="268">
        <f t="shared" si="9"/>
        <v>0.1346</v>
      </c>
      <c r="E29" s="268">
        <f t="shared" si="9"/>
        <v>0.1389</v>
      </c>
      <c r="F29" s="269">
        <f t="shared" si="10"/>
        <v>0.11925866236905716</v>
      </c>
      <c r="G29" s="270">
        <f t="shared" si="11"/>
        <v>3.9752887456352387E-2</v>
      </c>
      <c r="J29" s="268">
        <f>J9+J$22</f>
        <v>0.14376</v>
      </c>
      <c r="K29" s="308"/>
      <c r="L29" s="308"/>
    </row>
    <row r="30" spans="1:12" x14ac:dyDescent="0.2">
      <c r="A30" s="267" t="s">
        <v>243</v>
      </c>
      <c r="B30" s="268">
        <f t="shared" si="9"/>
        <v>0.18340000000000001</v>
      </c>
      <c r="C30" s="268">
        <f t="shared" si="9"/>
        <v>0.19500000000000001</v>
      </c>
      <c r="D30" s="268">
        <f t="shared" si="9"/>
        <v>0.2001</v>
      </c>
      <c r="E30" s="268">
        <f t="shared" si="9"/>
        <v>0.2069</v>
      </c>
      <c r="F30" s="269">
        <f t="shared" si="10"/>
        <v>0.12813522355507084</v>
      </c>
      <c r="G30" s="270">
        <f t="shared" si="11"/>
        <v>4.2711741185023612E-2</v>
      </c>
      <c r="J30" s="268">
        <f>J10+J$22</f>
        <v>0.21415999999999999</v>
      </c>
      <c r="K30" s="308"/>
      <c r="L30" s="308"/>
    </row>
    <row r="31" spans="1:12" x14ac:dyDescent="0.2">
      <c r="A31" s="272" t="s">
        <v>244</v>
      </c>
      <c r="B31" s="268">
        <f t="shared" si="9"/>
        <v>9.5000000000000001E-2</v>
      </c>
      <c r="C31" s="268">
        <f t="shared" si="9"/>
        <v>0.1003</v>
      </c>
      <c r="D31" s="268">
        <f t="shared" si="9"/>
        <v>0.1024</v>
      </c>
      <c r="E31" s="268">
        <f t="shared" si="9"/>
        <v>0.10550000000000001</v>
      </c>
      <c r="F31" s="269">
        <f t="shared" si="10"/>
        <v>0.11052631578947378</v>
      </c>
      <c r="G31" s="270">
        <f t="shared" si="11"/>
        <v>3.6842105263157926E-2</v>
      </c>
      <c r="J31" s="268">
        <f>J11+J$22</f>
        <v>0.10896</v>
      </c>
      <c r="K31" s="308"/>
      <c r="L31" s="308"/>
    </row>
    <row r="32" spans="1:12" x14ac:dyDescent="0.2">
      <c r="A32" s="272" t="s">
        <v>245</v>
      </c>
      <c r="B32" s="282">
        <f t="shared" si="9"/>
        <v>7.8E-2</v>
      </c>
      <c r="C32" s="282">
        <f t="shared" si="9"/>
        <v>8.4199999999999997E-2</v>
      </c>
      <c r="D32" s="282">
        <f t="shared" si="9"/>
        <v>8.6199999999999999E-2</v>
      </c>
      <c r="E32" s="282">
        <f t="shared" si="9"/>
        <v>8.900000000000001E-2</v>
      </c>
      <c r="F32" s="269">
        <f t="shared" si="10"/>
        <v>0.14102564102564116</v>
      </c>
      <c r="G32" s="270">
        <f t="shared" si="11"/>
        <v>4.7008547008547057E-2</v>
      </c>
      <c r="J32" s="282">
        <f>J12+J$22</f>
        <v>9.1959999999999986E-2</v>
      </c>
      <c r="K32" s="308"/>
      <c r="L32" s="308"/>
    </row>
    <row r="33" spans="1:1" x14ac:dyDescent="0.2">
      <c r="A33" s="283"/>
    </row>
  </sheetData>
  <mergeCells count="6">
    <mergeCell ref="A24:G24"/>
    <mergeCell ref="A1:G1"/>
    <mergeCell ref="A2:G2"/>
    <mergeCell ref="A4:G4"/>
    <mergeCell ref="I4:J4"/>
    <mergeCell ref="A14:F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30"/>
  <sheetViews>
    <sheetView tabSelected="1" topLeftCell="C6" zoomScaleNormal="100" workbookViewId="0">
      <selection activeCell="E4" sqref="E4"/>
    </sheetView>
  </sheetViews>
  <sheetFormatPr defaultColWidth="9.140625" defaultRowHeight="12.75" x14ac:dyDescent="0.2"/>
  <cols>
    <col min="1" max="2" width="3.5703125" style="10" hidden="1" customWidth="1"/>
    <col min="3" max="3" width="54.7109375" style="10" customWidth="1"/>
    <col min="4" max="4" width="35.85546875" style="62" customWidth="1"/>
    <col min="5" max="5" width="15" style="10" bestFit="1" customWidth="1"/>
    <col min="6" max="8" width="9.140625" style="10"/>
    <col min="9" max="9" width="10.28515625" style="10" bestFit="1" customWidth="1"/>
    <col min="10" max="16384" width="9.140625" style="10"/>
  </cols>
  <sheetData>
    <row r="1" spans="1:11" ht="21" customHeight="1" x14ac:dyDescent="0.2">
      <c r="C1" s="323" t="s">
        <v>127</v>
      </c>
      <c r="D1" s="323"/>
      <c r="E1" s="323"/>
    </row>
    <row r="2" spans="1:11" ht="25.15" customHeight="1" x14ac:dyDescent="0.2">
      <c r="A2" s="47"/>
      <c r="B2" s="48" t="s">
        <v>0</v>
      </c>
      <c r="C2" s="55" t="s">
        <v>75</v>
      </c>
      <c r="D2" s="61" t="s">
        <v>103</v>
      </c>
      <c r="E2" s="56" t="str">
        <f>' Depreciation'!E2</f>
        <v>Annual</v>
      </c>
    </row>
    <row r="3" spans="1:11" x14ac:dyDescent="0.2">
      <c r="C3" s="13"/>
      <c r="E3" s="12"/>
    </row>
    <row r="4" spans="1:11" ht="25.5" x14ac:dyDescent="0.2">
      <c r="A4" s="10">
        <v>6</v>
      </c>
      <c r="C4" s="53" t="s">
        <v>274</v>
      </c>
      <c r="D4" s="64" t="s">
        <v>275</v>
      </c>
      <c r="E4" s="54">
        <f>'Proposed Distribution Rates'!I6*1000*12</f>
        <v>73.199999999999932</v>
      </c>
    </row>
    <row r="5" spans="1:11" x14ac:dyDescent="0.2">
      <c r="A5" s="10">
        <v>7</v>
      </c>
      <c r="C5" s="49"/>
      <c r="D5" s="65"/>
      <c r="E5" s="50"/>
    </row>
    <row r="6" spans="1:11" ht="25.5" x14ac:dyDescent="0.2">
      <c r="A6" s="10">
        <v>8</v>
      </c>
      <c r="C6" s="49" t="s">
        <v>286</v>
      </c>
      <c r="D6" s="65" t="s">
        <v>258</v>
      </c>
      <c r="E6" s="253">
        <f>E4/$E13</f>
        <v>3.061941572131309E-2</v>
      </c>
      <c r="H6" s="51"/>
      <c r="I6" s="51"/>
      <c r="J6" s="51"/>
      <c r="K6" s="51"/>
    </row>
    <row r="7" spans="1:11" ht="25.5" x14ac:dyDescent="0.2">
      <c r="A7" s="10">
        <v>9</v>
      </c>
      <c r="C7" s="49" t="s">
        <v>287</v>
      </c>
      <c r="D7" s="65" t="s">
        <v>259</v>
      </c>
      <c r="E7" s="253">
        <f>E4/$E15</f>
        <v>3.0984913902575267E-2</v>
      </c>
      <c r="H7" s="51"/>
      <c r="I7" s="51"/>
      <c r="J7" s="51"/>
      <c r="K7" s="51"/>
    </row>
    <row r="8" spans="1:11" x14ac:dyDescent="0.2">
      <c r="A8" s="10">
        <v>10</v>
      </c>
      <c r="C8" s="13"/>
      <c r="E8" s="254"/>
    </row>
    <row r="9" spans="1:11" ht="25.5" x14ac:dyDescent="0.2">
      <c r="A9" s="10">
        <v>11</v>
      </c>
      <c r="C9" s="53" t="s">
        <v>126</v>
      </c>
      <c r="D9" s="64" t="s">
        <v>255</v>
      </c>
      <c r="E9" s="54">
        <f>'Proposed Distribution Rates'!I8*5000*12+'Proposed Distribution Rates'!I9*5000*12</f>
        <v>743.99999999999966</v>
      </c>
    </row>
    <row r="10" spans="1:11" ht="9.75" customHeight="1" x14ac:dyDescent="0.2">
      <c r="C10" s="92"/>
      <c r="D10" s="93"/>
      <c r="E10" s="255"/>
    </row>
    <row r="11" spans="1:11" ht="25.5" x14ac:dyDescent="0.2">
      <c r="A11" s="10">
        <v>12</v>
      </c>
      <c r="C11" s="49" t="s">
        <v>264</v>
      </c>
      <c r="D11" s="65" t="s">
        <v>257</v>
      </c>
      <c r="E11" s="253">
        <f>E9/$E17</f>
        <v>2.8465568140601524E-2</v>
      </c>
      <c r="H11" s="51"/>
      <c r="I11" s="51"/>
      <c r="J11" s="51"/>
      <c r="K11" s="51"/>
    </row>
    <row r="12" spans="1:11" x14ac:dyDescent="0.2">
      <c r="A12" s="10">
        <v>13</v>
      </c>
      <c r="C12" s="13"/>
      <c r="E12" s="12"/>
    </row>
    <row r="13" spans="1:11" ht="25.5" x14ac:dyDescent="0.2">
      <c r="A13" s="10">
        <v>14</v>
      </c>
      <c r="C13" s="49" t="s">
        <v>288</v>
      </c>
      <c r="D13" s="65" t="s">
        <v>89</v>
      </c>
      <c r="E13" s="50">
        <f>+'Proposed Distribution Rates'!E26*1000*12+26.92*12</f>
        <v>2390.6400000000003</v>
      </c>
    </row>
    <row r="14" spans="1:11" ht="7.5" customHeight="1" x14ac:dyDescent="0.2">
      <c r="A14" s="10">
        <v>15</v>
      </c>
      <c r="C14" s="13"/>
      <c r="E14" s="12"/>
    </row>
    <row r="15" spans="1:11" ht="25.5" x14ac:dyDescent="0.2">
      <c r="A15" s="10">
        <v>16</v>
      </c>
      <c r="C15" s="49" t="s">
        <v>289</v>
      </c>
      <c r="D15" s="65" t="s">
        <v>256</v>
      </c>
      <c r="E15" s="50">
        <f>+'Proposed Distribution Rates'!E26*1000*12+24.57*12</f>
        <v>2362.4400000000005</v>
      </c>
    </row>
    <row r="16" spans="1:11" ht="7.5" customHeight="1" x14ac:dyDescent="0.2">
      <c r="A16" s="10">
        <v>17</v>
      </c>
      <c r="C16" s="13"/>
      <c r="E16" s="12"/>
    </row>
    <row r="17" spans="1:5" ht="25.5" x14ac:dyDescent="0.2">
      <c r="A17" s="10">
        <v>18</v>
      </c>
      <c r="C17" s="49" t="s">
        <v>290</v>
      </c>
      <c r="D17" s="65" t="s">
        <v>210</v>
      </c>
      <c r="E17" s="50">
        <f>2178.07*12</f>
        <v>26136.840000000004</v>
      </c>
    </row>
    <row r="18" spans="1:5" x14ac:dyDescent="0.2">
      <c r="C18" s="49"/>
      <c r="D18" s="65"/>
      <c r="E18" s="50"/>
    </row>
    <row r="19" spans="1:5" x14ac:dyDescent="0.2">
      <c r="C19" s="291"/>
      <c r="D19" s="85"/>
      <c r="E19" s="88"/>
    </row>
    <row r="20" spans="1:5" ht="38.25" x14ac:dyDescent="0.2">
      <c r="C20" s="53" t="s">
        <v>262</v>
      </c>
      <c r="D20" s="64" t="s">
        <v>260</v>
      </c>
      <c r="E20" s="54">
        <f>(10000*'Proposed Distribution Rates'!I10+20000*'Proposed Distribution Rates'!I11)*12</f>
        <v>1715.9999999999977</v>
      </c>
    </row>
    <row r="21" spans="1:5" x14ac:dyDescent="0.2">
      <c r="C21" s="285"/>
      <c r="D21" s="286"/>
      <c r="E21" s="287"/>
    </row>
    <row r="22" spans="1:5" ht="25.5" x14ac:dyDescent="0.2">
      <c r="C22" s="49" t="s">
        <v>291</v>
      </c>
      <c r="D22" s="65"/>
      <c r="E22" s="50">
        <v>59085.599999999999</v>
      </c>
    </row>
    <row r="23" spans="1:5" x14ac:dyDescent="0.2">
      <c r="C23" s="49"/>
      <c r="D23" s="65"/>
      <c r="E23" s="50"/>
    </row>
    <row r="24" spans="1:5" ht="25.5" x14ac:dyDescent="0.2">
      <c r="C24" s="288" t="s">
        <v>293</v>
      </c>
      <c r="D24" s="289"/>
      <c r="E24" s="290">
        <f>E20/E22</f>
        <v>2.9042609366749222E-2</v>
      </c>
    </row>
    <row r="25" spans="1:5" x14ac:dyDescent="0.2">
      <c r="C25" s="291"/>
      <c r="D25" s="85"/>
      <c r="E25" s="88"/>
    </row>
    <row r="26" spans="1:5" ht="25.5" x14ac:dyDescent="0.2">
      <c r="C26" s="53" t="s">
        <v>263</v>
      </c>
      <c r="D26" s="64" t="s">
        <v>261</v>
      </c>
      <c r="E26" s="54">
        <f>10000000*'Proposed Distribution Rates'!I12*12</f>
        <v>359999.99999999866</v>
      </c>
    </row>
    <row r="27" spans="1:5" x14ac:dyDescent="0.2">
      <c r="C27" s="49"/>
      <c r="D27" s="65"/>
      <c r="E27" s="50"/>
    </row>
    <row r="28" spans="1:5" ht="25.5" x14ac:dyDescent="0.2">
      <c r="C28" s="49" t="s">
        <v>292</v>
      </c>
      <c r="D28" s="65"/>
      <c r="E28" s="50">
        <v>12361320</v>
      </c>
    </row>
    <row r="29" spans="1:5" x14ac:dyDescent="0.2">
      <c r="C29" s="49"/>
      <c r="D29" s="65"/>
      <c r="E29" s="50"/>
    </row>
    <row r="30" spans="1:5" ht="25.5" x14ac:dyDescent="0.2">
      <c r="C30" s="288" t="s">
        <v>294</v>
      </c>
      <c r="D30" s="289"/>
      <c r="E30" s="290">
        <f>E26/E28</f>
        <v>2.9123103357893709E-2</v>
      </c>
    </row>
  </sheetData>
  <mergeCells count="1">
    <mergeCell ref="C1:E1"/>
  </mergeCells>
  <printOptions horizontalCentered="1"/>
  <pageMargins left="0.7" right="0.2" top="0.75" bottom="0.5" header="0.3" footer="0.3"/>
  <pageSetup scale="92" orientation="portrait" r:id="rId1"/>
  <headerFooter>
    <oddHeader>&amp;R&amp;"Arial,Bold"&amp;10Appendix D</oddHeader>
    <oddFooter>&amp;C&amp;"Arial,Regular"Page &amp;P of 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1 xmlns="bb9f5cce-8978-4b57-8055-abe6ee7aa763">&lt;div&gt;&lt;/div&gt;</Notes1>
    <TopicTaxHTField0 xmlns="bb9f5cce-8978-4b57-8055-abe6ee7aa7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Capital Budget</TermName>
          <TermId xmlns="http://schemas.microsoft.com/office/infopath/2007/PartnerControls">15af5c68-45dc-4e11-9226-78ef5575ef40</TermId>
        </TermInfo>
      </Terms>
    </TopicTaxHTField0>
    <Support_x0020_Published_x0020_Document_x0020_Type xmlns="bb9f5cce-8978-4b57-8055-abe6ee7aa763" xsi:nil="true"/>
    <Support_x0020_Status xmlns="bb9f5cce-8978-4b57-8055-abe6ee7aa763" xsi:nil="true"/>
    <TaxCatchAll xmlns="bb9f5cce-8978-4b57-8055-abe6ee7aa763"/>
    <Support_x0020_Document_x0020_Type xmlns="bb9f5cce-8978-4b57-8055-abe6ee7aa763" xsi:nil="true"/>
    <Project xmlns="bb9f5cce-8978-4b57-8055-abe6ee7aa763">2015 NP Capital Budget Application</Project>
    <IconOverlay xmlns="http://schemas.microsoft.com/sharepoint/v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upport Document" ma:contentTypeID="0x01010087DDA8BE470AFE4993BEDB69BC0B40F60204008ED646A0F676D44299F4CFCF69A57B76" ma:contentTypeVersion="1" ma:contentTypeDescription="" ma:contentTypeScope="" ma:versionID="8df41919a11eb5603495b83bcb7e50c8">
  <xsd:schema xmlns:xsd="http://www.w3.org/2001/XMLSchema" xmlns:xs="http://www.w3.org/2001/XMLSchema" xmlns:p="http://schemas.microsoft.com/office/2006/metadata/properties" xmlns:ns2="bb9f5cce-8978-4b57-8055-abe6ee7aa763" xmlns:ns4="http://schemas.microsoft.com/sharepoint/v4" targetNamespace="http://schemas.microsoft.com/office/2006/metadata/properties" ma:root="true" ma:fieldsID="ac91c86d9785daf55e2a266f924ee993" ns2:_="" ns4:_="">
    <xsd:import namespace="bb9f5cce-8978-4b57-8055-abe6ee7aa76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Project" minOccurs="0"/>
                <xsd:element ref="ns2:Support_x0020_Status" minOccurs="0"/>
                <xsd:element ref="ns2:Support_x0020_Document_x0020_Type" minOccurs="0"/>
                <xsd:element ref="ns2:Notes1" minOccurs="0"/>
                <xsd:element ref="ns2:Support_x0020_Published_x0020_Document_x0020_Type" minOccurs="0"/>
                <xsd:element ref="ns2:TopicTaxHTField0" minOccurs="0"/>
                <xsd:element ref="ns2:TaxCatchAll" minOccurs="0"/>
                <xsd:element ref="ns2:TaxCatchAllLabe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f5cce-8978-4b57-8055-abe6ee7aa763" elementFormDefault="qualified">
    <xsd:import namespace="http://schemas.microsoft.com/office/2006/documentManagement/types"/>
    <xsd:import namespace="http://schemas.microsoft.com/office/infopath/2007/PartnerControls"/>
    <xsd:element name="Project" ma:index="2" nillable="true" ma:displayName="Project" ma:internalName="Project" ma:readOnly="false">
      <xsd:simpleType>
        <xsd:restriction base="dms:Text">
          <xsd:maxLength value="255"/>
        </xsd:restriction>
      </xsd:simpleType>
    </xsd:element>
    <xsd:element name="Support_x0020_Status" ma:index="3" nillable="true" ma:displayName="Support Status" ma:format="Dropdown" ma:internalName="Support_x0020_Status">
      <xsd:simpleType>
        <xsd:restriction base="dms:Choice">
          <xsd:enumeration value="Draft"/>
          <xsd:enumeration value="Final"/>
        </xsd:restriction>
      </xsd:simpleType>
    </xsd:element>
    <xsd:element name="Support_x0020_Document_x0020_Type" ma:index="4" nillable="true" ma:displayName="Support Document Type" ma:format="Dropdown" ma:internalName="Support_x0020_Document_x0020_Type0">
      <xsd:simpleType>
        <xsd:restriction base="dms:Choice">
          <xsd:enumeration value="QA"/>
          <xsd:enumeration value="Work"/>
        </xsd:restriction>
      </xsd:simpleType>
    </xsd:element>
    <xsd:element name="Notes1" ma:index="6" nillable="true" ma:displayName="Notes" ma:internalName="Notes1">
      <xsd:simpleType>
        <xsd:restriction base="dms:Note">
          <xsd:maxLength value="255"/>
        </xsd:restriction>
      </xsd:simpleType>
    </xsd:element>
    <xsd:element name="Support_x0020_Published_x0020_Document_x0020_Type" ma:index="7" nillable="true" ma:displayName="Support Published Document Type" ma:format="Dropdown" ma:internalName="Support_x0020_Published_x0020_Document_x0020_Type0">
      <xsd:simpleType>
        <xsd:restriction base="dms:Choice">
          <xsd:enumeration value="Application"/>
          <xsd:enumeration value="Board Order"/>
          <xsd:enumeration value="Consent"/>
          <xsd:enumeration value="Correspondence"/>
          <xsd:enumeration value="Evidence"/>
          <xsd:enumeration value="Information Items"/>
          <xsd:enumeration value="Report"/>
          <xsd:enumeration value="RFI"/>
          <xsd:enumeration value="Submission"/>
          <xsd:enumeration value="Transcript"/>
          <xsd:enumeration value="Undertakings"/>
        </xsd:restriction>
      </xsd:simpleType>
    </xsd:element>
    <xsd:element name="TopicTaxHTField0" ma:index="13" nillable="true" ma:taxonomy="true" ma:internalName="TopicTaxHTField0" ma:taxonomyFieldName="Topic" ma:displayName="Topic" ma:default="" ma:fieldId="{558ad66f-b089-4a3a-8feb-a9e41c7aed94}" ma:sspId="54dc7821-0d06-4c55-90f8-b86f231f40bc" ma:termSetId="62ab2a1e-220b-4075-9d06-763b2e80dea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fab70330-8919-4d01-9590-b96f69c7c55d}" ma:internalName="TaxCatchAll" ma:showField="CatchAllData" ma:web="bb9f5cce-8978-4b57-8055-abe6ee7aa7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description="" ma:hidden="true" ma:list="{fab70330-8919-4d01-9590-b96f69c7c55d}" ma:internalName="TaxCatchAllLabel" ma:readOnly="true" ma:showField="CatchAllDataLabel" ma:web="bb9f5cce-8978-4b57-8055-abe6ee7aa7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A3A58E-1CEC-48D4-801D-E8A90FB99826}">
  <ds:schemaRefs>
    <ds:schemaRef ds:uri="bb9f5cce-8978-4b57-8055-abe6ee7aa763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1AD408-CA0E-4AD2-A5D1-FD4AB058C3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B83127-A4CD-41DE-B31E-DE7C4D383B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f5cce-8978-4b57-8055-abe6ee7aa76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Total Annual Impact</vt:lpstr>
      <vt:lpstr>Annual Depreciation and CCA</vt:lpstr>
      <vt:lpstr> Depreciation</vt:lpstr>
      <vt:lpstr>Amortization</vt:lpstr>
      <vt:lpstr>Income Taxes</vt:lpstr>
      <vt:lpstr>Rate Base &amp; Cost Capital</vt:lpstr>
      <vt:lpstr>Revenue Requirement</vt:lpstr>
      <vt:lpstr>Proposed Distribution Rates</vt:lpstr>
      <vt:lpstr>Distribution Rate Impact</vt:lpstr>
      <vt:lpstr>Retirements</vt:lpstr>
      <vt:lpstr>' Depreciation'!Print_Area</vt:lpstr>
      <vt:lpstr>Amortization!Print_Area</vt:lpstr>
      <vt:lpstr>'Distribution Rate Impact'!Print_Area</vt:lpstr>
      <vt:lpstr>'Income Taxes'!Print_Area</vt:lpstr>
      <vt:lpstr>'Rate Base &amp; Cost Capital'!Print_Area</vt:lpstr>
      <vt:lpstr>'Revenue Requirement'!Print_Area</vt:lpstr>
    </vt:vector>
  </TitlesOfParts>
  <Company>Newfoundland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bmcdonal</dc:creator>
  <cp:lastModifiedBy>Cheryl Bradley</cp:lastModifiedBy>
  <cp:lastPrinted>2023-06-16T11:52:09Z</cp:lastPrinted>
  <dcterms:created xsi:type="dcterms:W3CDTF">2011-08-08T16:27:12Z</dcterms:created>
  <dcterms:modified xsi:type="dcterms:W3CDTF">2026-07-17T02:16:12Z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0x01010087DDA8BE470AFE4993BEDB69BC0B40F60204008ED646A0F676D44299F4CFCF69A57B76</vt:lpwstr>
  </property>
  <property fmtid="{D5CDD505-2E9C-101B-9397-08002B2CF9AE}" pid="3" name="Topic">
    <vt:lpwstr>53</vt:lpwstr>
  </property>
</Properties>
</file>