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920" activeTab="0"/>
  </bookViews>
  <sheets>
    <sheet name="Financial Statements" sheetId="1" r:id="rId1"/>
    <sheet name="Revenue" sheetId="2" r:id="rId2"/>
    <sheet name="Admin Exp" sheetId="3" r:id="rId3"/>
    <sheet name="Adv, edu &amp; PR" sheetId="4" r:id="rId4"/>
    <sheet name="Residental Exp" sheetId="5" r:id="rId5"/>
    <sheet name="Disposal Exp" sheetId="6" r:id="rId6"/>
    <sheet name="Contracts" sheetId="7" r:id="rId7"/>
    <sheet name="Int on LTD" sheetId="8" r:id="rId8"/>
    <sheet name="Capital Assets" sheetId="9" r:id="rId9"/>
  </sheets>
  <externalReferences>
    <externalReference r:id="rId12"/>
    <externalReference r:id="rId13"/>
    <externalReference r:id="rId14"/>
  </externalReferences>
  <definedNames>
    <definedName name="_xlnm.Print_Area" localSheetId="2">'Admin Exp'!$A$1:$H$46</definedName>
    <definedName name="_xlnm.Print_Area" localSheetId="3">'Adv, edu &amp; PR'!$A$1:$I$13</definedName>
    <definedName name="_xlnm.Print_Area" localSheetId="8">'Capital Assets'!$A$5:$P$116</definedName>
    <definedName name="_xlnm.Print_Area" localSheetId="6">'Contracts'!$A$1:$J$48</definedName>
    <definedName name="_xlnm.Print_Area" localSheetId="5">'Disposal Exp'!$A$1:$J$80</definedName>
    <definedName name="_xlnm.Print_Area" localSheetId="0">'Financial Statements'!$A$4:$G$38</definedName>
    <definedName name="_xlnm.Print_Area" localSheetId="7">'Int on LTD'!$A$1:$F$13</definedName>
    <definedName name="_xlnm.Print_Area" localSheetId="4">'Residental Exp'!$A$1:$H$16</definedName>
    <definedName name="_xlnm.Print_Area" localSheetId="1">'Revenue'!$A$1:$J$52</definedName>
    <definedName name="_xlnm.Print_Titles" localSheetId="5">'Disposal Exp'!$3:$4</definedName>
  </definedNames>
  <calcPr fullCalcOnLoad="1"/>
</workbook>
</file>

<file path=xl/comments3.xml><?xml version="1.0" encoding="utf-8"?>
<comments xmlns="http://schemas.openxmlformats.org/spreadsheetml/2006/main">
  <authors>
    <author>Sheri Taylor-Bradley</author>
  </authors>
  <commentList>
    <comment ref="D14" authorId="0">
      <text>
        <r>
          <rPr>
            <b/>
            <sz val="9"/>
            <rFont val="Tahoma"/>
            <family val="2"/>
          </rPr>
          <t>Sheri Taylor-Bradley:</t>
        </r>
        <r>
          <rPr>
            <sz val="9"/>
            <rFont val="Tahoma"/>
            <family val="2"/>
          </rPr>
          <t xml:space="preserve">
reduced by $34k - Gunay's consulting exp, NAB invoice in prior yr $4k &amp; Lynn $4k (replacing Sandy while she was on vacation)
plus strategic plan $50k)
</t>
        </r>
      </text>
    </comment>
    <comment ref="D16" authorId="0">
      <text>
        <r>
          <rPr>
            <b/>
            <sz val="9"/>
            <rFont val="Tahoma"/>
            <family val="2"/>
          </rPr>
          <t>Sheri Taylor-Bradley:</t>
        </r>
        <r>
          <rPr>
            <sz val="9"/>
            <rFont val="Tahoma"/>
            <family val="2"/>
          </rPr>
          <t xml:space="preserve">
prior yr $819,100+
wcb $66k
honor $4500
Karen 1.5 mnths not on prior yr $27k
Krissy full yr $30k
less Gerry's prior yr salary $69,295
plus Gerry's current yr severance $140k
less Gerry's retirement accural $104k
plus new HR person $65k
total $948,300*1.75%=
$995,425
</t>
        </r>
      </text>
    </comment>
    <comment ref="E14" authorId="0">
      <text>
        <r>
          <rPr>
            <b/>
            <sz val="9"/>
            <rFont val="Tahoma"/>
            <family val="2"/>
          </rPr>
          <t xml:space="preserve">Sheri Taylor-Bradley:
</t>
        </r>
        <r>
          <rPr>
            <sz val="9"/>
            <rFont val="Tahoma"/>
            <family val="2"/>
          </rPr>
          <t xml:space="preserve">backed out $50k for strategic plan in previous yr
</t>
        </r>
      </text>
    </comment>
  </commentList>
</comments>
</file>

<file path=xl/comments6.xml><?xml version="1.0" encoding="utf-8"?>
<comments xmlns="http://schemas.openxmlformats.org/spreadsheetml/2006/main">
  <authors>
    <author>Sheri Taylor-Bradley</author>
  </authors>
  <commentList>
    <comment ref="F50" authorId="0">
      <text>
        <r>
          <rPr>
            <b/>
            <sz val="9"/>
            <rFont val="Tahoma"/>
            <family val="2"/>
          </rPr>
          <t>Sheri Taylor-Bradley:</t>
        </r>
        <r>
          <rPr>
            <sz val="9"/>
            <rFont val="Tahoma"/>
            <family val="2"/>
          </rPr>
          <t xml:space="preserve">
projected prior year less CCF study expenditure of $107k plus 2% COL
</t>
        </r>
      </text>
    </comment>
  </commentList>
</comments>
</file>

<file path=xl/sharedStrings.xml><?xml version="1.0" encoding="utf-8"?>
<sst xmlns="http://schemas.openxmlformats.org/spreadsheetml/2006/main" count="640" uniqueCount="291">
  <si>
    <t>ISLAND WASTE MANAGEMENT CORPORATION</t>
  </si>
  <si>
    <t>Decommissioning and monitoring</t>
  </si>
  <si>
    <t>Other</t>
  </si>
  <si>
    <t>Advertising, education and PR</t>
  </si>
  <si>
    <t>Operating costs</t>
  </si>
  <si>
    <t>Earnings before dep'n and interest</t>
  </si>
  <si>
    <t>Interest on long-term debt</t>
  </si>
  <si>
    <t>EXPENDITURES</t>
  </si>
  <si>
    <t>Actual</t>
  </si>
  <si>
    <t>Collection contracts</t>
  </si>
  <si>
    <t xml:space="preserve">   - Compost and waste</t>
  </si>
  <si>
    <t xml:space="preserve">   - Recyclables</t>
  </si>
  <si>
    <t xml:space="preserve">   - Vehicles and supplies</t>
  </si>
  <si>
    <t>Total Residential Collection</t>
  </si>
  <si>
    <t xml:space="preserve"> </t>
  </si>
  <si>
    <t>Advertising</t>
  </si>
  <si>
    <t>Education</t>
  </si>
  <si>
    <t>Public Relations</t>
  </si>
  <si>
    <t>Charlottetown Office</t>
  </si>
  <si>
    <t>Dues and memberships</t>
  </si>
  <si>
    <t>Insurance</t>
  </si>
  <si>
    <t>Interest and bank charges</t>
  </si>
  <si>
    <t>Office equipment</t>
  </si>
  <si>
    <t>Office supplies</t>
  </si>
  <si>
    <t>Miscellaneous</t>
  </si>
  <si>
    <t>Repairs and maintenance</t>
  </si>
  <si>
    <t>Rent</t>
  </si>
  <si>
    <t>Telephone</t>
  </si>
  <si>
    <t>Travel</t>
  </si>
  <si>
    <t>Utilities</t>
  </si>
  <si>
    <t>Customer Service</t>
  </si>
  <si>
    <t>Disposal Fee Program</t>
  </si>
  <si>
    <t>Supplies</t>
  </si>
  <si>
    <t>Total Administration</t>
  </si>
  <si>
    <t>East Prince Waste Management Facility</t>
  </si>
  <si>
    <t>Accretion</t>
  </si>
  <si>
    <t>Equipment rental</t>
  </si>
  <si>
    <t>Gas and oil</t>
  </si>
  <si>
    <t>Hazardous waste</t>
  </si>
  <si>
    <t>Leachate disposal</t>
  </si>
  <si>
    <t>Office and miscellaneous</t>
  </si>
  <si>
    <t>Security</t>
  </si>
  <si>
    <t>Travel and conferences</t>
  </si>
  <si>
    <t>Queen's County Regional Landfill</t>
  </si>
  <si>
    <t>Energy from Waste</t>
  </si>
  <si>
    <t>Fly Ash disposal</t>
  </si>
  <si>
    <t>Repairs and maintenance - scale</t>
  </si>
  <si>
    <t>Scale house supplies</t>
  </si>
  <si>
    <t>Central Composting Facility</t>
  </si>
  <si>
    <t>Contract</t>
  </si>
  <si>
    <t>Property tax</t>
  </si>
  <si>
    <t>Waste Watch Drop-off Centers</t>
  </si>
  <si>
    <t>Blue bag disposal</t>
  </si>
  <si>
    <t xml:space="preserve">Household Hazardous Waste </t>
  </si>
  <si>
    <t>Materials and supplies</t>
  </si>
  <si>
    <t>Signage</t>
  </si>
  <si>
    <t>Transportation of Material</t>
  </si>
  <si>
    <t>Motor vehicle</t>
  </si>
  <si>
    <t>Total Disposal</t>
  </si>
  <si>
    <t>HOUSEHOLD USER FEES</t>
  </si>
  <si>
    <t>DISPOSAL FEES</t>
  </si>
  <si>
    <t>Total Advertising, education and PR</t>
  </si>
  <si>
    <t>RESIDENTIAL COLLECTION</t>
  </si>
  <si>
    <t>SUMMARY OF CONTRACTS</t>
  </si>
  <si>
    <t>Carbon</t>
  </si>
  <si>
    <t>Confidential &amp; Contaminated</t>
  </si>
  <si>
    <t>Projected</t>
  </si>
  <si>
    <t>Miscellaneous &amp; Ashpalt shingles</t>
  </si>
  <si>
    <t>Total</t>
  </si>
  <si>
    <t>Fuel</t>
  </si>
  <si>
    <t>Supplies and materials (includes woodchips)</t>
  </si>
  <si>
    <t>Island Waste Management Corporation</t>
  </si>
  <si>
    <t>Capital Asset Depreciation Schedule</t>
  </si>
  <si>
    <t>Adjusted</t>
  </si>
  <si>
    <t>Cost</t>
  </si>
  <si>
    <t>A/D</t>
  </si>
  <si>
    <t>A/D on</t>
  </si>
  <si>
    <t>NBV</t>
  </si>
  <si>
    <t>Description</t>
  </si>
  <si>
    <t>Rate</t>
  </si>
  <si>
    <t>Additions</t>
  </si>
  <si>
    <t>Disposals</t>
  </si>
  <si>
    <t>Land</t>
  </si>
  <si>
    <t>Compost facility - land</t>
  </si>
  <si>
    <t>WWDC land</t>
  </si>
  <si>
    <t xml:space="preserve">Cart storage </t>
  </si>
  <si>
    <t>HHW Buildings</t>
  </si>
  <si>
    <t>Landfill cells</t>
  </si>
  <si>
    <t>Landfill cells retirement **</t>
  </si>
  <si>
    <t>Leachate</t>
  </si>
  <si>
    <t>EPWMF landfill cell #3</t>
  </si>
  <si>
    <t>EPWMF landfill cell #4 *</t>
  </si>
  <si>
    <t>Compost facility</t>
  </si>
  <si>
    <t>WWDC's</t>
  </si>
  <si>
    <t>WWDC - Brockton</t>
  </si>
  <si>
    <t>WWDC - EPWMF</t>
  </si>
  <si>
    <t>WWDC - Dingwells Mills</t>
  </si>
  <si>
    <t>WWDC - Murray River</t>
  </si>
  <si>
    <t>WWDC - New London</t>
  </si>
  <si>
    <t>Waste and compost carts</t>
  </si>
  <si>
    <t>Recycling containers</t>
  </si>
  <si>
    <t>Site equipment</t>
  </si>
  <si>
    <t>Equipment - WA</t>
  </si>
  <si>
    <t>Compactor - WA ^</t>
  </si>
  <si>
    <t>Scales - WA</t>
  </si>
  <si>
    <t>Scales - EW</t>
  </si>
  <si>
    <t>Containers - All sites</t>
  </si>
  <si>
    <t>Equipment - All sites</t>
  </si>
  <si>
    <t>Motor vehicles</t>
  </si>
  <si>
    <t>Motor vehicles - CH</t>
  </si>
  <si>
    <t>Motor vehicles - MV</t>
  </si>
  <si>
    <t>Office equipment - CS</t>
  </si>
  <si>
    <t>Office equipment - DF</t>
  </si>
  <si>
    <t>Office equipment - WA</t>
  </si>
  <si>
    <t>Office equipment - CH</t>
  </si>
  <si>
    <t>Office equipment - CF</t>
  </si>
  <si>
    <t>Scale equipment - DF</t>
  </si>
  <si>
    <t>Computer equipment</t>
  </si>
  <si>
    <t>Computer equipment - CS</t>
  </si>
  <si>
    <t>Computer equipment - DF</t>
  </si>
  <si>
    <t>Computer equipment - WA</t>
  </si>
  <si>
    <t>Computer equipment - CH</t>
  </si>
  <si>
    <t>Computer equipment - CF</t>
  </si>
  <si>
    <t>Computer software</t>
  </si>
  <si>
    <t>Computer software - CS</t>
  </si>
  <si>
    <t>Computer software - DF</t>
  </si>
  <si>
    <t>Computer software - CH</t>
  </si>
  <si>
    <t>Trux software</t>
  </si>
  <si>
    <t>Signage - WA</t>
  </si>
  <si>
    <t>Signage - CH</t>
  </si>
  <si>
    <t>Leasehold improvements</t>
  </si>
  <si>
    <t>Leasehold improvements - CS</t>
  </si>
  <si>
    <t>Leasehold improvements - CH</t>
  </si>
  <si>
    <t>Total Capital Assets</t>
  </si>
  <si>
    <t>Dep'n</t>
  </si>
  <si>
    <t>INTEREST ON LONG-TERM DEBT</t>
  </si>
  <si>
    <t>Increase</t>
  </si>
  <si>
    <t>March 31, 2011</t>
  </si>
  <si>
    <t>Scalehouse - EPWMF</t>
  </si>
  <si>
    <t>Scalehouse - PEI ES</t>
  </si>
  <si>
    <t>Fence</t>
  </si>
  <si>
    <t>110 Watts Ave</t>
  </si>
  <si>
    <t>EPWMF landfill cell #5</t>
  </si>
  <si>
    <t>Leachate facitlity</t>
  </si>
  <si>
    <t>Buildings over 25 ys (17 remaining)</t>
  </si>
  <si>
    <t>Equipment over 25 yrs (17 remaining)</t>
  </si>
  <si>
    <t>Equipment over 20 yrs (12 remaining)</t>
  </si>
  <si>
    <t>Equipment over 15 yrs (7 remaining)</t>
  </si>
  <si>
    <t>Equipment over 10 yrs (2 remaining)</t>
  </si>
  <si>
    <t>Assumption</t>
  </si>
  <si>
    <t xml:space="preserve">Explanation for </t>
  </si>
  <si>
    <t>COL assumption</t>
  </si>
  <si>
    <t>see below</t>
  </si>
  <si>
    <t>Contaminated Soil</t>
  </si>
  <si>
    <t>Cover Material</t>
  </si>
  <si>
    <t>2019/20</t>
  </si>
  <si>
    <t>2020/21</t>
  </si>
  <si>
    <t>2021/22</t>
  </si>
  <si>
    <t>2022/23</t>
  </si>
  <si>
    <t>2023/24</t>
  </si>
  <si>
    <t>2024/25</t>
  </si>
  <si>
    <t>Sign - EPWMF</t>
  </si>
  <si>
    <t>Landfill expansion</t>
  </si>
  <si>
    <t>Landfill elevation project</t>
  </si>
  <si>
    <t>EPWMF landfill cell #6</t>
  </si>
  <si>
    <t>Equipment over 10 years</t>
  </si>
  <si>
    <t>Equipment over 5 years</t>
  </si>
  <si>
    <t>Scales - G'Isle (S'side)</t>
  </si>
  <si>
    <t>Equipment - WW</t>
  </si>
  <si>
    <t>Computer server - CH</t>
  </si>
  <si>
    <t>EPWMF - Land</t>
  </si>
  <si>
    <t>Compost &amp; Waste Contracts</t>
  </si>
  <si>
    <t>Depreciation</t>
  </si>
  <si>
    <t>Cart write-offs and storage</t>
  </si>
  <si>
    <t>Buildings/Sign/Fence</t>
  </si>
  <si>
    <t>Recyclable Contracts (June)</t>
  </si>
  <si>
    <t>Central Compost Facility</t>
  </si>
  <si>
    <t>Website Design</t>
  </si>
  <si>
    <t>Scotia Capital - due Dec 2027</t>
  </si>
  <si>
    <t>based on below calculations</t>
  </si>
  <si>
    <t>COL - Cost of Living</t>
  </si>
  <si>
    <t xml:space="preserve">Miscellaneous </t>
  </si>
  <si>
    <t>Counts @ March 31/21</t>
  </si>
  <si>
    <t xml:space="preserve">Rate </t>
  </si>
  <si>
    <t xml:space="preserve">Household user fees </t>
  </si>
  <si>
    <t xml:space="preserve">Disposal fees </t>
  </si>
  <si>
    <t>Administration</t>
  </si>
  <si>
    <t xml:space="preserve">Advertising, education and PR </t>
  </si>
  <si>
    <t xml:space="preserve">  Residental collection</t>
  </si>
  <si>
    <t xml:space="preserve">  Disposal </t>
  </si>
  <si>
    <t xml:space="preserve">HOUSEHOLD USER FEE REVENUE </t>
  </si>
  <si>
    <t xml:space="preserve">ADMINISTRATION </t>
  </si>
  <si>
    <t>DISPOSAL FEE REVENUE</t>
  </si>
  <si>
    <t xml:space="preserve">ADVERTISING, EDUCATION AND PUBLIC RELATIONS </t>
  </si>
  <si>
    <t>DISPOSAL EXPENSES</t>
  </si>
  <si>
    <t>Mattresses</t>
  </si>
  <si>
    <t>Salaries and benefits</t>
  </si>
  <si>
    <t>Wages and benefits</t>
  </si>
  <si>
    <t xml:space="preserve">   - Wages and benefits</t>
  </si>
  <si>
    <t>Wages  and benefits</t>
  </si>
  <si>
    <t xml:space="preserve">GreenIsle Environmental </t>
  </si>
  <si>
    <t>Signage expense</t>
  </si>
  <si>
    <t>Emmission testing</t>
  </si>
  <si>
    <t>15% increase; prior yr to current year projecting 16.75%; two years ago increase 24.6%</t>
  </si>
  <si>
    <t xml:space="preserve">2% increase each year </t>
  </si>
  <si>
    <t>2% increase each year</t>
  </si>
  <si>
    <t>2% increase each year; corresponds to expense below</t>
  </si>
  <si>
    <t>per Interest on LTD tab (as per individual loan amortization schedules)</t>
  </si>
  <si>
    <t>Professional fees &amp; consulting</t>
  </si>
  <si>
    <t>COL assumption; testing every other year. One sch'ed for winter 2022</t>
  </si>
  <si>
    <t>HUF - Direct invoicing, refunds/adj and cart revenue</t>
  </si>
  <si>
    <t>as per contract increase - consider disclosing on tab with details</t>
  </si>
  <si>
    <t>2% increase</t>
  </si>
  <si>
    <t>.</t>
  </si>
  <si>
    <t>2% increase in household counts</t>
  </si>
  <si>
    <t>2% increase in cottage counts</t>
  </si>
  <si>
    <t>2% increase in extended cottage counts</t>
  </si>
  <si>
    <t>2% increase same as below revenue</t>
  </si>
  <si>
    <t xml:space="preserve">As per analysis 2021/22 Cost Allocation tab Household Counts, projecting 2.5% to March 31/22. Therefore in </t>
  </si>
  <si>
    <t>above projection split the differene and used 2%</t>
  </si>
  <si>
    <t xml:space="preserve">Note: used 2% increase for Household User Fees Revenue.  PEI Population Projection indicated 2021-2025 1.55% - 1.5% increase. </t>
  </si>
  <si>
    <t>see capital asset tab</t>
  </si>
  <si>
    <t>projected $1.46 litre (therefore 146 - 115 x 700)</t>
  </si>
  <si>
    <r>
      <rPr>
        <b/>
        <sz val="10"/>
        <rFont val="Arial"/>
        <family val="2"/>
      </rPr>
      <t>East Prince</t>
    </r>
    <r>
      <rPr>
        <sz val="10"/>
        <rFont val="Arial"/>
        <family val="2"/>
      </rPr>
      <t xml:space="preserve"> (August) - contract pmt</t>
    </r>
  </si>
  <si>
    <r>
      <rPr>
        <b/>
        <sz val="10"/>
        <rFont val="Arial"/>
        <family val="2"/>
      </rPr>
      <t>West Prince</t>
    </r>
    <r>
      <rPr>
        <sz val="10"/>
        <rFont val="Arial"/>
        <family val="2"/>
      </rPr>
      <t xml:space="preserve"> (August) - contract pmt</t>
    </r>
  </si>
  <si>
    <r>
      <rPr>
        <b/>
        <sz val="10"/>
        <rFont val="Arial"/>
        <family val="2"/>
      </rPr>
      <t xml:space="preserve">Capital </t>
    </r>
    <r>
      <rPr>
        <sz val="10"/>
        <rFont val="Arial"/>
        <family val="2"/>
      </rPr>
      <t>(October) - contract pmt</t>
    </r>
  </si>
  <si>
    <r>
      <rPr>
        <b/>
        <sz val="10"/>
        <rFont val="Arial"/>
        <family val="2"/>
      </rPr>
      <t xml:space="preserve">Central </t>
    </r>
    <r>
      <rPr>
        <sz val="10"/>
        <rFont val="Arial"/>
        <family val="2"/>
      </rPr>
      <t>(October) - contract pmt</t>
    </r>
  </si>
  <si>
    <r>
      <rPr>
        <b/>
        <sz val="10"/>
        <rFont val="Arial"/>
        <family val="2"/>
      </rPr>
      <t>Eastern Kings</t>
    </r>
    <r>
      <rPr>
        <sz val="10"/>
        <rFont val="Arial"/>
        <family val="2"/>
      </rPr>
      <t xml:space="preserve"> (October) - contract pmt</t>
    </r>
  </si>
  <si>
    <r>
      <rPr>
        <b/>
        <sz val="10"/>
        <rFont val="Arial"/>
        <family val="2"/>
      </rPr>
      <t xml:space="preserve">Southern Kings </t>
    </r>
    <r>
      <rPr>
        <sz val="10"/>
        <rFont val="Arial"/>
        <family val="2"/>
      </rPr>
      <t>(October) - contract pmt</t>
    </r>
  </si>
  <si>
    <t>Fuel Benchmark</t>
  </si>
  <si>
    <t>$</t>
  </si>
  <si>
    <t>Minimum Wage Indexing (($12.85-$11.55) x $1.25 x 10,400 x 21 wks/52wks)+($13.00-$11.55) x $1.25 x 10,400 x 31 wks/52wks))</t>
  </si>
  <si>
    <t>Residential pickup at Commerical rates</t>
  </si>
  <si>
    <t xml:space="preserve">Saturday morning Drop Off chrg </t>
  </si>
  <si>
    <t>Increase in monthly payment for fuel adjustment</t>
  </si>
  <si>
    <t>no price increase but projected 2% increase in housing counts for 2022/23 onward</t>
  </si>
  <si>
    <t>contract price increases 1.7% annually &amp; projecting 2% in housing counts</t>
  </si>
  <si>
    <t>Saturday morning - 52 Annual Drop off &amp; Haul Locations - per contract price.</t>
  </si>
  <si>
    <t>projected $1.50 litre (therefore 150 - 138.6 x 900)</t>
  </si>
  <si>
    <t>projected $1.50 litre (therefore 150 - 129.78 x 600)</t>
  </si>
  <si>
    <t>projected $1.50 litre (therefore 150 - 136.2 x 600)</t>
  </si>
  <si>
    <t>projected $1.50 litre (therefore 150 - 127.9 x 500)</t>
  </si>
  <si>
    <t>projected $1.50 litre (therefore 150 - 134.3 x 1000)</t>
  </si>
  <si>
    <t>above 134.3 or below 121.5 / 1000</t>
  </si>
  <si>
    <t>above 136.2 or below 123.2 / 600</t>
  </si>
  <si>
    <t>above 138.6 or below 125.4 / 900</t>
  </si>
  <si>
    <t>above 115 / 700</t>
  </si>
  <si>
    <t>above 127.9 or below 115.7 / 500</t>
  </si>
  <si>
    <t>West Pince</t>
  </si>
  <si>
    <t>East Prince</t>
  </si>
  <si>
    <t>Central</t>
  </si>
  <si>
    <t>Capital</t>
  </si>
  <si>
    <t>Eastern</t>
  </si>
  <si>
    <t xml:space="preserve">Minimum Wage Indexing (($12.85-$11.55) x $1.215 x 92,430 x 39wks/52wks)+($13-$11.55) x $1.215 x 92,430 x 13wks/52wks)) </t>
  </si>
  <si>
    <t>based on contract price &amp; projecting 2% increase in housing counts for 2022/23 onward</t>
  </si>
  <si>
    <t>no annual increase, as per agreement</t>
  </si>
  <si>
    <t>***** it has been projected that assets that have been fully depreciated will be replaced</t>
  </si>
  <si>
    <t>insurance costs on the rise; last 3 yrs increase 9.5%, 20% &amp; 30%. Projected at 20% as per Risk Management</t>
  </si>
  <si>
    <t>only one shipment in 2021/22, two projected for 2022/23 and 2% thereafter</t>
  </si>
  <si>
    <t xml:space="preserve">per discussion with Risk Assessment project 20% for 2022/23. Used same 20% increase as well thereafter. </t>
  </si>
  <si>
    <t>HUF - through Property Taxes</t>
  </si>
  <si>
    <t>Brockton WWDC</t>
  </si>
  <si>
    <t>Murray River WWDC</t>
  </si>
  <si>
    <t>Dingwells Mills WWDC</t>
  </si>
  <si>
    <t>New London WWDC</t>
  </si>
  <si>
    <t>Year round Counts @ March 31</t>
  </si>
  <si>
    <t>Year round Rate</t>
  </si>
  <si>
    <t>Seasonal Counts @ March 31</t>
  </si>
  <si>
    <t>Seasonal Rate</t>
  </si>
  <si>
    <t>Extended Seasonal Counts @ March 31</t>
  </si>
  <si>
    <t>Extended Seasonal Rate</t>
  </si>
  <si>
    <t>see Revenue tab</t>
  </si>
  <si>
    <t>see Admin tab</t>
  </si>
  <si>
    <t>see Adv, ed &amp; PR tab</t>
  </si>
  <si>
    <t>see Residential tab</t>
  </si>
  <si>
    <t>see Disposal tab</t>
  </si>
  <si>
    <t>Operational Support Technicians</t>
  </si>
  <si>
    <t>see contacts tab</t>
  </si>
  <si>
    <t>REVENUES</t>
  </si>
  <si>
    <t>Excess of Expenditures over Revenues</t>
  </si>
  <si>
    <t>Net Assets - beginning of year</t>
  </si>
  <si>
    <t>Net Assets - end of year</t>
  </si>
  <si>
    <t>(2022/23 1.75%; 2023/24 1.37% - per Prov) &amp; 2% thereafter</t>
  </si>
  <si>
    <t>Province Loan  #1 ($772k) - due Jan 2022 (compactor)</t>
  </si>
  <si>
    <t>Province Loan #2 ($600k) - due June 2022 (screener)</t>
  </si>
  <si>
    <t>Province Loan #3 ($251,622) - due Nov 2025 (loader)</t>
  </si>
  <si>
    <t>Province Loan - Operational Loan</t>
  </si>
  <si>
    <t>above 129.78 or below 117.4 / 600</t>
  </si>
  <si>
    <t>Projected Statement of Operations for the years ended March 31, 2022, 2023 &amp; 2024</t>
  </si>
  <si>
    <t>based on known minimum wage increase at April 1/22 of $13.70 and projecting $14 thereafter</t>
  </si>
  <si>
    <t>Please Note:  Each collection contract has a similar Fuel Price Adjustment Formula which is the annual average monthly price per litre as set by IRAC minus the base price (self-serve diesel fuel price on the date of contract signing) multiplied by the deemed effect to annual fuel costs to the contractor as a result of a 1 cent per litre change in diesel prices above or below the five percent base price.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</si>
</sst>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_);_(* \(#,##0.0\);_(* &quot;-&quot;_);_(@_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_(* #,##0.000_);_(* \(#,##0.000\);_(* &quot;-&quot;???_);_(@_)"/>
    <numFmt numFmtId="178" formatCode="_(* #,##0.0000_);_(* \(#,##0.0000\);_(* &quot;-&quot;????_);_(@_)"/>
    <numFmt numFmtId="179" formatCode="#,##0.0000_);\(#,##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5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2" fillId="0" borderId="0" xfId="42" applyNumberFormat="1" applyFont="1" applyFill="1" applyAlignment="1">
      <alignment/>
    </xf>
    <xf numFmtId="43" fontId="2" fillId="0" borderId="0" xfId="42" applyFont="1" applyFill="1" applyAlignment="1">
      <alignment horizontal="center"/>
    </xf>
    <xf numFmtId="174" fontId="0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12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1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0" xfId="0" applyFill="1" applyAlignment="1">
      <alignment wrapText="1"/>
    </xf>
    <xf numFmtId="165" fontId="0" fillId="0" borderId="11" xfId="42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8" fontId="0" fillId="0" borderId="0" xfId="42" applyNumberFormat="1" applyFont="1" applyFill="1" applyAlignment="1">
      <alignment/>
    </xf>
    <xf numFmtId="178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0" fillId="0" borderId="13" xfId="42" applyNumberFormat="1" applyFont="1" applyFill="1" applyBorder="1" applyAlignment="1">
      <alignment/>
    </xf>
    <xf numFmtId="9" fontId="2" fillId="0" borderId="0" xfId="0" applyNumberFormat="1" applyFont="1" applyFill="1" applyAlignment="1">
      <alignment horizontal="center"/>
    </xf>
    <xf numFmtId="41" fontId="1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1" fontId="2" fillId="0" borderId="1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2" fontId="0" fillId="0" borderId="11" xfId="0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0" fillId="0" borderId="0" xfId="42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0" fillId="0" borderId="0" xfId="0" applyNumberFormat="1" applyFont="1" applyFill="1" applyAlignment="1" quotePrefix="1">
      <alignment/>
    </xf>
    <xf numFmtId="43" fontId="0" fillId="0" borderId="0" xfId="0" applyNumberFormat="1" applyFont="1" applyFill="1" applyAlignment="1" quotePrefix="1">
      <alignment/>
    </xf>
    <xf numFmtId="15" fontId="2" fillId="0" borderId="0" xfId="0" applyNumberFormat="1" applyFont="1" applyFill="1" applyAlignment="1" quotePrefix="1">
      <alignment horizontal="center"/>
    </xf>
    <xf numFmtId="13" fontId="2" fillId="0" borderId="0" xfId="0" applyNumberFormat="1" applyFont="1" applyFill="1" applyAlignment="1" quotePrefix="1">
      <alignment horizontal="center"/>
    </xf>
    <xf numFmtId="43" fontId="2" fillId="0" borderId="0" xfId="0" applyNumberFormat="1" applyFont="1" applyFill="1" applyAlignment="1" quotePrefix="1">
      <alignment horizontal="center"/>
    </xf>
    <xf numFmtId="176" fontId="0" fillId="0" borderId="0" xfId="59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165" fontId="0" fillId="0" borderId="0" xfId="42" applyNumberFormat="1" applyFont="1" applyFill="1" applyBorder="1" applyAlignment="1" quotePrefix="1">
      <alignment horizontal="right"/>
    </xf>
    <xf numFmtId="43" fontId="0" fillId="0" borderId="0" xfId="42" applyFont="1" applyFill="1" applyBorder="1" applyAlignment="1">
      <alignment/>
    </xf>
    <xf numFmtId="165" fontId="14" fillId="0" borderId="14" xfId="42" applyNumberFormat="1" applyFont="1" applyFill="1" applyBorder="1" applyAlignment="1">
      <alignment/>
    </xf>
    <xf numFmtId="165" fontId="14" fillId="0" borderId="15" xfId="42" applyNumberFormat="1" applyFont="1" applyFill="1" applyBorder="1" applyAlignment="1">
      <alignment/>
    </xf>
    <xf numFmtId="165" fontId="15" fillId="0" borderId="15" xfId="42" applyNumberFormat="1" applyFont="1" applyFill="1" applyBorder="1" applyAlignment="1">
      <alignment/>
    </xf>
    <xf numFmtId="165" fontId="15" fillId="0" borderId="16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 quotePrefix="1">
      <alignment/>
    </xf>
    <xf numFmtId="9" fontId="9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43" fontId="0" fillId="0" borderId="18" xfId="42" applyFont="1" applyFill="1" applyBorder="1" applyAlignment="1">
      <alignment horizontal="left"/>
    </xf>
    <xf numFmtId="43" fontId="0" fillId="0" borderId="0" xfId="42" applyFont="1" applyFill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5" fontId="0" fillId="0" borderId="20" xfId="42" applyNumberFormat="1" applyFont="1" applyFill="1" applyBorder="1" applyAlignment="1">
      <alignment horizontal="center"/>
    </xf>
    <xf numFmtId="165" fontId="0" fillId="0" borderId="2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9" fillId="0" borderId="0" xfId="42" applyNumberFormat="1" applyFont="1" applyFill="1" applyAlignment="1">
      <alignment horizontal="center"/>
    </xf>
    <xf numFmtId="43" fontId="0" fillId="0" borderId="0" xfId="42" applyFont="1" applyFill="1" applyAlignment="1">
      <alignment horizontal="left"/>
    </xf>
    <xf numFmtId="43" fontId="0" fillId="0" borderId="21" xfId="42" applyFont="1" applyFill="1" applyBorder="1" applyAlignment="1">
      <alignment horizontal="left"/>
    </xf>
    <xf numFmtId="43" fontId="0" fillId="0" borderId="18" xfId="42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3" fontId="0" fillId="0" borderId="0" xfId="42" applyFont="1" applyFill="1" applyAlignment="1">
      <alignment/>
    </xf>
    <xf numFmtId="0" fontId="5" fillId="0" borderId="0" xfId="0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165" fontId="9" fillId="0" borderId="0" xfId="42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65" fontId="0" fillId="0" borderId="0" xfId="42" applyNumberFormat="1" applyFont="1" applyFill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165" fontId="17" fillId="0" borderId="11" xfId="42" applyNumberFormat="1" applyFont="1" applyFill="1" applyBorder="1" applyAlignment="1">
      <alignment horizontal="center"/>
    </xf>
    <xf numFmtId="165" fontId="0" fillId="0" borderId="0" xfId="42" applyNumberFormat="1" applyFont="1" applyFill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5" fontId="0" fillId="0" borderId="20" xfId="42" applyNumberFormat="1" applyFont="1" applyFill="1" applyBorder="1" applyAlignment="1">
      <alignment horizontal="center"/>
    </xf>
    <xf numFmtId="43" fontId="0" fillId="0" borderId="21" xfId="42" applyFont="1" applyFill="1" applyBorder="1" applyAlignment="1">
      <alignment horizontal="center"/>
    </xf>
    <xf numFmtId="43" fontId="15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65" fontId="0" fillId="0" borderId="23" xfId="42" applyNumberFormat="1" applyFont="1" applyFill="1" applyBorder="1" applyAlignment="1">
      <alignment horizontal="center"/>
    </xf>
    <xf numFmtId="43" fontId="0" fillId="0" borderId="24" xfId="42" applyFont="1" applyFill="1" applyBorder="1" applyAlignment="1">
      <alignment horizontal="left"/>
    </xf>
    <xf numFmtId="0" fontId="0" fillId="0" borderId="17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165" fontId="18" fillId="0" borderId="0" xfId="42" applyNumberFormat="1" applyFont="1" applyFill="1" applyBorder="1" applyAlignment="1">
      <alignment horizontal="center"/>
    </xf>
    <xf numFmtId="165" fontId="18" fillId="0" borderId="0" xfId="42" applyNumberFormat="1" applyFont="1" applyFill="1" applyAlignment="1">
      <alignment horizontal="center"/>
    </xf>
    <xf numFmtId="165" fontId="2" fillId="0" borderId="11" xfId="42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43" fontId="2" fillId="0" borderId="11" xfId="0" applyNumberFormat="1" applyFont="1" applyFill="1" applyBorder="1" applyAlignment="1">
      <alignment/>
    </xf>
    <xf numFmtId="165" fontId="19" fillId="0" borderId="0" xfId="42" applyNumberFormat="1" applyFont="1" applyFill="1" applyAlignment="1">
      <alignment/>
    </xf>
    <xf numFmtId="43" fontId="9" fillId="0" borderId="0" xfId="42" applyFont="1" applyFill="1" applyAlignment="1">
      <alignment/>
    </xf>
    <xf numFmtId="43" fontId="2" fillId="0" borderId="0" xfId="42" applyFont="1" applyFill="1" applyAlignment="1">
      <alignment horizontal="center"/>
    </xf>
    <xf numFmtId="0" fontId="20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%20Files\Y\Month-end%202011-12\Capital%20Asset%20Depreciation-revi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WMC%20NetFiles\IRAC%20Application\New%20Application%202021\Based%20on%20September\2021-2022%20(1%20year)%20Projection%20based%20on%20actual%20Aug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WMC%20NetFiles\IRAC%20Application\New%20Application%202021\Based%20on%20September\2021-2022%20(1%20year)%20Projection%20based%20on%20actual%20Sept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4"/>
      <sheetName val="Sheet1"/>
      <sheetName val="Sheet2"/>
    </sheetNames>
    <sheetDataSet>
      <sheetData sheetId="2">
        <row r="10">
          <cell r="E10">
            <v>493120</v>
          </cell>
        </row>
        <row r="11">
          <cell r="E11">
            <v>11300</v>
          </cell>
        </row>
        <row r="19">
          <cell r="E19">
            <v>1852393.54</v>
          </cell>
        </row>
        <row r="33">
          <cell r="E33">
            <v>200336.39</v>
          </cell>
        </row>
        <row r="70">
          <cell r="E70">
            <v>1667.46</v>
          </cell>
        </row>
        <row r="80">
          <cell r="E80">
            <v>0</v>
          </cell>
        </row>
        <row r="85">
          <cell r="E85">
            <v>67551.88</v>
          </cell>
        </row>
      </sheetData>
      <sheetData sheetId="3">
        <row r="10">
          <cell r="E10">
            <v>0</v>
          </cell>
        </row>
        <row r="11">
          <cell r="E11">
            <v>0</v>
          </cell>
        </row>
        <row r="80">
          <cell r="E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Revenue"/>
      <sheetName val="Admin Exp"/>
      <sheetName val="Adv, educ &amp; PR"/>
      <sheetName val="Residental Exp"/>
      <sheetName val="Disposal Exp"/>
      <sheetName val="Household Counts"/>
      <sheetName val="Int on LTD"/>
      <sheetName val="Contracts"/>
      <sheetName val="DNU-Contracts"/>
      <sheetName val="DNU"/>
    </sheetNames>
    <sheetDataSet>
      <sheetData sheetId="6">
        <row r="6">
          <cell r="N6">
            <v>68961</v>
          </cell>
        </row>
        <row r="16">
          <cell r="N16">
            <v>7725</v>
          </cell>
        </row>
        <row r="26">
          <cell r="N26">
            <v>770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Revenue"/>
      <sheetName val="Admin Exp"/>
      <sheetName val="Adv, educ &amp; PR"/>
      <sheetName val="Residental Exp"/>
      <sheetName val="Disposal Exp"/>
      <sheetName val="Household Counts"/>
      <sheetName val="Int on LTD"/>
      <sheetName val="Contracts"/>
    </sheetNames>
    <sheetDataSet>
      <sheetData sheetId="0">
        <row r="10">
          <cell r="I10">
            <v>25000</v>
          </cell>
        </row>
        <row r="11">
          <cell r="I11">
            <v>266400</v>
          </cell>
        </row>
        <row r="21">
          <cell r="I21">
            <v>400000</v>
          </cell>
        </row>
        <row r="22">
          <cell r="I22">
            <v>25000</v>
          </cell>
        </row>
        <row r="27">
          <cell r="I27">
            <v>2233900</v>
          </cell>
        </row>
        <row r="28">
          <cell r="I28">
            <v>824900</v>
          </cell>
        </row>
      </sheetData>
      <sheetData sheetId="1">
        <row r="8">
          <cell r="H8">
            <v>61000</v>
          </cell>
        </row>
        <row r="39">
          <cell r="H39">
            <v>2633713</v>
          </cell>
        </row>
        <row r="40">
          <cell r="H40">
            <v>297746.5</v>
          </cell>
        </row>
        <row r="41">
          <cell r="H41">
            <v>132067</v>
          </cell>
        </row>
        <row r="42">
          <cell r="H42">
            <v>1078219</v>
          </cell>
        </row>
        <row r="43">
          <cell r="H43">
            <v>82150.5</v>
          </cell>
        </row>
        <row r="44">
          <cell r="H44">
            <v>103721.5</v>
          </cell>
        </row>
        <row r="45">
          <cell r="H45">
            <v>223</v>
          </cell>
        </row>
        <row r="46">
          <cell r="H46">
            <v>114115.5</v>
          </cell>
        </row>
      </sheetData>
      <sheetData sheetId="2">
        <row r="9">
          <cell r="H9">
            <v>3300</v>
          </cell>
        </row>
        <row r="10">
          <cell r="H10">
            <v>43700</v>
          </cell>
        </row>
        <row r="11">
          <cell r="H11">
            <v>3900</v>
          </cell>
        </row>
        <row r="12">
          <cell r="H12">
            <v>400</v>
          </cell>
        </row>
        <row r="13">
          <cell r="H13">
            <v>13700</v>
          </cell>
        </row>
        <row r="14">
          <cell r="H14">
            <v>800</v>
          </cell>
        </row>
        <row r="15">
          <cell r="H15">
            <v>100600</v>
          </cell>
        </row>
        <row r="16">
          <cell r="H16">
            <v>20000</v>
          </cell>
        </row>
        <row r="17">
          <cell r="H17">
            <v>889100</v>
          </cell>
        </row>
        <row r="18">
          <cell r="H18">
            <v>26500</v>
          </cell>
        </row>
        <row r="19">
          <cell r="H19">
            <v>21800</v>
          </cell>
        </row>
        <row r="20">
          <cell r="H20">
            <v>33400</v>
          </cell>
        </row>
        <row r="27">
          <cell r="H27">
            <v>300</v>
          </cell>
        </row>
        <row r="28">
          <cell r="H28">
            <v>2600</v>
          </cell>
        </row>
        <row r="31">
          <cell r="H31">
            <v>16800</v>
          </cell>
        </row>
        <row r="32">
          <cell r="H32">
            <v>381800</v>
          </cell>
        </row>
        <row r="33">
          <cell r="H33">
            <v>23800</v>
          </cell>
        </row>
        <row r="34">
          <cell r="H34">
            <v>600</v>
          </cell>
        </row>
        <row r="40">
          <cell r="H40">
            <v>6000</v>
          </cell>
        </row>
        <row r="42">
          <cell r="H42">
            <v>143700</v>
          </cell>
        </row>
        <row r="43">
          <cell r="H43">
            <v>1600</v>
          </cell>
        </row>
        <row r="44">
          <cell r="H44">
            <v>2600</v>
          </cell>
        </row>
        <row r="45">
          <cell r="H45">
            <v>200</v>
          </cell>
        </row>
      </sheetData>
      <sheetData sheetId="3">
        <row r="9">
          <cell r="H9">
            <v>6300</v>
          </cell>
        </row>
        <row r="10">
          <cell r="H10">
            <v>56100</v>
          </cell>
        </row>
        <row r="11">
          <cell r="H11">
            <v>6500</v>
          </cell>
        </row>
        <row r="12">
          <cell r="H12">
            <v>49500</v>
          </cell>
        </row>
      </sheetData>
      <sheetData sheetId="4">
        <row r="10">
          <cell r="H10">
            <v>98400</v>
          </cell>
        </row>
        <row r="12">
          <cell r="H12">
            <v>4694600</v>
          </cell>
        </row>
        <row r="13">
          <cell r="H13">
            <v>2201000</v>
          </cell>
        </row>
        <row r="15">
          <cell r="H15">
            <v>546800</v>
          </cell>
        </row>
        <row r="16">
          <cell r="H16">
            <v>75400</v>
          </cell>
        </row>
      </sheetData>
      <sheetData sheetId="5">
        <row r="7">
          <cell r="I7">
            <v>26000</v>
          </cell>
        </row>
        <row r="8">
          <cell r="I8">
            <v>15900</v>
          </cell>
        </row>
        <row r="9">
          <cell r="I9">
            <v>68500</v>
          </cell>
        </row>
        <row r="10">
          <cell r="I10">
            <v>20500</v>
          </cell>
        </row>
        <row r="11">
          <cell r="I11">
            <v>78900</v>
          </cell>
        </row>
        <row r="12">
          <cell r="I12">
            <v>25500</v>
          </cell>
        </row>
        <row r="13">
          <cell r="I13">
            <v>106500</v>
          </cell>
        </row>
        <row r="14">
          <cell r="I14">
            <v>554300</v>
          </cell>
        </row>
        <row r="15">
          <cell r="I15">
            <v>14500</v>
          </cell>
        </row>
        <row r="16">
          <cell r="I16">
            <v>113500</v>
          </cell>
        </row>
        <row r="17">
          <cell r="I17">
            <v>5000</v>
          </cell>
        </row>
        <row r="18">
          <cell r="I18">
            <v>69100</v>
          </cell>
        </row>
        <row r="19">
          <cell r="I19">
            <v>60100</v>
          </cell>
        </row>
        <row r="24">
          <cell r="I24">
            <v>2300</v>
          </cell>
        </row>
        <row r="25">
          <cell r="I25">
            <v>2000</v>
          </cell>
        </row>
        <row r="30">
          <cell r="I30">
            <v>208700</v>
          </cell>
        </row>
        <row r="31">
          <cell r="I31">
            <v>2155700</v>
          </cell>
        </row>
        <row r="32">
          <cell r="I32">
            <v>31000</v>
          </cell>
        </row>
        <row r="33">
          <cell r="I33">
            <v>88700</v>
          </cell>
        </row>
        <row r="34">
          <cell r="I34">
            <v>14000</v>
          </cell>
        </row>
        <row r="35">
          <cell r="I35">
            <v>4600</v>
          </cell>
        </row>
        <row r="36">
          <cell r="I36">
            <v>4000</v>
          </cell>
        </row>
        <row r="37">
          <cell r="I37">
            <v>144500</v>
          </cell>
        </row>
        <row r="43">
          <cell r="I43">
            <v>2246700</v>
          </cell>
        </row>
        <row r="44">
          <cell r="I44">
            <v>208200</v>
          </cell>
        </row>
        <row r="45">
          <cell r="I45">
            <v>300</v>
          </cell>
        </row>
        <row r="46">
          <cell r="I46">
            <v>64900</v>
          </cell>
        </row>
        <row r="47">
          <cell r="I47">
            <v>307000</v>
          </cell>
        </row>
        <row r="52">
          <cell r="I52">
            <v>57800</v>
          </cell>
        </row>
        <row r="53">
          <cell r="I53">
            <v>484900</v>
          </cell>
        </row>
        <row r="54">
          <cell r="I54">
            <v>133100</v>
          </cell>
        </row>
        <row r="55">
          <cell r="I55">
            <v>31100</v>
          </cell>
        </row>
        <row r="56">
          <cell r="I56">
            <v>12000</v>
          </cell>
        </row>
        <row r="57">
          <cell r="I57">
            <v>234300</v>
          </cell>
        </row>
        <row r="58">
          <cell r="I58">
            <v>374400</v>
          </cell>
        </row>
        <row r="59">
          <cell r="I59">
            <v>1500</v>
          </cell>
        </row>
        <row r="60">
          <cell r="I60">
            <v>1000</v>
          </cell>
        </row>
        <row r="61">
          <cell r="I61">
            <v>10700</v>
          </cell>
        </row>
        <row r="62">
          <cell r="I62">
            <v>7700</v>
          </cell>
        </row>
        <row r="63">
          <cell r="I63">
            <v>10900</v>
          </cell>
        </row>
        <row r="68">
          <cell r="I68">
            <v>137100</v>
          </cell>
        </row>
        <row r="69">
          <cell r="I69">
            <v>2000</v>
          </cell>
        </row>
        <row r="70">
          <cell r="I70">
            <v>132600</v>
          </cell>
        </row>
      </sheetData>
      <sheetData sheetId="6">
        <row r="5">
          <cell r="N5">
            <v>70740.42857142858</v>
          </cell>
        </row>
        <row r="15">
          <cell r="N15">
            <v>7630</v>
          </cell>
        </row>
        <row r="25">
          <cell r="N25">
            <v>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98"/>
  <sheetViews>
    <sheetView tabSelected="1" zoomScalePageLayoutView="0" workbookViewId="0" topLeftCell="A4">
      <pane xSplit="1" ySplit="7" topLeftCell="B11" activePane="bottomRight" state="frozen"/>
      <selection pane="topLeft" activeCell="A4" sqref="A4"/>
      <selection pane="topRight" activeCell="D4" sqref="D4"/>
      <selection pane="bottomLeft" activeCell="A14" sqref="A14"/>
      <selection pane="bottomRight" activeCell="I20" sqref="I20"/>
    </sheetView>
  </sheetViews>
  <sheetFormatPr defaultColWidth="9.140625" defaultRowHeight="12.75"/>
  <cols>
    <col min="1" max="1" width="35.28125" style="3" customWidth="1"/>
    <col min="2" max="2" width="3.140625" style="3" hidden="1" customWidth="1"/>
    <col min="3" max="5" width="17.57421875" style="3" customWidth="1"/>
    <col min="6" max="6" width="17.57421875" style="3" hidden="1" customWidth="1"/>
    <col min="7" max="7" width="37.140625" style="3" customWidth="1"/>
    <col min="8" max="16384" width="8.8515625" style="3" customWidth="1"/>
  </cols>
  <sheetData>
    <row r="4" spans="1:6" ht="21">
      <c r="A4" s="31" t="s">
        <v>0</v>
      </c>
      <c r="B4" s="8"/>
      <c r="C4" s="8"/>
      <c r="D4" s="8"/>
      <c r="E4" s="8"/>
      <c r="F4" s="8"/>
    </row>
    <row r="5" spans="1:6" ht="21">
      <c r="A5" s="31" t="s">
        <v>288</v>
      </c>
      <c r="B5" s="8"/>
      <c r="C5" s="8"/>
      <c r="D5" s="8"/>
      <c r="E5" s="8"/>
      <c r="F5" s="8"/>
    </row>
    <row r="6" spans="1:6" ht="21">
      <c r="A6" s="31" t="s">
        <v>14</v>
      </c>
      <c r="B6" s="8"/>
      <c r="C6" s="8"/>
      <c r="D6" s="8"/>
      <c r="E6" s="8"/>
      <c r="F6" s="8"/>
    </row>
    <row r="8" spans="2:6" ht="12.75">
      <c r="B8" s="4" t="s">
        <v>8</v>
      </c>
      <c r="C8" s="4" t="s">
        <v>66</v>
      </c>
      <c r="D8" s="4" t="s">
        <v>66</v>
      </c>
      <c r="E8" s="4" t="s">
        <v>66</v>
      </c>
      <c r="F8" s="4" t="s">
        <v>66</v>
      </c>
    </row>
    <row r="9" spans="2:6" ht="12.75">
      <c r="B9" s="4" t="s">
        <v>155</v>
      </c>
      <c r="C9" s="4" t="s">
        <v>157</v>
      </c>
      <c r="D9" s="4" t="s">
        <v>158</v>
      </c>
      <c r="E9" s="4" t="s">
        <v>159</v>
      </c>
      <c r="F9" s="4" t="s">
        <v>160</v>
      </c>
    </row>
    <row r="10" spans="2:6" ht="12.75">
      <c r="B10" s="4"/>
      <c r="C10" s="4"/>
      <c r="D10" s="4"/>
      <c r="E10" s="4"/>
      <c r="F10" s="4"/>
    </row>
    <row r="11" ht="12.75">
      <c r="A11" s="5" t="s">
        <v>278</v>
      </c>
    </row>
    <row r="12" spans="1:7" ht="12.75">
      <c r="A12" s="28" t="s">
        <v>184</v>
      </c>
      <c r="B12" s="32">
        <f>ROUND(+Revenue!B11,0)</f>
        <v>14482680</v>
      </c>
      <c r="C12" s="32">
        <f>+ROUND(Revenue!D11,-2)</f>
        <v>15868100</v>
      </c>
      <c r="D12" s="1">
        <f>ROUND(+Revenue!E11,-2)</f>
        <v>16237200</v>
      </c>
      <c r="E12" s="1">
        <f>ROUND(+Revenue!F11,-2)</f>
        <v>16561900</v>
      </c>
      <c r="F12" s="1">
        <f>ROUND(+Revenue!G11,-2)</f>
        <v>16893200</v>
      </c>
      <c r="G12" s="81" t="s">
        <v>271</v>
      </c>
    </row>
    <row r="13" spans="1:7" ht="12.75">
      <c r="A13" s="28" t="s">
        <v>185</v>
      </c>
      <c r="B13" s="32">
        <f>ROUND(+Revenue!B29,0)</f>
        <v>4673494</v>
      </c>
      <c r="C13" s="32">
        <f>ROUND(+Revenue!D29,-2)</f>
        <v>4442000</v>
      </c>
      <c r="D13" s="1">
        <f>ROUND(+Revenue!E29,-2)</f>
        <v>4442000</v>
      </c>
      <c r="E13" s="1">
        <f>ROUND(+Revenue!F29,-2)</f>
        <v>4442000</v>
      </c>
      <c r="F13" s="1">
        <f>ROUND(+Revenue!G29,-2)</f>
        <v>4619600</v>
      </c>
      <c r="G13" s="85" t="s">
        <v>271</v>
      </c>
    </row>
    <row r="14" spans="1:7" ht="12.75">
      <c r="A14" s="3" t="s">
        <v>1</v>
      </c>
      <c r="B14" s="9">
        <v>21388</v>
      </c>
      <c r="C14" s="9">
        <f>+'[3]Financial Statements'!$I$10</f>
        <v>25000</v>
      </c>
      <c r="D14" s="9">
        <f>+D26</f>
        <v>25500</v>
      </c>
      <c r="E14" s="9">
        <f>+E26</f>
        <v>26000</v>
      </c>
      <c r="F14" s="9">
        <f>+F26</f>
        <v>26500</v>
      </c>
      <c r="G14" s="81" t="s">
        <v>206</v>
      </c>
    </row>
    <row r="15" spans="1:7" ht="12.75">
      <c r="A15" s="3" t="s">
        <v>2</v>
      </c>
      <c r="B15" s="10">
        <v>37606</v>
      </c>
      <c r="C15" s="10">
        <f>+'[3]Financial Statements'!$I$11</f>
        <v>266400</v>
      </c>
      <c r="D15" s="10">
        <f>+ROUND(C15*1.02,-2)</f>
        <v>271700</v>
      </c>
      <c r="E15" s="10">
        <f>+ROUND(D15*1.02,-2)</f>
        <v>277100</v>
      </c>
      <c r="F15" s="10">
        <f>+ROUND(E15*1.02,-2)</f>
        <v>282600</v>
      </c>
      <c r="G15" s="81" t="s">
        <v>204</v>
      </c>
    </row>
    <row r="16" spans="2:7" ht="12.75">
      <c r="B16" s="32"/>
      <c r="C16" s="32"/>
      <c r="D16" s="1"/>
      <c r="E16" s="1"/>
      <c r="F16" s="1"/>
      <c r="G16" s="81"/>
    </row>
    <row r="17" spans="2:7" ht="12.75">
      <c r="B17" s="33">
        <f>SUM(B12:B15)</f>
        <v>19215168</v>
      </c>
      <c r="C17" s="33">
        <f>SUM(C12:C15)</f>
        <v>20601500</v>
      </c>
      <c r="D17" s="26">
        <f>SUM(D12:D15)</f>
        <v>20976400</v>
      </c>
      <c r="E17" s="26">
        <f>SUM(E12:E15)</f>
        <v>21307000</v>
      </c>
      <c r="F17" s="26">
        <f>SUM(F12:F15)</f>
        <v>21821900</v>
      </c>
      <c r="G17" s="81"/>
    </row>
    <row r="18" spans="2:7" ht="12.75">
      <c r="B18" s="32"/>
      <c r="C18" s="32"/>
      <c r="D18" s="1"/>
      <c r="E18" s="1"/>
      <c r="F18" s="1"/>
      <c r="G18" s="81"/>
    </row>
    <row r="19" spans="1:7" ht="12.75">
      <c r="A19" s="5" t="s">
        <v>7</v>
      </c>
      <c r="B19" s="32"/>
      <c r="C19" s="32"/>
      <c r="D19" s="1"/>
      <c r="E19" s="1"/>
      <c r="F19" s="1"/>
      <c r="G19" s="81"/>
    </row>
    <row r="20" spans="1:7" ht="12.75">
      <c r="A20" s="28" t="s">
        <v>186</v>
      </c>
      <c r="B20" s="32">
        <f>ROUND(+'Admin Exp'!B46,0)</f>
        <v>1457981</v>
      </c>
      <c r="C20" s="32">
        <f>ROUND(+'Admin Exp'!C46,-2)</f>
        <v>1737200</v>
      </c>
      <c r="D20" s="1">
        <f>ROUND(+'Admin Exp'!D46,-2)</f>
        <v>1873900</v>
      </c>
      <c r="E20" s="1">
        <f>ROUND(+'Admin Exp'!E46,-2)</f>
        <v>1823300</v>
      </c>
      <c r="F20" s="1">
        <f>ROUND(+'Admin Exp'!F46,-2)</f>
        <v>1870800</v>
      </c>
      <c r="G20" s="81" t="s">
        <v>272</v>
      </c>
    </row>
    <row r="21" spans="1:7" ht="12.75">
      <c r="A21" s="28" t="s">
        <v>187</v>
      </c>
      <c r="B21" s="32">
        <f>ROUND(+'Adv, edu &amp; PR'!B13,0)</f>
        <v>131719</v>
      </c>
      <c r="C21" s="32">
        <f>ROUND(+'Adv, edu &amp; PR'!C13,-2)</f>
        <v>118400</v>
      </c>
      <c r="D21" s="1">
        <f>ROUND(+'Adv, edu &amp; PR'!D13,-2)</f>
        <v>120600</v>
      </c>
      <c r="E21" s="1">
        <f>ROUND(+'Adv, edu &amp; PR'!E13,-2)</f>
        <v>122700</v>
      </c>
      <c r="F21" s="1">
        <f>ROUND(+'Adv, edu &amp; PR'!F13,-2)</f>
        <v>125200</v>
      </c>
      <c r="G21" s="81" t="s">
        <v>273</v>
      </c>
    </row>
    <row r="22" spans="1:7" ht="12.75">
      <c r="A22" s="3" t="s">
        <v>4</v>
      </c>
      <c r="B22" s="32"/>
      <c r="C22" s="32"/>
      <c r="D22" s="1"/>
      <c r="E22" s="1"/>
      <c r="F22" s="1"/>
      <c r="G22" s="81"/>
    </row>
    <row r="23" spans="1:7" ht="12.75">
      <c r="A23" s="28" t="s">
        <v>188</v>
      </c>
      <c r="B23" s="32">
        <f>ROUND(+'Residental Exp'!B16,0)</f>
        <v>6963337</v>
      </c>
      <c r="C23" s="32">
        <f>ROUND(+'Residental Exp'!C16,-2)</f>
        <v>7616200</v>
      </c>
      <c r="D23" s="1">
        <f>ROUND(+'Residental Exp'!D16,-2)</f>
        <v>7922700</v>
      </c>
      <c r="E23" s="1">
        <f>ROUND(+'Residental Exp'!E16,-2)</f>
        <v>8253400</v>
      </c>
      <c r="F23" s="1">
        <f>ROUND(+'Residental Exp'!F16,-2)</f>
        <v>8556500</v>
      </c>
      <c r="G23" s="81" t="s">
        <v>274</v>
      </c>
    </row>
    <row r="24" spans="1:7" ht="12.75">
      <c r="A24" s="28" t="s">
        <v>189</v>
      </c>
      <c r="B24" s="32">
        <f>ROUND(+'Disposal Exp'!D77,0)</f>
        <v>7850566</v>
      </c>
      <c r="C24" s="32">
        <f>ROUND(+'Disposal Exp'!E77,-2)</f>
        <v>8272000</v>
      </c>
      <c r="D24" s="1">
        <f>ROUND(+'Disposal Exp'!F77,-2)</f>
        <v>8401800</v>
      </c>
      <c r="E24" s="1">
        <f>ROUND(+'Disposal Exp'!G77,-2)</f>
        <v>8638300</v>
      </c>
      <c r="F24" s="1">
        <f>ROUND(+'Disposal Exp'!H77,-2)</f>
        <v>8832700</v>
      </c>
      <c r="G24" s="81" t="s">
        <v>275</v>
      </c>
    </row>
    <row r="25" spans="1:7" ht="21">
      <c r="A25" s="28" t="s">
        <v>195</v>
      </c>
      <c r="B25" s="32"/>
      <c r="C25" s="32">
        <f>+'[3]Financial Statements'!$I$21</f>
        <v>400000</v>
      </c>
      <c r="D25" s="80">
        <f>+ROUND(C25*1.15,-2)</f>
        <v>460000</v>
      </c>
      <c r="E25" s="80">
        <f>+ROUND(D25*1.15,-2)</f>
        <v>529000</v>
      </c>
      <c r="F25" s="80">
        <f>+ROUND(E25*1.15,-2)</f>
        <v>608400</v>
      </c>
      <c r="G25" s="83" t="s">
        <v>203</v>
      </c>
    </row>
    <row r="26" spans="1:7" ht="12.75">
      <c r="A26" s="3" t="s">
        <v>1</v>
      </c>
      <c r="B26" s="10">
        <v>21388</v>
      </c>
      <c r="C26" s="10">
        <f>+'[3]Financial Statements'!$I$22</f>
        <v>25000</v>
      </c>
      <c r="D26" s="10">
        <f>+ROUND(C26*1.02,-2)</f>
        <v>25500</v>
      </c>
      <c r="E26" s="10">
        <f>+ROUND(D26*1.02,-2)</f>
        <v>26000</v>
      </c>
      <c r="F26" s="10">
        <f>+ROUND(E26*1.02,-2)</f>
        <v>26500</v>
      </c>
      <c r="G26" s="81" t="s">
        <v>205</v>
      </c>
    </row>
    <row r="27" spans="2:7" ht="12.75">
      <c r="B27" s="32"/>
      <c r="C27" s="32"/>
      <c r="D27" s="1"/>
      <c r="E27" s="1"/>
      <c r="F27" s="1"/>
      <c r="G27" s="81"/>
    </row>
    <row r="28" spans="2:7" ht="12.75">
      <c r="B28" s="33">
        <f>SUM(B20:B26)</f>
        <v>16424991</v>
      </c>
      <c r="C28" s="33">
        <f>SUM(C20:C26)</f>
        <v>18168800</v>
      </c>
      <c r="D28" s="26">
        <f>SUM(D20:D26)</f>
        <v>18804500</v>
      </c>
      <c r="E28" s="26">
        <f>SUM(E20:E26)</f>
        <v>19392700</v>
      </c>
      <c r="F28" s="26">
        <f>SUM(F20:F26)</f>
        <v>20020100</v>
      </c>
      <c r="G28" s="81"/>
    </row>
    <row r="29" spans="2:7" ht="12.75">
      <c r="B29" s="32"/>
      <c r="C29" s="32"/>
      <c r="D29" s="1"/>
      <c r="E29" s="1"/>
      <c r="F29" s="1"/>
      <c r="G29" s="81"/>
    </row>
    <row r="30" spans="1:7" ht="12.75">
      <c r="A30" s="3" t="s">
        <v>5</v>
      </c>
      <c r="B30" s="32">
        <f>+B17-B28</f>
        <v>2790177</v>
      </c>
      <c r="C30" s="32">
        <f>+C17-C28</f>
        <v>2432700</v>
      </c>
      <c r="D30" s="1">
        <f>+D17-D28</f>
        <v>2171900</v>
      </c>
      <c r="E30" s="1">
        <f>+E17-E28</f>
        <v>1914300</v>
      </c>
      <c r="F30" s="1">
        <f>+F17-F28</f>
        <v>1801800</v>
      </c>
      <c r="G30" s="81"/>
    </row>
    <row r="31" spans="1:7" ht="12.75">
      <c r="A31" s="3" t="s">
        <v>172</v>
      </c>
      <c r="B31" s="9">
        <v>2049053</v>
      </c>
      <c r="C31" s="9">
        <f>+'[3]Financial Statements'!$I$27</f>
        <v>2233900</v>
      </c>
      <c r="D31" s="9">
        <f>+ROUND('Capital Assets'!M113,-2)</f>
        <v>2283100</v>
      </c>
      <c r="E31" s="9">
        <f>+ROUND('Capital Assets'!N113,-3)</f>
        <v>2265000</v>
      </c>
      <c r="F31" s="9">
        <f>+ROUND('Capital Assets'!O113,-3)</f>
        <v>2278000</v>
      </c>
      <c r="G31" s="81" t="s">
        <v>221</v>
      </c>
    </row>
    <row r="32" spans="1:7" ht="21">
      <c r="A32" s="3" t="s">
        <v>6</v>
      </c>
      <c r="B32" s="10">
        <v>1010710</v>
      </c>
      <c r="C32" s="10">
        <f>+'[3]Financial Statements'!$I$28</f>
        <v>824900</v>
      </c>
      <c r="D32" s="10">
        <f>+ROUND('Int on LTD'!D12,-2)</f>
        <v>734600</v>
      </c>
      <c r="E32" s="10">
        <f>+ROUND('Int on LTD'!E12,-2)</f>
        <v>621500</v>
      </c>
      <c r="F32" s="10">
        <f>+ROUND('Int on LTD'!F12,-2)</f>
        <v>501000</v>
      </c>
      <c r="G32" s="83" t="s">
        <v>207</v>
      </c>
    </row>
    <row r="33" spans="2:6" ht="12.75">
      <c r="B33" s="29"/>
      <c r="C33" s="29"/>
      <c r="D33" s="29"/>
      <c r="E33" s="29"/>
      <c r="F33" s="29"/>
    </row>
    <row r="34" spans="1:6" ht="12.75">
      <c r="A34" s="5" t="s">
        <v>279</v>
      </c>
      <c r="B34" s="29">
        <f>+B30-B31-B32</f>
        <v>-269586</v>
      </c>
      <c r="C34" s="29">
        <f>+C30-C31-C32</f>
        <v>-626100</v>
      </c>
      <c r="D34" s="29">
        <f>+D30-D31-D32</f>
        <v>-845800</v>
      </c>
      <c r="E34" s="29">
        <f>+E30-E31-E32</f>
        <v>-972200</v>
      </c>
      <c r="F34" s="29">
        <f>+F30-F31-F32</f>
        <v>-977200</v>
      </c>
    </row>
    <row r="35" spans="2:6" ht="12.75">
      <c r="B35" s="32"/>
      <c r="C35" s="32"/>
      <c r="D35" s="1"/>
      <c r="E35" s="1"/>
      <c r="F35" s="1"/>
    </row>
    <row r="36" spans="1:6" ht="12.75">
      <c r="A36" s="28" t="s">
        <v>280</v>
      </c>
      <c r="B36" s="26">
        <v>2146800</v>
      </c>
      <c r="C36" s="26">
        <v>1460100</v>
      </c>
      <c r="D36" s="26">
        <f>+C38</f>
        <v>834000</v>
      </c>
      <c r="E36" s="26">
        <f>+D38</f>
        <v>-11800</v>
      </c>
      <c r="F36" s="26">
        <f>+E38</f>
        <v>-984000</v>
      </c>
    </row>
    <row r="37" spans="2:6" ht="12.75">
      <c r="B37" s="2"/>
      <c r="C37" s="1"/>
      <c r="D37" s="1"/>
      <c r="E37" s="1"/>
      <c r="F37" s="1"/>
    </row>
    <row r="38" spans="1:6" ht="13.5" thickBot="1">
      <c r="A38" s="28" t="s">
        <v>281</v>
      </c>
      <c r="B38" s="27">
        <f>+B34+B36</f>
        <v>1877214</v>
      </c>
      <c r="C38" s="27">
        <f>+C34+C36</f>
        <v>834000</v>
      </c>
      <c r="D38" s="27">
        <f>+D34+D36</f>
        <v>-11800</v>
      </c>
      <c r="E38" s="27">
        <f>+E34+E36</f>
        <v>-984000</v>
      </c>
      <c r="F38" s="27">
        <f>+F34+F36</f>
        <v>-1961200</v>
      </c>
    </row>
    <row r="39" spans="2:6" ht="13.5" thickTop="1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2"/>
      <c r="C43" s="2"/>
      <c r="D43" s="2"/>
      <c r="E43" s="2"/>
      <c r="F43" s="2"/>
    </row>
    <row r="44" spans="2:6" ht="12.75">
      <c r="B44" s="1"/>
      <c r="C44" s="1"/>
      <c r="D44" s="1"/>
      <c r="E44" s="1"/>
      <c r="F44" s="1"/>
    </row>
    <row r="45" spans="2:6" ht="12.75">
      <c r="B45" s="2"/>
      <c r="C45" s="2"/>
      <c r="D45" s="2"/>
      <c r="E45" s="2"/>
      <c r="F45" s="2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</sheetData>
  <sheetProtection password="E07E" sheet="1"/>
  <printOptions/>
  <pageMargins left="0.75" right="0.75" top="1" bottom="1" header="0.5" footer="0.5"/>
  <pageSetup fitToHeight="1" fitToWidth="1" horizontalDpi="600" verticalDpi="600" orientation="landscape" scale="9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pane xSplit="1" ySplit="4" topLeftCell="C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4" sqref="E24"/>
    </sheetView>
  </sheetViews>
  <sheetFormatPr defaultColWidth="9.140625" defaultRowHeight="12.75"/>
  <cols>
    <col min="1" max="1" width="48.421875" style="3" customWidth="1"/>
    <col min="2" max="2" width="17.57421875" style="32" hidden="1" customWidth="1"/>
    <col min="3" max="3" width="18.28125" style="32" customWidth="1"/>
    <col min="4" max="4" width="17.57421875" style="32" customWidth="1"/>
    <col min="5" max="6" width="17.57421875" style="1" customWidth="1"/>
    <col min="7" max="8" width="17.57421875" style="1" hidden="1" customWidth="1"/>
    <col min="9" max="9" width="15.00390625" style="15" hidden="1" customWidth="1"/>
    <col min="10" max="10" width="36.00390625" style="3" customWidth="1"/>
    <col min="11" max="16384" width="8.8515625" style="3" customWidth="1"/>
  </cols>
  <sheetData>
    <row r="1" spans="1:8" ht="15">
      <c r="A1" s="8" t="s">
        <v>190</v>
      </c>
      <c r="E1" s="12" t="s">
        <v>14</v>
      </c>
      <c r="F1" s="12"/>
      <c r="G1" s="12"/>
      <c r="H1" s="12"/>
    </row>
    <row r="3" spans="2:10" ht="12.75">
      <c r="B3" s="4" t="s">
        <v>8</v>
      </c>
      <c r="C3" s="4"/>
      <c r="D3" s="4" t="s">
        <v>66</v>
      </c>
      <c r="E3" s="4" t="s">
        <v>66</v>
      </c>
      <c r="F3" s="4" t="s">
        <v>66</v>
      </c>
      <c r="G3" s="4" t="s">
        <v>66</v>
      </c>
      <c r="H3" s="4" t="s">
        <v>66</v>
      </c>
      <c r="I3" s="13" t="s">
        <v>79</v>
      </c>
      <c r="J3" s="4" t="s">
        <v>150</v>
      </c>
    </row>
    <row r="4" spans="2:10" ht="12.75">
      <c r="B4" s="4" t="s">
        <v>155</v>
      </c>
      <c r="C4" s="4"/>
      <c r="D4" s="4" t="s">
        <v>157</v>
      </c>
      <c r="E4" s="4" t="s">
        <v>158</v>
      </c>
      <c r="F4" s="4" t="s">
        <v>159</v>
      </c>
      <c r="G4" s="4" t="s">
        <v>160</v>
      </c>
      <c r="H4" s="4" t="s">
        <v>160</v>
      </c>
      <c r="I4" s="13" t="s">
        <v>136</v>
      </c>
      <c r="J4" s="4" t="s">
        <v>149</v>
      </c>
    </row>
    <row r="6" ht="12.75">
      <c r="A6" s="5" t="s">
        <v>59</v>
      </c>
    </row>
    <row r="8" spans="1:10" ht="12.75">
      <c r="A8" s="28" t="s">
        <v>210</v>
      </c>
      <c r="B8" s="37">
        <v>33732</v>
      </c>
      <c r="C8" s="37"/>
      <c r="D8" s="37">
        <f>+'[3]Revenue'!$H$8</f>
        <v>61000</v>
      </c>
      <c r="E8" s="2">
        <f>+D8*$I8</f>
        <v>62220</v>
      </c>
      <c r="F8" s="2">
        <f>+E8*$I8</f>
        <v>63464.4</v>
      </c>
      <c r="G8" s="2">
        <f>+F8*$I8</f>
        <v>64733.688</v>
      </c>
      <c r="H8" s="2">
        <f>+G8*$I8</f>
        <v>66028.36176</v>
      </c>
      <c r="I8" s="38">
        <v>1.02</v>
      </c>
      <c r="J8" s="84" t="s">
        <v>217</v>
      </c>
    </row>
    <row r="9" spans="1:10" ht="12.75">
      <c r="A9" s="28" t="s">
        <v>260</v>
      </c>
      <c r="B9" s="33">
        <v>14448948</v>
      </c>
      <c r="C9" s="33"/>
      <c r="D9" s="79">
        <f>+D48</f>
        <v>15807093.711428571</v>
      </c>
      <c r="E9" s="79">
        <f>+E48</f>
        <v>16174952.52994286</v>
      </c>
      <c r="F9" s="79">
        <f>+F48</f>
        <v>16498451.580541713</v>
      </c>
      <c r="G9" s="79">
        <f>+G48</f>
        <v>16828420.612152554</v>
      </c>
      <c r="H9" s="26">
        <f>+H48</f>
        <v>0</v>
      </c>
      <c r="I9" s="14" t="s">
        <v>152</v>
      </c>
      <c r="J9" s="3" t="s">
        <v>179</v>
      </c>
    </row>
    <row r="10" spans="2:8" ht="12.75">
      <c r="B10" s="37"/>
      <c r="C10" s="37"/>
      <c r="D10" s="37"/>
      <c r="E10" s="2"/>
      <c r="F10" s="2"/>
      <c r="G10" s="2"/>
      <c r="H10" s="2"/>
    </row>
    <row r="11" spans="2:8" ht="13.5" thickBot="1">
      <c r="B11" s="35">
        <f aca="true" t="shared" si="0" ref="B11:H11">SUM(B8:B9)</f>
        <v>14482680</v>
      </c>
      <c r="C11" s="35"/>
      <c r="D11" s="35">
        <f t="shared" si="0"/>
        <v>15868093.711428571</v>
      </c>
      <c r="E11" s="27">
        <f t="shared" si="0"/>
        <v>16237172.52994286</v>
      </c>
      <c r="F11" s="27">
        <f t="shared" si="0"/>
        <v>16561915.980541714</v>
      </c>
      <c r="G11" s="27">
        <f t="shared" si="0"/>
        <v>16893154.300152555</v>
      </c>
      <c r="H11" s="27">
        <f t="shared" si="0"/>
        <v>66028.36176</v>
      </c>
    </row>
    <row r="12" spans="2:8" ht="13.5" thickTop="1">
      <c r="B12" s="37"/>
      <c r="C12" s="37"/>
      <c r="D12" s="37"/>
      <c r="E12" s="2"/>
      <c r="F12" s="2"/>
      <c r="G12" s="2"/>
      <c r="H12" s="2"/>
    </row>
    <row r="13" spans="2:8" ht="12.75">
      <c r="B13" s="37"/>
      <c r="C13" s="37"/>
      <c r="D13" s="37"/>
      <c r="E13" s="2"/>
      <c r="F13" s="2"/>
      <c r="G13" s="2"/>
      <c r="H13" s="2"/>
    </row>
    <row r="14" spans="1:8" ht="15">
      <c r="A14" s="8" t="s">
        <v>192</v>
      </c>
      <c r="B14" s="37"/>
      <c r="C14" s="37"/>
      <c r="D14" s="37"/>
      <c r="E14" s="2"/>
      <c r="F14" s="2"/>
      <c r="G14" s="2"/>
      <c r="H14" s="2"/>
    </row>
    <row r="15" spans="2:8" ht="12.75">
      <c r="B15" s="37"/>
      <c r="C15" s="37"/>
      <c r="D15" s="37"/>
      <c r="E15" s="2"/>
      <c r="F15" s="2"/>
      <c r="G15" s="2"/>
      <c r="H15" s="2"/>
    </row>
    <row r="16" spans="2:8" ht="12.75">
      <c r="B16" s="4" t="s">
        <v>8</v>
      </c>
      <c r="C16" s="4"/>
      <c r="D16" s="4" t="s">
        <v>66</v>
      </c>
      <c r="E16" s="4" t="s">
        <v>66</v>
      </c>
      <c r="F16" s="4" t="s">
        <v>66</v>
      </c>
      <c r="G16" s="4" t="s">
        <v>66</v>
      </c>
      <c r="H16" s="4" t="s">
        <v>66</v>
      </c>
    </row>
    <row r="17" spans="2:10" ht="12.75">
      <c r="B17" s="4" t="s">
        <v>155</v>
      </c>
      <c r="C17" s="4"/>
      <c r="D17" s="4" t="s">
        <v>157</v>
      </c>
      <c r="E17" s="4" t="s">
        <v>158</v>
      </c>
      <c r="F17" s="4" t="s">
        <v>159</v>
      </c>
      <c r="G17" s="4" t="s">
        <v>160</v>
      </c>
      <c r="H17" s="4" t="s">
        <v>160</v>
      </c>
      <c r="J17" s="86" t="s">
        <v>14</v>
      </c>
    </row>
    <row r="18" ht="12.75">
      <c r="A18" s="5" t="s">
        <v>60</v>
      </c>
    </row>
    <row r="20" spans="1:10" ht="12.75">
      <c r="A20" s="3" t="s">
        <v>34</v>
      </c>
      <c r="B20" s="37">
        <v>2767076</v>
      </c>
      <c r="C20" s="37"/>
      <c r="D20" s="37">
        <f>+'[3]Revenue'!$H$39</f>
        <v>2633713</v>
      </c>
      <c r="E20" s="37">
        <f>+ROUND(D20,-2)</f>
        <v>2633700</v>
      </c>
      <c r="F20" s="37">
        <f>+ROUND(E20,-2)</f>
        <v>2633700</v>
      </c>
      <c r="G20" s="37">
        <f aca="true" t="shared" si="1" ref="G20:G27">+ROUND(F20*1.04,-2)</f>
        <v>2739000</v>
      </c>
      <c r="H20" s="37">
        <f aca="true" t="shared" si="2" ref="H20:H27">+ROUND(G20*1.01,-2)</f>
        <v>2766400</v>
      </c>
      <c r="I20" s="39">
        <v>0</v>
      </c>
      <c r="J20" s="58" t="s">
        <v>14</v>
      </c>
    </row>
    <row r="21" spans="1:10" ht="12.75">
      <c r="A21" s="3" t="s">
        <v>176</v>
      </c>
      <c r="B21" s="37">
        <v>326604</v>
      </c>
      <c r="C21" s="37"/>
      <c r="D21" s="37">
        <f>+'[3]Revenue'!$H$40</f>
        <v>297746.5</v>
      </c>
      <c r="E21" s="37">
        <f>+ROUND(D21,-2)+100</f>
        <v>297800</v>
      </c>
      <c r="F21" s="37">
        <f aca="true" t="shared" si="3" ref="F21:F27">+ROUND(E21,-2)</f>
        <v>297800</v>
      </c>
      <c r="G21" s="37">
        <f t="shared" si="1"/>
        <v>309700</v>
      </c>
      <c r="H21" s="37">
        <f t="shared" si="2"/>
        <v>312800</v>
      </c>
      <c r="I21" s="40">
        <v>0</v>
      </c>
      <c r="J21" s="58" t="s">
        <v>14</v>
      </c>
    </row>
    <row r="22" spans="1:10" ht="12.75">
      <c r="A22" s="3" t="s">
        <v>261</v>
      </c>
      <c r="B22" s="37">
        <v>124732</v>
      </c>
      <c r="C22" s="37"/>
      <c r="D22" s="37">
        <f>+'[3]Revenue'!$H$41</f>
        <v>132067</v>
      </c>
      <c r="E22" s="37">
        <f aca="true" t="shared" si="4" ref="E22:E27">+ROUND(D22,-2)</f>
        <v>132100</v>
      </c>
      <c r="F22" s="37">
        <f t="shared" si="3"/>
        <v>132100</v>
      </c>
      <c r="G22" s="37">
        <f t="shared" si="1"/>
        <v>137400</v>
      </c>
      <c r="H22" s="37">
        <f t="shared" si="2"/>
        <v>138800</v>
      </c>
      <c r="I22" s="40">
        <v>0</v>
      </c>
      <c r="J22" s="58" t="s">
        <v>14</v>
      </c>
    </row>
    <row r="23" spans="1:10" ht="12.75">
      <c r="A23" s="3" t="s">
        <v>44</v>
      </c>
      <c r="B23" s="37">
        <v>1167169</v>
      </c>
      <c r="C23" s="37"/>
      <c r="D23" s="37">
        <f>+'[3]Revenue'!$H$42</f>
        <v>1078219</v>
      </c>
      <c r="E23" s="37">
        <f t="shared" si="4"/>
        <v>1078200</v>
      </c>
      <c r="F23" s="37">
        <f t="shared" si="3"/>
        <v>1078200</v>
      </c>
      <c r="G23" s="37">
        <f t="shared" si="1"/>
        <v>1121300</v>
      </c>
      <c r="H23" s="37">
        <f t="shared" si="2"/>
        <v>1132500</v>
      </c>
      <c r="I23" s="40">
        <v>0</v>
      </c>
      <c r="J23" s="58" t="s">
        <v>14</v>
      </c>
    </row>
    <row r="24" spans="1:10" ht="12.75">
      <c r="A24" s="3" t="s">
        <v>262</v>
      </c>
      <c r="B24" s="37">
        <v>77957</v>
      </c>
      <c r="C24" s="37"/>
      <c r="D24" s="37">
        <f>+'[3]Revenue'!$H$43</f>
        <v>82150.5</v>
      </c>
      <c r="E24" s="37">
        <f t="shared" si="4"/>
        <v>82200</v>
      </c>
      <c r="F24" s="37">
        <f t="shared" si="3"/>
        <v>82200</v>
      </c>
      <c r="G24" s="37">
        <f t="shared" si="1"/>
        <v>85500</v>
      </c>
      <c r="H24" s="37">
        <f t="shared" si="2"/>
        <v>86400</v>
      </c>
      <c r="I24" s="40">
        <v>0</v>
      </c>
      <c r="J24" s="58" t="s">
        <v>14</v>
      </c>
    </row>
    <row r="25" spans="1:10" ht="12.75">
      <c r="A25" s="3" t="s">
        <v>263</v>
      </c>
      <c r="B25" s="37">
        <v>101646</v>
      </c>
      <c r="C25" s="37"/>
      <c r="D25" s="37">
        <f>+'[3]Revenue'!$H$44</f>
        <v>103721.5</v>
      </c>
      <c r="E25" s="37">
        <f t="shared" si="4"/>
        <v>103700</v>
      </c>
      <c r="F25" s="37">
        <f t="shared" si="3"/>
        <v>103700</v>
      </c>
      <c r="G25" s="37">
        <f t="shared" si="1"/>
        <v>107800</v>
      </c>
      <c r="H25" s="37">
        <f t="shared" si="2"/>
        <v>108900</v>
      </c>
      <c r="I25" s="40">
        <v>0</v>
      </c>
      <c r="J25" s="58" t="s">
        <v>14</v>
      </c>
    </row>
    <row r="26" spans="1:10" ht="12.75">
      <c r="A26" s="3" t="s">
        <v>2</v>
      </c>
      <c r="B26" s="37">
        <v>-93</v>
      </c>
      <c r="C26" s="37"/>
      <c r="D26" s="37">
        <f>+'[3]Revenue'!$H$45</f>
        <v>223</v>
      </c>
      <c r="E26" s="37">
        <f t="shared" si="4"/>
        <v>200</v>
      </c>
      <c r="F26" s="37">
        <f t="shared" si="3"/>
        <v>200</v>
      </c>
      <c r="G26" s="37">
        <f t="shared" si="1"/>
        <v>200</v>
      </c>
      <c r="H26" s="37">
        <f t="shared" si="2"/>
        <v>200</v>
      </c>
      <c r="I26" s="40">
        <v>0</v>
      </c>
      <c r="J26" s="58" t="s">
        <v>14</v>
      </c>
    </row>
    <row r="27" spans="1:10" ht="12.75">
      <c r="A27" s="3" t="s">
        <v>264</v>
      </c>
      <c r="B27" s="33">
        <v>108403</v>
      </c>
      <c r="C27" s="33"/>
      <c r="D27" s="33">
        <f>+'[3]Revenue'!$H$46</f>
        <v>114115.5</v>
      </c>
      <c r="E27" s="33">
        <f t="shared" si="4"/>
        <v>114100</v>
      </c>
      <c r="F27" s="33">
        <f t="shared" si="3"/>
        <v>114100</v>
      </c>
      <c r="G27" s="33">
        <f t="shared" si="1"/>
        <v>118700</v>
      </c>
      <c r="H27" s="33">
        <f t="shared" si="2"/>
        <v>119900</v>
      </c>
      <c r="I27" s="40">
        <v>0</v>
      </c>
      <c r="J27" s="58" t="s">
        <v>14</v>
      </c>
    </row>
    <row r="28" spans="2:10" ht="12.75">
      <c r="B28" s="9"/>
      <c r="C28" s="9"/>
      <c r="D28" s="9"/>
      <c r="E28" s="9"/>
      <c r="F28" s="9"/>
      <c r="G28" s="9"/>
      <c r="H28" s="9"/>
      <c r="I28" s="41"/>
      <c r="J28" s="58" t="s">
        <v>14</v>
      </c>
    </row>
    <row r="29" spans="2:10" ht="13.5" thickBot="1">
      <c r="B29" s="11">
        <f aca="true" t="shared" si="5" ref="B29:H29">SUM(B20:B27)</f>
        <v>4673494</v>
      </c>
      <c r="C29" s="11"/>
      <c r="D29" s="11">
        <f t="shared" si="5"/>
        <v>4441956</v>
      </c>
      <c r="E29" s="11">
        <f t="shared" si="5"/>
        <v>4442000</v>
      </c>
      <c r="F29" s="11">
        <f t="shared" si="5"/>
        <v>4442000</v>
      </c>
      <c r="G29" s="11">
        <f t="shared" si="5"/>
        <v>4619600</v>
      </c>
      <c r="H29" s="11">
        <f t="shared" si="5"/>
        <v>4665900</v>
      </c>
      <c r="I29" s="41"/>
      <c r="J29" s="28"/>
    </row>
    <row r="30" spans="2:10" ht="13.5" thickTop="1">
      <c r="B30" s="9"/>
      <c r="C30" s="9"/>
      <c r="D30" s="9"/>
      <c r="E30" s="9"/>
      <c r="F30" s="9"/>
      <c r="G30" s="9"/>
      <c r="H30" s="9"/>
      <c r="I30" s="41"/>
      <c r="J30" s="28"/>
    </row>
    <row r="31" spans="2:10" ht="12.75">
      <c r="B31" s="9"/>
      <c r="C31" s="9"/>
      <c r="D31" s="9"/>
      <c r="E31" s="9"/>
      <c r="F31" s="9"/>
      <c r="G31" s="9"/>
      <c r="H31" s="9"/>
      <c r="I31" s="41"/>
      <c r="J31" s="28"/>
    </row>
    <row r="32" spans="2:10" ht="12.75">
      <c r="B32" s="12"/>
      <c r="C32" s="12"/>
      <c r="D32" s="12"/>
      <c r="E32" s="12"/>
      <c r="F32" s="12"/>
      <c r="G32" s="12"/>
      <c r="H32" s="12"/>
      <c r="I32" s="41"/>
      <c r="J32" s="28"/>
    </row>
    <row r="33" spans="1:10" ht="12.75">
      <c r="A33" s="3" t="s">
        <v>181</v>
      </c>
      <c r="B33" s="6"/>
      <c r="C33" s="75" t="s">
        <v>182</v>
      </c>
      <c r="D33" s="9">
        <f>31986.39+3000-8662+238</f>
        <v>26562.39</v>
      </c>
      <c r="E33" s="9">
        <f>+D33*1.02</f>
        <v>27093.6378</v>
      </c>
      <c r="F33" s="9">
        <f>+E33*1.02</f>
        <v>27635.510556</v>
      </c>
      <c r="G33" s="9">
        <f>+F33*1.02</f>
        <v>28188.22076712</v>
      </c>
      <c r="H33" s="6"/>
      <c r="J33" s="28" t="s">
        <v>212</v>
      </c>
    </row>
    <row r="34" spans="1:10" ht="12.75">
      <c r="A34" s="7" t="s">
        <v>14</v>
      </c>
      <c r="B34" s="6"/>
      <c r="C34" s="76" t="s">
        <v>183</v>
      </c>
      <c r="D34" s="6"/>
      <c r="E34" s="6"/>
      <c r="F34" s="6"/>
      <c r="G34" s="6"/>
      <c r="H34" s="6"/>
      <c r="J34" s="3" t="s">
        <v>213</v>
      </c>
    </row>
    <row r="35" spans="1:10" ht="12.75">
      <c r="A35" s="3" t="s">
        <v>265</v>
      </c>
      <c r="B35" s="37"/>
      <c r="C35" s="77">
        <f>+'[2]Household Counts'!$N$6</f>
        <v>68961</v>
      </c>
      <c r="D35" s="32">
        <f>+'[3]Household Counts'!$N$5</f>
        <v>70740.42857142858</v>
      </c>
      <c r="E35" s="1">
        <f>+(D35*0.02)+D35</f>
        <v>72155.23714285715</v>
      </c>
      <c r="F35" s="1">
        <f>+(E35*0.02)+E35</f>
        <v>73598.3418857143</v>
      </c>
      <c r="G35" s="1">
        <f>+(F35*0.02)+F35</f>
        <v>75070.30872342858</v>
      </c>
      <c r="I35" s="1"/>
      <c r="J35" s="84" t="s">
        <v>214</v>
      </c>
    </row>
    <row r="36" spans="1:9" ht="12.75">
      <c r="A36" s="3" t="s">
        <v>266</v>
      </c>
      <c r="B36" s="63"/>
      <c r="C36" s="77">
        <v>213</v>
      </c>
      <c r="D36" s="73">
        <v>213</v>
      </c>
      <c r="E36" s="26">
        <v>213</v>
      </c>
      <c r="F36" s="26">
        <v>213</v>
      </c>
      <c r="G36" s="26">
        <v>213</v>
      </c>
      <c r="H36" s="74"/>
      <c r="I36" s="36"/>
    </row>
    <row r="37" spans="1:8" ht="12.75">
      <c r="A37" s="3" t="s">
        <v>68</v>
      </c>
      <c r="B37" s="37"/>
      <c r="C37" s="77"/>
      <c r="D37" s="64">
        <f>+((C35*C36)/12*9)+(D35*D36)/12*3</f>
        <v>14783447.57142857</v>
      </c>
      <c r="E37" s="42">
        <f>+(D35*D36*0.75)+(E35*E36*0.25)</f>
        <v>15143049.84214286</v>
      </c>
      <c r="F37" s="42">
        <f>+(E35*E36*0.75)+(F35*F36*0.25)</f>
        <v>15445910.838985715</v>
      </c>
      <c r="G37" s="42">
        <f>+(F35*F36*0.75)+(G35*G36*0.25)</f>
        <v>15754829.055765431</v>
      </c>
      <c r="H37" s="2"/>
    </row>
    <row r="38" spans="1:4" ht="12.75">
      <c r="A38" s="3" t="s">
        <v>14</v>
      </c>
      <c r="B38" s="37"/>
      <c r="C38" s="77"/>
      <c r="D38" s="37"/>
    </row>
    <row r="39" spans="1:10" ht="12.75">
      <c r="A39" s="3" t="s">
        <v>267</v>
      </c>
      <c r="B39" s="37"/>
      <c r="C39" s="77">
        <f>+'[2]Household Counts'!$N$16</f>
        <v>7725</v>
      </c>
      <c r="D39" s="32">
        <f>+'[3]Household Counts'!$N$15</f>
        <v>7630</v>
      </c>
      <c r="E39" s="1">
        <f>+(D39*0.02)+D39</f>
        <v>7782.6</v>
      </c>
      <c r="F39" s="1">
        <f>+(E39*0.02)+E39</f>
        <v>7938.252</v>
      </c>
      <c r="G39" s="1">
        <f>+(F39*0.02)+F39</f>
        <v>8097.017040000001</v>
      </c>
      <c r="I39" s="1"/>
      <c r="J39" s="84" t="s">
        <v>215</v>
      </c>
    </row>
    <row r="40" spans="1:9" ht="12.75">
      <c r="A40" s="3" t="s">
        <v>268</v>
      </c>
      <c r="B40" s="63"/>
      <c r="C40" s="77">
        <v>115</v>
      </c>
      <c r="D40" s="73">
        <v>115</v>
      </c>
      <c r="E40" s="26">
        <v>115</v>
      </c>
      <c r="F40" s="26">
        <v>115</v>
      </c>
      <c r="G40" s="26">
        <v>115</v>
      </c>
      <c r="H40" s="74"/>
      <c r="I40" s="36"/>
    </row>
    <row r="41" spans="1:8" ht="12.75">
      <c r="A41" s="3" t="s">
        <v>68</v>
      </c>
      <c r="B41" s="37"/>
      <c r="C41" s="77"/>
      <c r="D41" s="64">
        <f>+((C39*C40)/12*9)+(D39*D40)/12*3</f>
        <v>885643.75</v>
      </c>
      <c r="E41" s="42">
        <f>+(D39*D40*0.75)+(E39*E40*0.25)</f>
        <v>881837.25</v>
      </c>
      <c r="F41" s="42">
        <f>+(E39*E40*0.75)+(F39*F40*0.25)</f>
        <v>899473.995</v>
      </c>
      <c r="G41" s="42">
        <f>+(F39*F40*0.75)+(G39*G40*0.25)</f>
        <v>917463.4749000001</v>
      </c>
      <c r="H41" s="2"/>
    </row>
    <row r="42" spans="2:5" ht="12.75">
      <c r="B42" s="37"/>
      <c r="C42" s="77"/>
      <c r="D42" s="37"/>
      <c r="E42" s="2"/>
    </row>
    <row r="43" spans="2:7" ht="12.75" hidden="1">
      <c r="B43" s="37"/>
      <c r="C43" s="77"/>
      <c r="D43" s="32" t="e">
        <f>+#REF!-D11</f>
        <v>#REF!</v>
      </c>
      <c r="E43" s="1" t="e">
        <f>+#REF!-E11</f>
        <v>#REF!</v>
      </c>
      <c r="F43" s="1" t="e">
        <f>+#REF!-F11</f>
        <v>#REF!</v>
      </c>
      <c r="G43" s="1" t="e">
        <f>+#REF!-G11</f>
        <v>#REF!</v>
      </c>
    </row>
    <row r="44" spans="1:10" ht="12.75">
      <c r="A44" s="28" t="s">
        <v>269</v>
      </c>
      <c r="B44" s="37"/>
      <c r="C44" s="77">
        <f>+'[2]Household Counts'!$N$26</f>
        <v>770</v>
      </c>
      <c r="D44" s="32">
        <f>+'[3]Household Counts'!$N$25</f>
        <v>874</v>
      </c>
      <c r="E44" s="1">
        <f>+(D44*0.02)+D44</f>
        <v>891.48</v>
      </c>
      <c r="F44" s="1">
        <f>+(E44*0.02)+E44</f>
        <v>909.3096</v>
      </c>
      <c r="G44" s="1">
        <f>+(F44*0.02)+F44</f>
        <v>927.495792</v>
      </c>
      <c r="I44" s="1"/>
      <c r="J44" s="84" t="s">
        <v>216</v>
      </c>
    </row>
    <row r="45" spans="1:9" ht="12.75">
      <c r="A45" s="28" t="s">
        <v>270</v>
      </c>
      <c r="B45" s="63"/>
      <c r="C45" s="78">
        <v>140</v>
      </c>
      <c r="D45" s="73">
        <v>140</v>
      </c>
      <c r="E45" s="26">
        <v>140</v>
      </c>
      <c r="F45" s="26">
        <v>140</v>
      </c>
      <c r="G45" s="26">
        <v>140</v>
      </c>
      <c r="H45" s="74"/>
      <c r="I45" s="36"/>
    </row>
    <row r="46" spans="1:8" ht="12.75">
      <c r="A46" s="3" t="s">
        <v>68</v>
      </c>
      <c r="B46" s="37"/>
      <c r="C46" s="37"/>
      <c r="D46" s="64">
        <f>+((C44*C45)/12*9)+(D44*D45)/12*3</f>
        <v>111440</v>
      </c>
      <c r="E46" s="42">
        <f>+(D44*D45*0.75)+(E44*E45*0.25)</f>
        <v>122971.8</v>
      </c>
      <c r="F46" s="42">
        <f>+(E44*E45*0.75)+(F44*F45*0.25)</f>
        <v>125431.236</v>
      </c>
      <c r="G46" s="42">
        <f>+(F44*F45*0.75)+(G44*G45*0.25)</f>
        <v>127939.86072</v>
      </c>
      <c r="H46" s="2"/>
    </row>
    <row r="47" spans="4:8" ht="12.75">
      <c r="D47" s="37"/>
      <c r="E47" s="2"/>
      <c r="F47" s="2"/>
      <c r="G47" s="2"/>
      <c r="H47" s="2"/>
    </row>
    <row r="48" spans="4:8" ht="13.5" thickBot="1">
      <c r="D48" s="11">
        <f>+D37+D41+D46+D33</f>
        <v>15807093.711428571</v>
      </c>
      <c r="E48" s="11">
        <f>+E37+E41+E46+E33</f>
        <v>16174952.52994286</v>
      </c>
      <c r="F48" s="11">
        <f>+F37+F41+F46+F33</f>
        <v>16498451.580541713</v>
      </c>
      <c r="G48" s="11">
        <f>+G37+G41+G46+G33</f>
        <v>16828420.612152554</v>
      </c>
      <c r="H48" s="29"/>
    </row>
    <row r="49" ht="13.5" thickTop="1"/>
    <row r="50" spans="4:13" ht="12.75">
      <c r="D50" s="130" t="s">
        <v>220</v>
      </c>
      <c r="E50" s="36"/>
      <c r="F50" s="36"/>
      <c r="G50" s="36"/>
      <c r="H50" s="36"/>
      <c r="I50" s="131"/>
      <c r="J50" s="81"/>
      <c r="K50" s="81"/>
      <c r="L50" s="81"/>
      <c r="M50" s="81"/>
    </row>
    <row r="51" spans="4:13" ht="12.75">
      <c r="D51" s="36" t="s">
        <v>218</v>
      </c>
      <c r="E51" s="36"/>
      <c r="F51" s="36"/>
      <c r="G51" s="36"/>
      <c r="H51" s="36"/>
      <c r="I51" s="131"/>
      <c r="J51" s="81"/>
      <c r="K51" s="81"/>
      <c r="L51" s="81"/>
      <c r="M51" s="81"/>
    </row>
    <row r="52" spans="4:13" ht="12.75">
      <c r="D52" s="36" t="s">
        <v>219</v>
      </c>
      <c r="E52" s="36"/>
      <c r="F52" s="36"/>
      <c r="G52" s="36"/>
      <c r="H52" s="36"/>
      <c r="I52" s="131"/>
      <c r="J52" s="81"/>
      <c r="K52" s="81"/>
      <c r="L52" s="81"/>
      <c r="M52" s="81"/>
    </row>
  </sheetData>
  <sheetProtection password="E07E" sheet="1"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xSplit="1" ySplit="5" topLeftCell="C1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2" sqref="E32"/>
    </sheetView>
  </sheetViews>
  <sheetFormatPr defaultColWidth="9.140625" defaultRowHeight="12.75"/>
  <cols>
    <col min="1" max="1" width="29.28125" style="3" customWidth="1"/>
    <col min="2" max="2" width="14.421875" style="3" hidden="1" customWidth="1"/>
    <col min="3" max="5" width="14.421875" style="3" customWidth="1"/>
    <col min="6" max="6" width="14.421875" style="3" hidden="1" customWidth="1"/>
    <col min="7" max="7" width="9.57421875" style="15" customWidth="1"/>
    <col min="8" max="8" width="56.28125" style="3" customWidth="1"/>
    <col min="9" max="16384" width="8.8515625" style="3" customWidth="1"/>
  </cols>
  <sheetData>
    <row r="1" spans="1:7" ht="15.75">
      <c r="A1" s="44" t="s">
        <v>191</v>
      </c>
      <c r="B1" s="23"/>
      <c r="C1" s="23"/>
      <c r="D1" s="23"/>
      <c r="E1" s="23"/>
      <c r="F1" s="23"/>
      <c r="G1" s="30"/>
    </row>
    <row r="2" spans="1:7" ht="14.25">
      <c r="A2" s="47" t="s">
        <v>14</v>
      </c>
      <c r="B2" s="48" t="s">
        <v>14</v>
      </c>
      <c r="C2" s="48" t="s">
        <v>14</v>
      </c>
      <c r="D2" s="48" t="s">
        <v>14</v>
      </c>
      <c r="E2" s="48" t="s">
        <v>14</v>
      </c>
      <c r="F2" s="48" t="s">
        <v>14</v>
      </c>
      <c r="G2" s="30"/>
    </row>
    <row r="3" spans="1:8" ht="12.75">
      <c r="A3" s="23"/>
      <c r="B3" s="4" t="s">
        <v>8</v>
      </c>
      <c r="C3" s="4" t="s">
        <v>66</v>
      </c>
      <c r="D3" s="4" t="s">
        <v>66</v>
      </c>
      <c r="E3" s="4" t="s">
        <v>66</v>
      </c>
      <c r="F3" s="4" t="s">
        <v>66</v>
      </c>
      <c r="G3" s="13" t="s">
        <v>79</v>
      </c>
      <c r="H3" s="4" t="s">
        <v>150</v>
      </c>
    </row>
    <row r="4" spans="1:8" ht="12.75">
      <c r="A4" s="55"/>
      <c r="B4" s="4" t="s">
        <v>155</v>
      </c>
      <c r="C4" s="4" t="s">
        <v>157</v>
      </c>
      <c r="D4" s="4" t="s">
        <v>158</v>
      </c>
      <c r="E4" s="4" t="s">
        <v>159</v>
      </c>
      <c r="F4" s="4" t="s">
        <v>160</v>
      </c>
      <c r="G4" s="13" t="s">
        <v>136</v>
      </c>
      <c r="H4" s="4" t="s">
        <v>149</v>
      </c>
    </row>
    <row r="5" spans="1:7" ht="12.75">
      <c r="A5" s="23"/>
      <c r="B5" s="23"/>
      <c r="C5" s="23"/>
      <c r="D5" s="23"/>
      <c r="E5" s="23"/>
      <c r="F5" s="23"/>
      <c r="G5" s="30"/>
    </row>
    <row r="6" spans="1:7" ht="12.75">
      <c r="A6" s="50" t="s">
        <v>18</v>
      </c>
      <c r="B6" s="23"/>
      <c r="C6" s="23"/>
      <c r="D6" s="23"/>
      <c r="E6" s="23"/>
      <c r="F6" s="23"/>
      <c r="G6" s="30"/>
    </row>
    <row r="7" spans="1:7" ht="12.75">
      <c r="A7" s="23"/>
      <c r="B7" s="23"/>
      <c r="C7" s="23"/>
      <c r="D7" s="23"/>
      <c r="E7" s="23"/>
      <c r="F7" s="23"/>
      <c r="G7" s="30"/>
    </row>
    <row r="8" spans="1:8" ht="12.75">
      <c r="A8" s="23" t="s">
        <v>19</v>
      </c>
      <c r="B8" s="9">
        <v>2825</v>
      </c>
      <c r="C8" s="9">
        <f>+'[3]Admin Exp'!$H$9</f>
        <v>3300</v>
      </c>
      <c r="D8" s="9">
        <f aca="true" t="shared" si="0" ref="D8:F14">+C8*$G8</f>
        <v>3366</v>
      </c>
      <c r="E8" s="9">
        <f t="shared" si="0"/>
        <v>3433.32</v>
      </c>
      <c r="F8" s="9">
        <f t="shared" si="0"/>
        <v>3501.9864000000002</v>
      </c>
      <c r="G8" s="30">
        <v>1.02</v>
      </c>
      <c r="H8" s="3" t="s">
        <v>151</v>
      </c>
    </row>
    <row r="9" spans="1:9" ht="25.5">
      <c r="A9" s="23" t="s">
        <v>20</v>
      </c>
      <c r="B9" s="9">
        <v>28015</v>
      </c>
      <c r="C9" s="9">
        <f>+'[3]Admin Exp'!$H$10</f>
        <v>43700</v>
      </c>
      <c r="D9" s="9">
        <f t="shared" si="0"/>
        <v>52440</v>
      </c>
      <c r="E9" s="9">
        <f t="shared" si="0"/>
        <v>62928</v>
      </c>
      <c r="F9" s="9">
        <f t="shared" si="0"/>
        <v>75513.59999999999</v>
      </c>
      <c r="G9" s="30">
        <v>1.2</v>
      </c>
      <c r="H9" s="34" t="s">
        <v>257</v>
      </c>
      <c r="I9" s="3" t="s">
        <v>14</v>
      </c>
    </row>
    <row r="10" spans="1:8" ht="12.75">
      <c r="A10" s="23" t="s">
        <v>21</v>
      </c>
      <c r="B10" s="9">
        <v>3721</v>
      </c>
      <c r="C10" s="9">
        <f>+'[3]Admin Exp'!$H$11</f>
        <v>3900</v>
      </c>
      <c r="D10" s="9">
        <f t="shared" si="0"/>
        <v>3978</v>
      </c>
      <c r="E10" s="9">
        <f t="shared" si="0"/>
        <v>4057.56</v>
      </c>
      <c r="F10" s="9">
        <f t="shared" si="0"/>
        <v>4138.7112</v>
      </c>
      <c r="G10" s="30">
        <v>1.02</v>
      </c>
      <c r="H10" s="3" t="s">
        <v>151</v>
      </c>
    </row>
    <row r="11" spans="1:8" ht="12.75">
      <c r="A11" s="23" t="s">
        <v>22</v>
      </c>
      <c r="B11" s="9">
        <v>344</v>
      </c>
      <c r="C11" s="9">
        <f>+'[3]Admin Exp'!$H$12</f>
        <v>400</v>
      </c>
      <c r="D11" s="9">
        <f t="shared" si="0"/>
        <v>408</v>
      </c>
      <c r="E11" s="9">
        <f t="shared" si="0"/>
        <v>416.16</v>
      </c>
      <c r="F11" s="9">
        <f t="shared" si="0"/>
        <v>424.4832</v>
      </c>
      <c r="G11" s="30">
        <v>1.02</v>
      </c>
      <c r="H11" s="3" t="s">
        <v>151</v>
      </c>
    </row>
    <row r="12" spans="1:8" ht="12.75">
      <c r="A12" s="23" t="s">
        <v>23</v>
      </c>
      <c r="B12" s="9">
        <v>17578</v>
      </c>
      <c r="C12" s="9">
        <f>+'[3]Admin Exp'!$H$13</f>
        <v>13700</v>
      </c>
      <c r="D12" s="9">
        <f t="shared" si="0"/>
        <v>13974</v>
      </c>
      <c r="E12" s="9">
        <f t="shared" si="0"/>
        <v>14253.48</v>
      </c>
      <c r="F12" s="9">
        <f t="shared" si="0"/>
        <v>14538.5496</v>
      </c>
      <c r="G12" s="30">
        <v>1.02</v>
      </c>
      <c r="H12" s="3" t="s">
        <v>151</v>
      </c>
    </row>
    <row r="13" spans="1:8" ht="12.75">
      <c r="A13" s="23" t="s">
        <v>24</v>
      </c>
      <c r="B13" s="9">
        <v>4632</v>
      </c>
      <c r="C13" s="9">
        <f>+'[3]Admin Exp'!$H$14</f>
        <v>800</v>
      </c>
      <c r="D13" s="9">
        <f t="shared" si="0"/>
        <v>816</v>
      </c>
      <c r="E13" s="9">
        <f t="shared" si="0"/>
        <v>832.32</v>
      </c>
      <c r="F13" s="9">
        <f t="shared" si="0"/>
        <v>848.9664</v>
      </c>
      <c r="G13" s="30">
        <v>1.02</v>
      </c>
      <c r="H13" s="3" t="s">
        <v>151</v>
      </c>
    </row>
    <row r="14" spans="1:8" s="5" customFormat="1" ht="12.75">
      <c r="A14" s="23" t="s">
        <v>208</v>
      </c>
      <c r="B14" s="12">
        <v>22859</v>
      </c>
      <c r="C14" s="9">
        <f>+'[3]Admin Exp'!$H$15</f>
        <v>100600</v>
      </c>
      <c r="D14" s="9">
        <f>+((C14-34000-4000-4000)*$G14)+50000</f>
        <v>109772</v>
      </c>
      <c r="E14" s="9">
        <f>+(D14-50000)*$G14</f>
        <v>60967.44</v>
      </c>
      <c r="F14" s="9">
        <f t="shared" si="0"/>
        <v>62186.7888</v>
      </c>
      <c r="G14" s="41">
        <v>1.02</v>
      </c>
      <c r="H14" s="28" t="s">
        <v>151</v>
      </c>
    </row>
    <row r="15" spans="1:8" ht="12.75">
      <c r="A15" s="23" t="s">
        <v>25</v>
      </c>
      <c r="B15" s="9">
        <v>13152</v>
      </c>
      <c r="C15" s="9">
        <f>+'[3]Admin Exp'!$H$16</f>
        <v>20000</v>
      </c>
      <c r="D15" s="9">
        <f>+C15*$G15</f>
        <v>20400</v>
      </c>
      <c r="E15" s="9">
        <f>+D15*$G15</f>
        <v>20808</v>
      </c>
      <c r="F15" s="9">
        <f>+E15*$G15</f>
        <v>21224.16</v>
      </c>
      <c r="G15" s="41">
        <v>1.02</v>
      </c>
      <c r="H15" s="28" t="s">
        <v>151</v>
      </c>
    </row>
    <row r="16" spans="1:8" s="28" customFormat="1" ht="12.75">
      <c r="A16" s="23" t="s">
        <v>196</v>
      </c>
      <c r="B16" s="9">
        <v>746724</v>
      </c>
      <c r="C16" s="9">
        <f>+'[3]Admin Exp'!$H$17</f>
        <v>889100</v>
      </c>
      <c r="D16" s="9">
        <f>+(819100+27000+140000-69295-104000+30000+66000+4500+65000)*1.0175</f>
        <v>995425.3375</v>
      </c>
      <c r="E16" s="9">
        <f>+(D16-36000)*1.0137</f>
        <v>972569.4646237501</v>
      </c>
      <c r="F16" s="9">
        <f>+E16*1.02</f>
        <v>992020.8539162251</v>
      </c>
      <c r="G16" s="41" t="s">
        <v>14</v>
      </c>
      <c r="H16" s="128" t="s">
        <v>282</v>
      </c>
    </row>
    <row r="17" spans="1:8" ht="12.75">
      <c r="A17" s="23" t="s">
        <v>27</v>
      </c>
      <c r="B17" s="9">
        <v>20359</v>
      </c>
      <c r="C17" s="9">
        <f>+'[3]Admin Exp'!$H$18</f>
        <v>26500</v>
      </c>
      <c r="D17" s="9">
        <f aca="true" t="shared" si="1" ref="D17:F19">+C17*$G17</f>
        <v>27030</v>
      </c>
      <c r="E17" s="9">
        <f t="shared" si="1"/>
        <v>27570.600000000002</v>
      </c>
      <c r="F17" s="9">
        <f t="shared" si="1"/>
        <v>28122.012000000002</v>
      </c>
      <c r="G17" s="30">
        <v>1.02</v>
      </c>
      <c r="H17" s="3" t="s">
        <v>151</v>
      </c>
    </row>
    <row r="18" spans="1:8" ht="12.75">
      <c r="A18" s="23" t="s">
        <v>28</v>
      </c>
      <c r="B18" s="9">
        <v>27005</v>
      </c>
      <c r="C18" s="9">
        <f>+'[3]Admin Exp'!$H$19</f>
        <v>21800</v>
      </c>
      <c r="D18" s="9">
        <f t="shared" si="1"/>
        <v>22236</v>
      </c>
      <c r="E18" s="9">
        <f t="shared" si="1"/>
        <v>22680.72</v>
      </c>
      <c r="F18" s="9">
        <f t="shared" si="1"/>
        <v>23134.334400000003</v>
      </c>
      <c r="G18" s="30">
        <v>1.02</v>
      </c>
      <c r="H18" s="3" t="s">
        <v>151</v>
      </c>
    </row>
    <row r="19" spans="1:10" ht="12.75">
      <c r="A19" s="23" t="s">
        <v>29</v>
      </c>
      <c r="B19" s="10">
        <v>33274</v>
      </c>
      <c r="C19" s="10">
        <f>+'[3]Admin Exp'!$H$20</f>
        <v>33400</v>
      </c>
      <c r="D19" s="10">
        <f t="shared" si="1"/>
        <v>34068</v>
      </c>
      <c r="E19" s="10">
        <f t="shared" si="1"/>
        <v>34749.36</v>
      </c>
      <c r="F19" s="10">
        <f t="shared" si="1"/>
        <v>35444.347200000004</v>
      </c>
      <c r="G19" s="30">
        <v>1.02</v>
      </c>
      <c r="H19" s="3" t="s">
        <v>151</v>
      </c>
      <c r="J19" s="3" t="s">
        <v>14</v>
      </c>
    </row>
    <row r="20" spans="1:10" ht="12.75">
      <c r="A20" s="23"/>
      <c r="B20" s="23"/>
      <c r="C20" s="23"/>
      <c r="D20" s="23"/>
      <c r="E20" s="23"/>
      <c r="F20" s="23"/>
      <c r="G20" s="30"/>
      <c r="J20" s="3" t="s">
        <v>14</v>
      </c>
    </row>
    <row r="21" spans="1:7" ht="12.75">
      <c r="A21" s="23"/>
      <c r="B21" s="51">
        <f>SUM(B8:B19)</f>
        <v>920488</v>
      </c>
      <c r="C21" s="51">
        <f>SUM(C8:C19)</f>
        <v>1157200</v>
      </c>
      <c r="D21" s="51">
        <f>SUM(D8:D19)</f>
        <v>1283913.3375</v>
      </c>
      <c r="E21" s="51">
        <f>SUM(E8:E19)</f>
        <v>1225266.4246237502</v>
      </c>
      <c r="F21" s="51">
        <f>SUM(F8:F19)</f>
        <v>1261098.7931162252</v>
      </c>
      <c r="G21" s="30"/>
    </row>
    <row r="22" spans="1:7" ht="12.75">
      <c r="A22" s="23"/>
      <c r="B22" s="23"/>
      <c r="C22" s="23"/>
      <c r="D22" s="23"/>
      <c r="E22" s="23"/>
      <c r="F22" s="23"/>
      <c r="G22" s="30"/>
    </row>
    <row r="23" spans="1:7" ht="12.75">
      <c r="A23" s="23"/>
      <c r="B23" s="23"/>
      <c r="C23" s="23"/>
      <c r="D23" s="23"/>
      <c r="E23" s="23"/>
      <c r="F23" s="23"/>
      <c r="G23" s="30"/>
    </row>
    <row r="24" spans="1:7" ht="12.75">
      <c r="A24" s="50" t="s">
        <v>30</v>
      </c>
      <c r="B24" s="23"/>
      <c r="C24" s="23"/>
      <c r="D24" s="23"/>
      <c r="E24" s="23"/>
      <c r="F24" s="23"/>
      <c r="G24" s="30"/>
    </row>
    <row r="25" spans="1:7" ht="12.75">
      <c r="A25" s="23"/>
      <c r="B25" s="23"/>
      <c r="C25" s="23"/>
      <c r="D25" s="23"/>
      <c r="E25" s="23"/>
      <c r="F25" s="23"/>
      <c r="G25" s="30"/>
    </row>
    <row r="26" spans="1:8" ht="12.75">
      <c r="A26" s="23" t="s">
        <v>19</v>
      </c>
      <c r="B26" s="9">
        <v>329</v>
      </c>
      <c r="C26" s="9">
        <f>+'[3]Admin Exp'!$H$27</f>
        <v>300</v>
      </c>
      <c r="D26" s="9">
        <f aca="true" t="shared" si="2" ref="D26:F28">+C26*$G26</f>
        <v>306</v>
      </c>
      <c r="E26" s="9">
        <f t="shared" si="2"/>
        <v>312.12</v>
      </c>
      <c r="F26" s="9">
        <f t="shared" si="2"/>
        <v>318.36240000000004</v>
      </c>
      <c r="G26" s="30">
        <v>1.02</v>
      </c>
      <c r="H26" s="3" t="s">
        <v>151</v>
      </c>
    </row>
    <row r="27" spans="1:8" ht="12.75" hidden="1">
      <c r="A27" s="23" t="s">
        <v>22</v>
      </c>
      <c r="B27" s="9">
        <v>0</v>
      </c>
      <c r="C27" s="9">
        <f>+B27*$G27</f>
        <v>0</v>
      </c>
      <c r="D27" s="9">
        <f t="shared" si="2"/>
        <v>0</v>
      </c>
      <c r="E27" s="9">
        <f t="shared" si="2"/>
        <v>0</v>
      </c>
      <c r="F27" s="9">
        <f t="shared" si="2"/>
        <v>0</v>
      </c>
      <c r="G27" s="30">
        <v>1.02</v>
      </c>
      <c r="H27" s="3" t="s">
        <v>151</v>
      </c>
    </row>
    <row r="28" spans="1:8" ht="12.75">
      <c r="A28" s="23" t="s">
        <v>23</v>
      </c>
      <c r="B28" s="9">
        <v>2512</v>
      </c>
      <c r="C28" s="9">
        <f>+'[3]Admin Exp'!$H$28</f>
        <v>2600</v>
      </c>
      <c r="D28" s="9">
        <f t="shared" si="2"/>
        <v>2652</v>
      </c>
      <c r="E28" s="9">
        <f t="shared" si="2"/>
        <v>2705.04</v>
      </c>
      <c r="F28" s="9">
        <f t="shared" si="2"/>
        <v>2759.1408</v>
      </c>
      <c r="G28" s="30">
        <v>1.02</v>
      </c>
      <c r="H28" s="3" t="s">
        <v>151</v>
      </c>
    </row>
    <row r="29" spans="1:8" ht="12.75">
      <c r="A29" s="23" t="s">
        <v>26</v>
      </c>
      <c r="B29" s="9">
        <v>16800</v>
      </c>
      <c r="C29" s="9">
        <f>+'[3]Admin Exp'!$H$31</f>
        <v>16800</v>
      </c>
      <c r="D29" s="9">
        <v>16800</v>
      </c>
      <c r="E29" s="9">
        <v>16800</v>
      </c>
      <c r="F29" s="9">
        <v>16800</v>
      </c>
      <c r="G29" s="15" t="s">
        <v>14</v>
      </c>
      <c r="H29" s="28" t="s">
        <v>255</v>
      </c>
    </row>
    <row r="30" spans="1:8" ht="12.75">
      <c r="A30" s="23" t="s">
        <v>196</v>
      </c>
      <c r="B30" s="9">
        <v>344977</v>
      </c>
      <c r="C30" s="9">
        <f>+'[3]Admin Exp'!$H$32</f>
        <v>381800</v>
      </c>
      <c r="D30" s="9">
        <f>+C30*1.0175</f>
        <v>388481.5</v>
      </c>
      <c r="E30" s="9">
        <f>+D30*1.0137</f>
        <v>393803.69655</v>
      </c>
      <c r="F30" s="9">
        <f>+E30*1.02</f>
        <v>401679.770481</v>
      </c>
      <c r="G30" s="41" t="s">
        <v>14</v>
      </c>
      <c r="H30" s="128" t="s">
        <v>282</v>
      </c>
    </row>
    <row r="31" spans="1:8" ht="12.75">
      <c r="A31" s="23" t="s">
        <v>27</v>
      </c>
      <c r="B31" s="9">
        <v>19876</v>
      </c>
      <c r="C31" s="9">
        <f>+'[3]Admin Exp'!$H$33</f>
        <v>23800</v>
      </c>
      <c r="D31" s="9">
        <f aca="true" t="shared" si="3" ref="D31:F32">+C31*$G31</f>
        <v>24276</v>
      </c>
      <c r="E31" s="9">
        <f t="shared" si="3"/>
        <v>24761.52</v>
      </c>
      <c r="F31" s="9">
        <f t="shared" si="3"/>
        <v>25256.7504</v>
      </c>
      <c r="G31" s="30">
        <v>1.02</v>
      </c>
      <c r="H31" s="3" t="s">
        <v>151</v>
      </c>
    </row>
    <row r="32" spans="1:8" ht="12.75">
      <c r="A32" s="23" t="s">
        <v>28</v>
      </c>
      <c r="B32" s="10">
        <v>3439</v>
      </c>
      <c r="C32" s="10">
        <f>+'[3]Admin Exp'!$H$34</f>
        <v>600</v>
      </c>
      <c r="D32" s="10">
        <f t="shared" si="3"/>
        <v>612</v>
      </c>
      <c r="E32" s="10">
        <f t="shared" si="3"/>
        <v>624.24</v>
      </c>
      <c r="F32" s="10">
        <f t="shared" si="3"/>
        <v>636.7248000000001</v>
      </c>
      <c r="G32" s="30">
        <v>1.02</v>
      </c>
      <c r="H32" s="3" t="s">
        <v>151</v>
      </c>
    </row>
    <row r="33" spans="1:7" ht="12.75">
      <c r="A33" s="23"/>
      <c r="B33" s="23"/>
      <c r="C33" s="23"/>
      <c r="D33" s="23"/>
      <c r="E33" s="23"/>
      <c r="F33" s="23"/>
      <c r="G33" s="30"/>
    </row>
    <row r="34" spans="1:7" ht="12.75">
      <c r="A34" s="23"/>
      <c r="B34" s="51">
        <f>SUM(B26:B33)</f>
        <v>387933</v>
      </c>
      <c r="C34" s="51">
        <f>SUM(C26:C33)</f>
        <v>425900</v>
      </c>
      <c r="D34" s="51">
        <f>SUM(D26:D33)</f>
        <v>433127.5</v>
      </c>
      <c r="E34" s="51">
        <f>SUM(E26:E33)</f>
        <v>439006.61655</v>
      </c>
      <c r="F34" s="51">
        <f>SUM(F26:F33)</f>
        <v>447450.74888100004</v>
      </c>
      <c r="G34" s="30"/>
    </row>
    <row r="35" spans="1:7" ht="12.75">
      <c r="A35" s="23"/>
      <c r="B35" s="23"/>
      <c r="C35" s="23"/>
      <c r="D35" s="23"/>
      <c r="E35" s="23"/>
      <c r="F35" s="23"/>
      <c r="G35" s="30"/>
    </row>
    <row r="36" spans="1:7" ht="12.75">
      <c r="A36" s="50" t="s">
        <v>31</v>
      </c>
      <c r="B36" s="23"/>
      <c r="C36" s="23"/>
      <c r="D36" s="23"/>
      <c r="E36" s="23"/>
      <c r="F36" s="23"/>
      <c r="G36" s="30"/>
    </row>
    <row r="37" spans="1:7" ht="12.75">
      <c r="A37" s="23"/>
      <c r="B37" s="23"/>
      <c r="C37" s="23"/>
      <c r="D37" s="23"/>
      <c r="E37" s="23"/>
      <c r="F37" s="23"/>
      <c r="G37" s="30"/>
    </row>
    <row r="38" spans="1:8" ht="12.75">
      <c r="A38" s="23" t="s">
        <v>21</v>
      </c>
      <c r="B38" s="9">
        <v>4270</v>
      </c>
      <c r="C38" s="9">
        <f>+'[3]Admin Exp'!$H$40</f>
        <v>6000</v>
      </c>
      <c r="D38" s="9">
        <f>+C38*$G38</f>
        <v>6120</v>
      </c>
      <c r="E38" s="9">
        <f>+D38*$G38</f>
        <v>6242.400000000001</v>
      </c>
      <c r="F38" s="9">
        <f>+E38*$G38</f>
        <v>6367.2480000000005</v>
      </c>
      <c r="G38" s="30">
        <v>1.02</v>
      </c>
      <c r="H38" s="3" t="s">
        <v>151</v>
      </c>
    </row>
    <row r="39" spans="1:8" ht="12.75">
      <c r="A39" s="23" t="s">
        <v>196</v>
      </c>
      <c r="B39" s="9">
        <v>136281</v>
      </c>
      <c r="C39" s="9">
        <f>+'[3]Admin Exp'!$H$42</f>
        <v>143700</v>
      </c>
      <c r="D39" s="9">
        <f>+C39*1.0175</f>
        <v>146214.75</v>
      </c>
      <c r="E39" s="9">
        <f>+D39*1.0137</f>
        <v>148217.892075</v>
      </c>
      <c r="F39" s="9">
        <f>+E39*1.02</f>
        <v>151182.2499165</v>
      </c>
      <c r="G39" s="41" t="s">
        <v>14</v>
      </c>
      <c r="H39" s="128" t="s">
        <v>282</v>
      </c>
    </row>
    <row r="40" spans="1:8" ht="12.75">
      <c r="A40" s="23" t="s">
        <v>32</v>
      </c>
      <c r="B40" s="9">
        <v>7459</v>
      </c>
      <c r="C40" s="9">
        <f>+'[3]Admin Exp'!$H$43</f>
        <v>1600</v>
      </c>
      <c r="D40" s="9">
        <f aca="true" t="shared" si="4" ref="D40:F42">+C40*$G40</f>
        <v>1632</v>
      </c>
      <c r="E40" s="9">
        <f t="shared" si="4"/>
        <v>1664.64</v>
      </c>
      <c r="F40" s="9">
        <f t="shared" si="4"/>
        <v>1697.9328</v>
      </c>
      <c r="G40" s="41">
        <v>1.02</v>
      </c>
      <c r="H40" s="34" t="s">
        <v>151</v>
      </c>
    </row>
    <row r="41" spans="1:8" ht="12.75">
      <c r="A41" s="23" t="s">
        <v>27</v>
      </c>
      <c r="B41" s="9">
        <v>1175</v>
      </c>
      <c r="C41" s="9">
        <f>+'[3]Admin Exp'!$H$44</f>
        <v>2600</v>
      </c>
      <c r="D41" s="9">
        <f t="shared" si="4"/>
        <v>2652</v>
      </c>
      <c r="E41" s="9">
        <f t="shared" si="4"/>
        <v>2705.04</v>
      </c>
      <c r="F41" s="9">
        <f t="shared" si="4"/>
        <v>2759.1408</v>
      </c>
      <c r="G41" s="30">
        <v>1.02</v>
      </c>
      <c r="H41" s="3" t="s">
        <v>151</v>
      </c>
    </row>
    <row r="42" spans="1:8" ht="12.75">
      <c r="A42" s="23" t="s">
        <v>28</v>
      </c>
      <c r="B42" s="10">
        <v>375</v>
      </c>
      <c r="C42" s="10">
        <f>+'[3]Admin Exp'!$H$45</f>
        <v>200</v>
      </c>
      <c r="D42" s="10">
        <f t="shared" si="4"/>
        <v>204</v>
      </c>
      <c r="E42" s="10">
        <f t="shared" si="4"/>
        <v>208.08</v>
      </c>
      <c r="F42" s="10">
        <f t="shared" si="4"/>
        <v>212.2416</v>
      </c>
      <c r="G42" s="30">
        <v>1.02</v>
      </c>
      <c r="H42" s="3" t="s">
        <v>151</v>
      </c>
    </row>
    <row r="43" spans="1:7" ht="12.75">
      <c r="A43" s="23"/>
      <c r="B43" s="23"/>
      <c r="C43" s="23"/>
      <c r="D43" s="23"/>
      <c r="E43" s="23"/>
      <c r="F43" s="23"/>
      <c r="G43" s="30"/>
    </row>
    <row r="44" spans="1:7" ht="12.75">
      <c r="A44" s="23"/>
      <c r="B44" s="51">
        <f>SUM(B38:B43)</f>
        <v>149560</v>
      </c>
      <c r="C44" s="51">
        <f>SUM(C38:C43)</f>
        <v>154100</v>
      </c>
      <c r="D44" s="51">
        <f>SUM(D38:D43)</f>
        <v>156822.75</v>
      </c>
      <c r="E44" s="51">
        <f>SUM(E38:E43)</f>
        <v>159038.052075</v>
      </c>
      <c r="F44" s="51">
        <f>SUM(F38:F43)</f>
        <v>162218.8131165</v>
      </c>
      <c r="G44" s="30"/>
    </row>
    <row r="45" spans="1:7" ht="12.75">
      <c r="A45" s="23"/>
      <c r="B45" s="23"/>
      <c r="C45" s="23"/>
      <c r="D45" s="23"/>
      <c r="E45" s="23"/>
      <c r="F45" s="23"/>
      <c r="G45" s="30"/>
    </row>
    <row r="46" spans="1:7" ht="13.5" thickBot="1">
      <c r="A46" s="45" t="s">
        <v>33</v>
      </c>
      <c r="B46" s="53">
        <f>+B21+B34+B44</f>
        <v>1457981</v>
      </c>
      <c r="C46" s="53">
        <f>+C21+C34+C44</f>
        <v>1737200</v>
      </c>
      <c r="D46" s="53">
        <f>+D21+D34+D44</f>
        <v>1873863.5875</v>
      </c>
      <c r="E46" s="53">
        <f>+E21+E34+E44</f>
        <v>1823311.09324875</v>
      </c>
      <c r="F46" s="53">
        <f>+F21+F34+F44</f>
        <v>1870768.3551137252</v>
      </c>
      <c r="G46" s="30"/>
    </row>
    <row r="47" ht="13.5" thickTop="1">
      <c r="G47" s="30"/>
    </row>
    <row r="49" ht="12.75">
      <c r="B49" s="3" t="s">
        <v>180</v>
      </c>
    </row>
  </sheetData>
  <sheetProtection password="E07E" sheet="1"/>
  <printOptions/>
  <pageMargins left="0.75" right="0.75" top="1" bottom="1" header="0.5" footer="0.5"/>
  <pageSetup fitToHeight="1" fitToWidth="1" horizontalDpi="600" verticalDpi="600" orientation="landscape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38.57421875" style="23" customWidth="1"/>
    <col min="2" max="2" width="14.00390625" style="23" hidden="1" customWidth="1"/>
    <col min="3" max="5" width="14.00390625" style="23" customWidth="1"/>
    <col min="6" max="6" width="14.00390625" style="23" hidden="1" customWidth="1"/>
    <col min="7" max="7" width="11.00390625" style="41" customWidth="1"/>
    <col min="8" max="8" width="45.140625" style="23" customWidth="1"/>
    <col min="9" max="16384" width="9.140625" style="23" customWidth="1"/>
  </cols>
  <sheetData>
    <row r="1" ht="15">
      <c r="A1" s="44" t="s">
        <v>193</v>
      </c>
    </row>
    <row r="2" spans="1:6" ht="13.5">
      <c r="A2" s="47" t="s">
        <v>14</v>
      </c>
      <c r="B2" s="48" t="s">
        <v>14</v>
      </c>
      <c r="C2" s="48" t="s">
        <v>14</v>
      </c>
      <c r="D2" s="48" t="s">
        <v>14</v>
      </c>
      <c r="E2" s="48" t="s">
        <v>14</v>
      </c>
      <c r="F2" s="48" t="s">
        <v>14</v>
      </c>
    </row>
    <row r="3" spans="2:8" ht="12.75">
      <c r="B3" s="4" t="s">
        <v>8</v>
      </c>
      <c r="C3" s="4" t="s">
        <v>66</v>
      </c>
      <c r="D3" s="4" t="s">
        <v>66</v>
      </c>
      <c r="E3" s="4" t="s">
        <v>66</v>
      </c>
      <c r="F3" s="4" t="s">
        <v>66</v>
      </c>
      <c r="G3" s="13" t="s">
        <v>79</v>
      </c>
      <c r="H3" s="4" t="s">
        <v>150</v>
      </c>
    </row>
    <row r="4" spans="1:8" ht="12.75">
      <c r="A4" s="49"/>
      <c r="B4" s="4" t="s">
        <v>155</v>
      </c>
      <c r="C4" s="4" t="s">
        <v>157</v>
      </c>
      <c r="D4" s="4" t="s">
        <v>158</v>
      </c>
      <c r="E4" s="4" t="s">
        <v>159</v>
      </c>
      <c r="F4" s="4" t="s">
        <v>160</v>
      </c>
      <c r="G4" s="13" t="s">
        <v>136</v>
      </c>
      <c r="H4" s="4" t="s">
        <v>149</v>
      </c>
    </row>
    <row r="5" spans="2:6" ht="12.75">
      <c r="B5" s="46"/>
      <c r="C5" s="46"/>
      <c r="D5" s="46"/>
      <c r="E5" s="46"/>
      <c r="F5" s="46"/>
    </row>
    <row r="6" ht="12.75">
      <c r="A6" s="50" t="s">
        <v>3</v>
      </c>
    </row>
    <row r="8" spans="1:8" ht="12.75">
      <c r="A8" s="23" t="s">
        <v>15</v>
      </c>
      <c r="B8" s="54">
        <v>2417</v>
      </c>
      <c r="C8" s="54">
        <f>+'[3]Adv, educ &amp; PR'!$H$9</f>
        <v>6300</v>
      </c>
      <c r="D8" s="54">
        <f aca="true" t="shared" si="0" ref="D8:F10">+C8*$G8</f>
        <v>6426</v>
      </c>
      <c r="E8" s="54">
        <f t="shared" si="0"/>
        <v>6554.52</v>
      </c>
      <c r="F8" s="54">
        <f t="shared" si="0"/>
        <v>6685.6104000000005</v>
      </c>
      <c r="G8" s="30">
        <v>1.02</v>
      </c>
      <c r="H8" s="3" t="s">
        <v>151</v>
      </c>
    </row>
    <row r="9" spans="1:8" ht="12.75">
      <c r="A9" s="23" t="s">
        <v>16</v>
      </c>
      <c r="B9" s="29">
        <v>55812</v>
      </c>
      <c r="C9" s="29">
        <f>+'[3]Adv, educ &amp; PR'!$H$10</f>
        <v>56100</v>
      </c>
      <c r="D9" s="29">
        <f t="shared" si="0"/>
        <v>57222</v>
      </c>
      <c r="E9" s="29">
        <f t="shared" si="0"/>
        <v>58366.44</v>
      </c>
      <c r="F9" s="29">
        <f t="shared" si="0"/>
        <v>59533.768800000005</v>
      </c>
      <c r="G9" s="30">
        <v>1.02</v>
      </c>
      <c r="H9" s="3" t="s">
        <v>151</v>
      </c>
    </row>
    <row r="10" spans="1:8" ht="12.75">
      <c r="A10" s="23" t="s">
        <v>17</v>
      </c>
      <c r="B10" s="29">
        <v>11216</v>
      </c>
      <c r="C10" s="29">
        <f>+'[3]Adv, educ &amp; PR'!$H$11</f>
        <v>6500</v>
      </c>
      <c r="D10" s="29">
        <f t="shared" si="0"/>
        <v>6630</v>
      </c>
      <c r="E10" s="29">
        <f t="shared" si="0"/>
        <v>6762.6</v>
      </c>
      <c r="F10" s="29">
        <f t="shared" si="0"/>
        <v>6897.852000000001</v>
      </c>
      <c r="G10" s="30">
        <v>1.02</v>
      </c>
      <c r="H10" s="3" t="s">
        <v>151</v>
      </c>
    </row>
    <row r="11" spans="1:8" ht="12.75">
      <c r="A11" s="23" t="s">
        <v>197</v>
      </c>
      <c r="B11" s="10">
        <v>62274</v>
      </c>
      <c r="C11" s="10">
        <f>+'[3]Adv, educ &amp; PR'!$H$12</f>
        <v>49500</v>
      </c>
      <c r="D11" s="10">
        <f>+C11*1.0175</f>
        <v>50366.25</v>
      </c>
      <c r="E11" s="10">
        <f>+D11*1.0137</f>
        <v>51056.267625</v>
      </c>
      <c r="F11" s="10">
        <f>+E11*1.02</f>
        <v>52077.3929775</v>
      </c>
      <c r="G11" s="41" t="s">
        <v>14</v>
      </c>
      <c r="H11" s="128" t="s">
        <v>282</v>
      </c>
    </row>
    <row r="13" spans="1:6" ht="13.5" thickBot="1">
      <c r="A13" s="45" t="s">
        <v>61</v>
      </c>
      <c r="B13" s="53">
        <f>SUM(B8:B11)</f>
        <v>131719</v>
      </c>
      <c r="C13" s="53">
        <f>SUM(C8:C11)</f>
        <v>118400</v>
      </c>
      <c r="D13" s="53">
        <f>SUM(D8:D11)</f>
        <v>120644.25</v>
      </c>
      <c r="E13" s="53">
        <f>SUM(E8:E11)</f>
        <v>122739.827625</v>
      </c>
      <c r="F13" s="53">
        <f>SUM(F8:F11)</f>
        <v>125194.62417750001</v>
      </c>
    </row>
    <row r="14" ht="13.5" thickTop="1"/>
    <row r="16" ht="12.75">
      <c r="B16" s="23" t="s">
        <v>180</v>
      </c>
    </row>
    <row r="20" ht="13.5" customHeight="1"/>
  </sheetData>
  <sheetProtection password="E07E" sheet="1"/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1" sqref="E31"/>
    </sheetView>
  </sheetViews>
  <sheetFormatPr defaultColWidth="9.140625" defaultRowHeight="12.75"/>
  <cols>
    <col min="1" max="1" width="31.140625" style="3" customWidth="1"/>
    <col min="2" max="2" width="15.140625" style="3" hidden="1" customWidth="1"/>
    <col min="3" max="5" width="15.140625" style="3" customWidth="1"/>
    <col min="6" max="6" width="15.140625" style="3" hidden="1" customWidth="1"/>
    <col min="7" max="7" width="17.57421875" style="15" customWidth="1"/>
    <col min="8" max="8" width="50.140625" style="3" customWidth="1"/>
    <col min="9" max="16384" width="8.8515625" style="3" customWidth="1"/>
  </cols>
  <sheetData>
    <row r="1" ht="15">
      <c r="A1" s="8" t="s">
        <v>62</v>
      </c>
    </row>
    <row r="3" spans="2:7" ht="12.75">
      <c r="B3" s="4" t="s">
        <v>14</v>
      </c>
      <c r="C3" s="4" t="s">
        <v>14</v>
      </c>
      <c r="D3" s="4" t="s">
        <v>14</v>
      </c>
      <c r="E3" s="4" t="s">
        <v>14</v>
      </c>
      <c r="F3" s="4" t="s">
        <v>14</v>
      </c>
      <c r="G3" s="30"/>
    </row>
    <row r="4" spans="2:8" ht="12.75">
      <c r="B4" s="4" t="s">
        <v>8</v>
      </c>
      <c r="C4" s="4" t="s">
        <v>66</v>
      </c>
      <c r="D4" s="4" t="s">
        <v>66</v>
      </c>
      <c r="E4" s="4" t="s">
        <v>66</v>
      </c>
      <c r="F4" s="4" t="s">
        <v>66</v>
      </c>
      <c r="G4" s="13" t="s">
        <v>79</v>
      </c>
      <c r="H4" s="4" t="s">
        <v>150</v>
      </c>
    </row>
    <row r="5" spans="2:8" ht="12.75">
      <c r="B5" s="4" t="s">
        <v>155</v>
      </c>
      <c r="C5" s="4" t="s">
        <v>157</v>
      </c>
      <c r="D5" s="4" t="s">
        <v>158</v>
      </c>
      <c r="E5" s="4" t="s">
        <v>159</v>
      </c>
      <c r="F5" s="4" t="s">
        <v>160</v>
      </c>
      <c r="G5" s="13" t="s">
        <v>136</v>
      </c>
      <c r="H5" s="4" t="s">
        <v>149</v>
      </c>
    </row>
    <row r="6" spans="1:7" ht="13.5" customHeight="1">
      <c r="A6" s="55" t="s">
        <v>62</v>
      </c>
      <c r="B6" s="46"/>
      <c r="C6" s="46"/>
      <c r="D6" s="46"/>
      <c r="E6" s="46"/>
      <c r="F6" s="46"/>
      <c r="G6" s="30"/>
    </row>
    <row r="7" spans="1:7" ht="13.5" customHeight="1">
      <c r="A7" s="23"/>
      <c r="B7" s="46"/>
      <c r="C7" s="46"/>
      <c r="D7" s="46"/>
      <c r="E7" s="46"/>
      <c r="F7" s="46"/>
      <c r="G7" s="30"/>
    </row>
    <row r="8" spans="1:8" ht="13.5" customHeight="1">
      <c r="A8" s="23" t="s">
        <v>173</v>
      </c>
      <c r="B8" s="54">
        <v>48405</v>
      </c>
      <c r="C8" s="54">
        <f>+'[3]Residental Exp'!$H$10</f>
        <v>98400</v>
      </c>
      <c r="D8" s="54">
        <f>+C8*$G8</f>
        <v>100368</v>
      </c>
      <c r="E8" s="54">
        <f>+D8*$G8</f>
        <v>102375.36</v>
      </c>
      <c r="F8" s="54">
        <f>+E8*$G8</f>
        <v>104422.86720000001</v>
      </c>
      <c r="G8" s="30">
        <v>1.02</v>
      </c>
      <c r="H8" s="3" t="s">
        <v>151</v>
      </c>
    </row>
    <row r="9" spans="1:8" ht="13.5" customHeight="1">
      <c r="A9" s="23" t="s">
        <v>9</v>
      </c>
      <c r="B9" s="23"/>
      <c r="C9" s="23"/>
      <c r="D9" s="23"/>
      <c r="E9" s="23"/>
      <c r="F9" s="23"/>
      <c r="G9" s="30"/>
      <c r="H9" s="3" t="s">
        <v>14</v>
      </c>
    </row>
    <row r="10" spans="1:8" ht="12" customHeight="1">
      <c r="A10" s="23" t="s">
        <v>10</v>
      </c>
      <c r="B10" s="9">
        <v>4334785</v>
      </c>
      <c r="C10" s="9">
        <f>+'[3]Residental Exp'!$H$12</f>
        <v>4694600</v>
      </c>
      <c r="D10" s="9">
        <f>+Contracts!G36</f>
        <v>4924978.823999999</v>
      </c>
      <c r="E10" s="9">
        <f>+Contracts!H36</f>
        <v>5103224.2853406</v>
      </c>
      <c r="F10" s="9">
        <f>+Contracts!I36</f>
        <v>5270081.370254765</v>
      </c>
      <c r="G10" s="41" t="s">
        <v>277</v>
      </c>
      <c r="H10" s="28" t="s">
        <v>14</v>
      </c>
    </row>
    <row r="11" spans="1:8" ht="18.75" customHeight="1">
      <c r="A11" s="23" t="s">
        <v>11</v>
      </c>
      <c r="B11" s="9">
        <v>1960326</v>
      </c>
      <c r="C11" s="9">
        <f>+'[3]Residental Exp'!$H$13</f>
        <v>2201000</v>
      </c>
      <c r="D11" s="9">
        <f>+Contracts!G48</f>
        <v>2264042.7795999995</v>
      </c>
      <c r="E11" s="9">
        <f>+Contracts!H48</f>
        <v>2405397.0924</v>
      </c>
      <c r="F11" s="9">
        <f>+Contracts!I48</f>
        <v>2526721.99425</v>
      </c>
      <c r="G11" s="41" t="s">
        <v>277</v>
      </c>
      <c r="H11" s="28"/>
    </row>
    <row r="12" spans="1:8" ht="13.5" customHeight="1">
      <c r="A12" s="23" t="s">
        <v>276</v>
      </c>
      <c r="B12" s="9"/>
      <c r="C12" s="9"/>
      <c r="D12" s="9"/>
      <c r="E12" s="9"/>
      <c r="F12" s="9"/>
      <c r="G12" s="30"/>
      <c r="H12" s="3" t="s">
        <v>14</v>
      </c>
    </row>
    <row r="13" spans="1:8" ht="13.5" customHeight="1">
      <c r="A13" s="23" t="s">
        <v>198</v>
      </c>
      <c r="B13" s="9">
        <v>520952</v>
      </c>
      <c r="C13" s="9">
        <f>+'[3]Residental Exp'!$H$15</f>
        <v>546800</v>
      </c>
      <c r="D13" s="9">
        <f>+C13*1.0175</f>
        <v>556369</v>
      </c>
      <c r="E13" s="9">
        <f>+D13*1.0137</f>
        <v>563991.2553000001</v>
      </c>
      <c r="F13" s="9">
        <f>+E13*1.02</f>
        <v>575271.0804060001</v>
      </c>
      <c r="G13" s="41" t="s">
        <v>14</v>
      </c>
      <c r="H13" s="128" t="s">
        <v>282</v>
      </c>
    </row>
    <row r="14" spans="1:8" ht="13.5" customHeight="1">
      <c r="A14" s="23" t="s">
        <v>12</v>
      </c>
      <c r="B14" s="9">
        <v>98869</v>
      </c>
      <c r="C14" s="9">
        <f>+'[3]Residental Exp'!$H$16</f>
        <v>75400</v>
      </c>
      <c r="D14" s="9">
        <f>+C14*$G14</f>
        <v>76908</v>
      </c>
      <c r="E14" s="9">
        <f>+D14*$G14</f>
        <v>78446.16</v>
      </c>
      <c r="F14" s="9">
        <f>+E14*$G14</f>
        <v>80015.08320000001</v>
      </c>
      <c r="G14" s="30">
        <v>1.02</v>
      </c>
      <c r="H14" s="3" t="s">
        <v>151</v>
      </c>
    </row>
    <row r="15" spans="1:7" ht="13.5" customHeight="1">
      <c r="A15" s="23"/>
      <c r="B15" s="52"/>
      <c r="C15" s="52"/>
      <c r="D15" s="52"/>
      <c r="E15" s="52"/>
      <c r="F15" s="52"/>
      <c r="G15" s="30"/>
    </row>
    <row r="16" spans="1:7" ht="13.5" thickBot="1">
      <c r="A16" s="45" t="s">
        <v>13</v>
      </c>
      <c r="B16" s="53">
        <f>SUM(B8:B14)</f>
        <v>6963337</v>
      </c>
      <c r="C16" s="53">
        <f>SUM(C8:C14)</f>
        <v>7616200</v>
      </c>
      <c r="D16" s="53">
        <f>SUM(D8:D14)</f>
        <v>7922666.603599999</v>
      </c>
      <c r="E16" s="53">
        <f>SUM(E8:E14)</f>
        <v>8253434.153040601</v>
      </c>
      <c r="F16" s="53">
        <f>SUM(F8:F14)</f>
        <v>8556512.395310767</v>
      </c>
      <c r="G16" s="30"/>
    </row>
    <row r="17" ht="13.5" thickTop="1"/>
    <row r="19" ht="12.75">
      <c r="B19" s="3" t="s">
        <v>180</v>
      </c>
    </row>
  </sheetData>
  <sheetProtection password="E14E" sheet="1"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pane xSplit="3" ySplit="5" topLeftCell="D5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81" sqref="G81"/>
    </sheetView>
  </sheetViews>
  <sheetFormatPr defaultColWidth="9.140625" defaultRowHeight="12.75"/>
  <cols>
    <col min="1" max="2" width="8.8515625" style="3" customWidth="1"/>
    <col min="3" max="3" width="18.421875" style="3" customWidth="1"/>
    <col min="4" max="4" width="0.5625" style="3" customWidth="1"/>
    <col min="5" max="7" width="14.140625" style="3" customWidth="1"/>
    <col min="8" max="8" width="14.140625" style="3" hidden="1" customWidth="1"/>
    <col min="9" max="9" width="11.28125" style="15" customWidth="1"/>
    <col min="10" max="10" width="63.00390625" style="3" customWidth="1"/>
    <col min="11" max="16384" width="8.8515625" style="3" customWidth="1"/>
  </cols>
  <sheetData>
    <row r="1" spans="1:9" ht="15.75">
      <c r="A1" s="44" t="s">
        <v>194</v>
      </c>
      <c r="B1" s="45"/>
      <c r="C1" s="23"/>
      <c r="D1" s="23"/>
      <c r="E1" s="23"/>
      <c r="F1" s="23"/>
      <c r="G1" s="23"/>
      <c r="H1" s="23"/>
      <c r="I1" s="30"/>
    </row>
    <row r="2" spans="1:9" ht="14.25">
      <c r="A2" s="47" t="s">
        <v>14</v>
      </c>
      <c r="B2" s="23"/>
      <c r="C2" s="23"/>
      <c r="D2" s="48" t="s">
        <v>14</v>
      </c>
      <c r="E2" s="48" t="s">
        <v>14</v>
      </c>
      <c r="F2" s="48" t="s">
        <v>14</v>
      </c>
      <c r="G2" s="48" t="s">
        <v>14</v>
      </c>
      <c r="H2" s="48" t="s">
        <v>14</v>
      </c>
      <c r="I2" s="30"/>
    </row>
    <row r="3" spans="1:10" ht="12.75">
      <c r="A3" s="23"/>
      <c r="B3" s="23"/>
      <c r="C3" s="23"/>
      <c r="D3" s="4" t="s">
        <v>8</v>
      </c>
      <c r="E3" s="4" t="s">
        <v>66</v>
      </c>
      <c r="F3" s="4" t="s">
        <v>66</v>
      </c>
      <c r="G3" s="4" t="s">
        <v>66</v>
      </c>
      <c r="H3" s="4" t="s">
        <v>66</v>
      </c>
      <c r="I3" s="13" t="s">
        <v>79</v>
      </c>
      <c r="J3" s="4" t="s">
        <v>150</v>
      </c>
    </row>
    <row r="4" spans="1:10" ht="12.75">
      <c r="A4" s="55"/>
      <c r="B4" s="55"/>
      <c r="C4" s="55"/>
      <c r="D4" s="4" t="s">
        <v>155</v>
      </c>
      <c r="E4" s="4" t="s">
        <v>157</v>
      </c>
      <c r="F4" s="4" t="s">
        <v>158</v>
      </c>
      <c r="G4" s="4" t="s">
        <v>159</v>
      </c>
      <c r="H4" s="4" t="s">
        <v>160</v>
      </c>
      <c r="I4" s="13" t="s">
        <v>136</v>
      </c>
      <c r="J4" s="4" t="s">
        <v>149</v>
      </c>
    </row>
    <row r="5" spans="1:9" ht="12.75">
      <c r="A5" s="23"/>
      <c r="B5" s="23"/>
      <c r="C5" s="23"/>
      <c r="D5" s="23"/>
      <c r="E5" s="23"/>
      <c r="F5" s="23"/>
      <c r="G5" s="23"/>
      <c r="H5" s="23"/>
      <c r="I5" s="30"/>
    </row>
    <row r="6" spans="1:9" ht="12.75">
      <c r="A6" s="50" t="s">
        <v>34</v>
      </c>
      <c r="B6" s="50"/>
      <c r="C6" s="23"/>
      <c r="D6" s="23"/>
      <c r="E6" s="23"/>
      <c r="F6" s="23"/>
      <c r="G6" s="23"/>
      <c r="H6" s="23"/>
      <c r="I6" s="30"/>
    </row>
    <row r="7" spans="1:10" ht="12.75">
      <c r="A7" s="23" t="s">
        <v>35</v>
      </c>
      <c r="B7" s="23"/>
      <c r="C7" s="23"/>
      <c r="D7" s="54">
        <v>19118</v>
      </c>
      <c r="E7" s="54">
        <f>+'[3]Disposal Exp'!$I$7</f>
        <v>26000</v>
      </c>
      <c r="F7" s="56">
        <f aca="true" t="shared" si="0" ref="F7:H13">+E7*$I7</f>
        <v>26520</v>
      </c>
      <c r="G7" s="56">
        <f t="shared" si="0"/>
        <v>27050.4</v>
      </c>
      <c r="H7" s="56">
        <f t="shared" si="0"/>
        <v>27591.408000000003</v>
      </c>
      <c r="I7" s="41">
        <v>1.02</v>
      </c>
      <c r="J7" s="28" t="s">
        <v>151</v>
      </c>
    </row>
    <row r="8" spans="1:10" ht="12.75">
      <c r="A8" s="23" t="s">
        <v>36</v>
      </c>
      <c r="B8" s="23"/>
      <c r="C8" s="23"/>
      <c r="D8" s="56">
        <v>9975</v>
      </c>
      <c r="E8" s="56">
        <f>+'[3]Disposal Exp'!$I$8</f>
        <v>15900</v>
      </c>
      <c r="F8" s="56">
        <f t="shared" si="0"/>
        <v>16218</v>
      </c>
      <c r="G8" s="56">
        <f t="shared" si="0"/>
        <v>16542.36</v>
      </c>
      <c r="H8" s="56">
        <f t="shared" si="0"/>
        <v>16873.2072</v>
      </c>
      <c r="I8" s="30">
        <v>1.02</v>
      </c>
      <c r="J8" s="3" t="s">
        <v>151</v>
      </c>
    </row>
    <row r="9" spans="1:10" ht="12.75">
      <c r="A9" s="23" t="s">
        <v>37</v>
      </c>
      <c r="B9" s="23"/>
      <c r="C9" s="23"/>
      <c r="D9" s="56">
        <v>66652</v>
      </c>
      <c r="E9" s="56">
        <f>+'[3]Disposal Exp'!$I$9</f>
        <v>68500</v>
      </c>
      <c r="F9" s="56">
        <f t="shared" si="0"/>
        <v>69870</v>
      </c>
      <c r="G9" s="56">
        <f t="shared" si="0"/>
        <v>71267.4</v>
      </c>
      <c r="H9" s="56">
        <f t="shared" si="0"/>
        <v>72692.74799999999</v>
      </c>
      <c r="I9" s="30">
        <v>1.02</v>
      </c>
      <c r="J9" s="3" t="s">
        <v>151</v>
      </c>
    </row>
    <row r="10" spans="1:10" ht="12.75">
      <c r="A10" s="23" t="s">
        <v>38</v>
      </c>
      <c r="B10" s="23"/>
      <c r="C10" s="23"/>
      <c r="D10" s="56">
        <v>19457</v>
      </c>
      <c r="E10" s="56">
        <f>+'[3]Disposal Exp'!$I$10</f>
        <v>20500</v>
      </c>
      <c r="F10" s="56">
        <f t="shared" si="0"/>
        <v>20910</v>
      </c>
      <c r="G10" s="56">
        <f t="shared" si="0"/>
        <v>21328.2</v>
      </c>
      <c r="H10" s="56">
        <f t="shared" si="0"/>
        <v>21754.764000000003</v>
      </c>
      <c r="I10" s="30">
        <v>1.02</v>
      </c>
      <c r="J10" s="3" t="s">
        <v>151</v>
      </c>
    </row>
    <row r="11" spans="1:10" ht="12.75">
      <c r="A11" s="23" t="s">
        <v>39</v>
      </c>
      <c r="B11" s="45"/>
      <c r="C11" s="45"/>
      <c r="D11" s="56">
        <v>77802</v>
      </c>
      <c r="E11" s="56">
        <f>+'[3]Disposal Exp'!$I$11</f>
        <v>78900</v>
      </c>
      <c r="F11" s="56">
        <f t="shared" si="0"/>
        <v>80478</v>
      </c>
      <c r="G11" s="56">
        <f t="shared" si="0"/>
        <v>82087.56</v>
      </c>
      <c r="H11" s="56">
        <f t="shared" si="0"/>
        <v>83729.3112</v>
      </c>
      <c r="I11" s="30">
        <v>1.02</v>
      </c>
      <c r="J11" s="3" t="s">
        <v>151</v>
      </c>
    </row>
    <row r="12" spans="1:10" ht="12.75">
      <c r="A12" s="23" t="s">
        <v>40</v>
      </c>
      <c r="B12" s="23"/>
      <c r="C12" s="23"/>
      <c r="D12" s="56">
        <v>24655</v>
      </c>
      <c r="E12" s="56">
        <f>+'[3]Disposal Exp'!$I$12</f>
        <v>25500</v>
      </c>
      <c r="F12" s="56">
        <f t="shared" si="0"/>
        <v>26010</v>
      </c>
      <c r="G12" s="56">
        <f t="shared" si="0"/>
        <v>26530.2</v>
      </c>
      <c r="H12" s="56">
        <f t="shared" si="0"/>
        <v>27060.804</v>
      </c>
      <c r="I12" s="30">
        <v>1.02</v>
      </c>
      <c r="J12" s="3" t="s">
        <v>151</v>
      </c>
    </row>
    <row r="13" spans="1:10" ht="12.75">
      <c r="A13" s="23" t="s">
        <v>25</v>
      </c>
      <c r="B13" s="23"/>
      <c r="C13" s="23"/>
      <c r="D13" s="56">
        <v>135332</v>
      </c>
      <c r="E13" s="56">
        <f>+'[3]Disposal Exp'!$I$13</f>
        <v>106500</v>
      </c>
      <c r="F13" s="56">
        <f t="shared" si="0"/>
        <v>108630</v>
      </c>
      <c r="G13" s="56">
        <f t="shared" si="0"/>
        <v>110802.6</v>
      </c>
      <c r="H13" s="56">
        <f t="shared" si="0"/>
        <v>113018.652</v>
      </c>
      <c r="I13" s="30">
        <v>1.02</v>
      </c>
      <c r="J13" s="3" t="s">
        <v>151</v>
      </c>
    </row>
    <row r="14" spans="1:10" ht="12.75">
      <c r="A14" s="23" t="s">
        <v>197</v>
      </c>
      <c r="B14" s="23"/>
      <c r="C14" s="23"/>
      <c r="D14" s="56">
        <v>538977</v>
      </c>
      <c r="E14" s="56">
        <f>+'[3]Disposal Exp'!$I$14</f>
        <v>554300</v>
      </c>
      <c r="F14" s="56">
        <f>+E14*1.0175</f>
        <v>564000.25</v>
      </c>
      <c r="G14" s="56">
        <f>+F14*1.0137</f>
        <v>571727.053425</v>
      </c>
      <c r="H14" s="56">
        <f>+G14*1.02</f>
        <v>583161.5944935001</v>
      </c>
      <c r="I14" s="41" t="s">
        <v>14</v>
      </c>
      <c r="J14" s="128" t="s">
        <v>282</v>
      </c>
    </row>
    <row r="15" spans="1:10" ht="12.75">
      <c r="A15" s="23" t="s">
        <v>41</v>
      </c>
      <c r="B15" s="23"/>
      <c r="C15" s="23"/>
      <c r="D15" s="56">
        <v>8493</v>
      </c>
      <c r="E15" s="56">
        <f>+'[3]Disposal Exp'!$I$15</f>
        <v>14500</v>
      </c>
      <c r="F15" s="56">
        <f aca="true" t="shared" si="1" ref="F15:H21">+E15*$I15</f>
        <v>14790</v>
      </c>
      <c r="G15" s="56">
        <f t="shared" si="1"/>
        <v>15085.800000000001</v>
      </c>
      <c r="H15" s="56">
        <f t="shared" si="1"/>
        <v>15387.516000000001</v>
      </c>
      <c r="I15" s="30">
        <v>1.02</v>
      </c>
      <c r="J15" s="3" t="s">
        <v>151</v>
      </c>
    </row>
    <row r="16" spans="1:10" ht="12.75">
      <c r="A16" s="23" t="s">
        <v>70</v>
      </c>
      <c r="B16" s="23"/>
      <c r="C16" s="23"/>
      <c r="D16" s="56">
        <v>104386</v>
      </c>
      <c r="E16" s="56">
        <f>+'[3]Disposal Exp'!$I$16</f>
        <v>113500</v>
      </c>
      <c r="F16" s="56">
        <f t="shared" si="1"/>
        <v>115770</v>
      </c>
      <c r="G16" s="56">
        <f t="shared" si="1"/>
        <v>118085.40000000001</v>
      </c>
      <c r="H16" s="56">
        <f t="shared" si="1"/>
        <v>120447.10800000001</v>
      </c>
      <c r="I16" s="30">
        <v>1.02</v>
      </c>
      <c r="J16" s="3" t="s">
        <v>151</v>
      </c>
    </row>
    <row r="17" spans="1:10" ht="12.75">
      <c r="A17" s="23" t="s">
        <v>27</v>
      </c>
      <c r="B17" s="23"/>
      <c r="C17" s="23"/>
      <c r="D17" s="56">
        <v>3724</v>
      </c>
      <c r="E17" s="56">
        <f>+'[3]Disposal Exp'!$I$17</f>
        <v>5000</v>
      </c>
      <c r="F17" s="56">
        <f t="shared" si="1"/>
        <v>5100</v>
      </c>
      <c r="G17" s="56">
        <f t="shared" si="1"/>
        <v>5202</v>
      </c>
      <c r="H17" s="56">
        <f t="shared" si="1"/>
        <v>5306.04</v>
      </c>
      <c r="I17" s="30">
        <v>1.02</v>
      </c>
      <c r="J17" s="3" t="s">
        <v>151</v>
      </c>
    </row>
    <row r="18" spans="1:10" ht="12.75">
      <c r="A18" s="23" t="s">
        <v>153</v>
      </c>
      <c r="B18" s="23"/>
      <c r="C18" s="23"/>
      <c r="D18" s="56">
        <v>57205</v>
      </c>
      <c r="E18" s="56">
        <f>+'[3]Disposal Exp'!$I$18</f>
        <v>69100</v>
      </c>
      <c r="F18" s="56">
        <f t="shared" si="1"/>
        <v>70482</v>
      </c>
      <c r="G18" s="56">
        <f t="shared" si="1"/>
        <v>71891.64</v>
      </c>
      <c r="H18" s="56">
        <f t="shared" si="1"/>
        <v>73329.4728</v>
      </c>
      <c r="I18" s="30">
        <v>1.02</v>
      </c>
      <c r="J18" s="3" t="s">
        <v>151</v>
      </c>
    </row>
    <row r="19" spans="1:10" ht="12.75" hidden="1">
      <c r="A19" s="23" t="s">
        <v>154</v>
      </c>
      <c r="B19" s="23"/>
      <c r="C19" s="23"/>
      <c r="D19" s="56">
        <v>0</v>
      </c>
      <c r="E19" s="56">
        <v>0</v>
      </c>
      <c r="F19" s="56">
        <f t="shared" si="1"/>
        <v>0</v>
      </c>
      <c r="G19" s="56">
        <f t="shared" si="1"/>
        <v>0</v>
      </c>
      <c r="H19" s="56">
        <f t="shared" si="1"/>
        <v>0</v>
      </c>
      <c r="I19" s="30">
        <v>1.02</v>
      </c>
      <c r="J19" s="3" t="s">
        <v>151</v>
      </c>
    </row>
    <row r="20" spans="1:10" ht="12.75" hidden="1">
      <c r="A20" s="23" t="s">
        <v>42</v>
      </c>
      <c r="B20" s="23"/>
      <c r="C20" s="23"/>
      <c r="D20" s="56">
        <v>89</v>
      </c>
      <c r="E20" s="41">
        <v>0</v>
      </c>
      <c r="F20" s="41">
        <f t="shared" si="1"/>
        <v>0</v>
      </c>
      <c r="G20" s="41">
        <f t="shared" si="1"/>
        <v>0</v>
      </c>
      <c r="H20" s="41">
        <f t="shared" si="1"/>
        <v>0</v>
      </c>
      <c r="I20" s="30">
        <v>1.02</v>
      </c>
      <c r="J20" s="3" t="s">
        <v>151</v>
      </c>
    </row>
    <row r="21" spans="1:10" ht="12.75">
      <c r="A21" s="23" t="s">
        <v>29</v>
      </c>
      <c r="B21" s="23"/>
      <c r="C21" s="23"/>
      <c r="D21" s="57">
        <v>56923</v>
      </c>
      <c r="E21" s="57">
        <f>+'[3]Disposal Exp'!$I$19</f>
        <v>60100</v>
      </c>
      <c r="F21" s="57">
        <f t="shared" si="1"/>
        <v>61302</v>
      </c>
      <c r="G21" s="57">
        <f t="shared" si="1"/>
        <v>62528.04</v>
      </c>
      <c r="H21" s="57">
        <f t="shared" si="1"/>
        <v>63778.6008</v>
      </c>
      <c r="I21" s="30">
        <v>1.02</v>
      </c>
      <c r="J21" s="3" t="s">
        <v>151</v>
      </c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30"/>
    </row>
    <row r="23" spans="1:9" ht="12.75">
      <c r="A23" s="23"/>
      <c r="B23" s="23"/>
      <c r="C23" s="23"/>
      <c r="D23" s="51">
        <f>SUM(D7:D21)</f>
        <v>1122788</v>
      </c>
      <c r="E23" s="51">
        <f>SUM(E7:E21)</f>
        <v>1158300</v>
      </c>
      <c r="F23" s="51">
        <f>SUM(F7:F21)</f>
        <v>1180080.25</v>
      </c>
      <c r="G23" s="51">
        <f>SUM(G7:G21)</f>
        <v>1200128.653425</v>
      </c>
      <c r="H23" s="51">
        <f>SUM(H7:H21)</f>
        <v>1224131.2264935</v>
      </c>
      <c r="I23" s="30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30"/>
    </row>
    <row r="25" spans="1:9" ht="12.75">
      <c r="A25" s="50" t="s">
        <v>43</v>
      </c>
      <c r="B25" s="50"/>
      <c r="C25" s="23"/>
      <c r="D25" s="23"/>
      <c r="E25" s="23"/>
      <c r="F25" s="23"/>
      <c r="G25" s="23"/>
      <c r="H25" s="23"/>
      <c r="I25" s="30"/>
    </row>
    <row r="26" spans="1:10" ht="12.75">
      <c r="A26" s="23" t="s">
        <v>25</v>
      </c>
      <c r="B26" s="23"/>
      <c r="C26" s="23"/>
      <c r="D26" s="56">
        <v>2685</v>
      </c>
      <c r="E26" s="56">
        <f>+'[3]Disposal Exp'!$I$24</f>
        <v>2300</v>
      </c>
      <c r="F26" s="56">
        <f aca="true" t="shared" si="2" ref="F26:H27">+E26*$I26</f>
        <v>2346</v>
      </c>
      <c r="G26" s="56">
        <f t="shared" si="2"/>
        <v>2392.92</v>
      </c>
      <c r="H26" s="56">
        <f t="shared" si="2"/>
        <v>2440.7784</v>
      </c>
      <c r="I26" s="30">
        <v>1.02</v>
      </c>
      <c r="J26" s="3" t="s">
        <v>151</v>
      </c>
    </row>
    <row r="27" spans="1:10" ht="12.75">
      <c r="A27" s="23" t="s">
        <v>29</v>
      </c>
      <c r="B27" s="23"/>
      <c r="C27" s="23"/>
      <c r="D27" s="57">
        <v>1918</v>
      </c>
      <c r="E27" s="57">
        <f>+'[3]Disposal Exp'!$I$25</f>
        <v>2000</v>
      </c>
      <c r="F27" s="57">
        <f t="shared" si="2"/>
        <v>2040</v>
      </c>
      <c r="G27" s="57">
        <f t="shared" si="2"/>
        <v>2080.8</v>
      </c>
      <c r="H27" s="57">
        <f t="shared" si="2"/>
        <v>2122.416</v>
      </c>
      <c r="I27" s="30">
        <v>1.02</v>
      </c>
      <c r="J27" s="3" t="s">
        <v>151</v>
      </c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30"/>
    </row>
    <row r="29" spans="1:9" ht="12.75">
      <c r="A29" s="23"/>
      <c r="B29" s="23"/>
      <c r="C29" s="23"/>
      <c r="D29" s="51">
        <f>SUM(D26:D27)</f>
        <v>4603</v>
      </c>
      <c r="E29" s="51">
        <f>SUM(E26:E27)</f>
        <v>4300</v>
      </c>
      <c r="F29" s="51">
        <f>SUM(F26:F27)</f>
        <v>4386</v>
      </c>
      <c r="G29" s="51">
        <f>SUM(G26:G27)</f>
        <v>4473.72</v>
      </c>
      <c r="H29" s="51">
        <f>SUM(H26:H27)</f>
        <v>4563.1944</v>
      </c>
      <c r="I29" s="30"/>
    </row>
    <row r="30" spans="1:9" ht="12.75">
      <c r="A30" s="23"/>
      <c r="B30" s="23"/>
      <c r="C30" s="23"/>
      <c r="D30" s="46"/>
      <c r="E30" s="46"/>
      <c r="F30" s="46"/>
      <c r="G30" s="46"/>
      <c r="H30" s="46"/>
      <c r="I30" s="30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30"/>
    </row>
    <row r="32" spans="1:9" ht="12.75">
      <c r="A32" s="50" t="s">
        <v>44</v>
      </c>
      <c r="B32" s="50"/>
      <c r="C32" s="23"/>
      <c r="D32" s="23"/>
      <c r="E32" s="23"/>
      <c r="F32" s="23"/>
      <c r="G32" s="23"/>
      <c r="H32" s="23"/>
      <c r="I32" s="30"/>
    </row>
    <row r="33" spans="1:10" ht="12.75">
      <c r="A33" s="23" t="s">
        <v>45</v>
      </c>
      <c r="B33" s="23"/>
      <c r="C33" s="23"/>
      <c r="D33" s="56">
        <v>222473</v>
      </c>
      <c r="E33" s="56">
        <f>+'[3]Disposal Exp'!$I$30</f>
        <v>208700</v>
      </c>
      <c r="F33" s="56">
        <f aca="true" t="shared" si="3" ref="F33:H39">+E33*$I33</f>
        <v>212874</v>
      </c>
      <c r="G33" s="56">
        <f t="shared" si="3"/>
        <v>217131.48</v>
      </c>
      <c r="H33" s="56">
        <f t="shared" si="3"/>
        <v>221474.10960000003</v>
      </c>
      <c r="I33" s="30">
        <v>1.02</v>
      </c>
      <c r="J33" s="3" t="s">
        <v>151</v>
      </c>
    </row>
    <row r="34" spans="1:10" ht="12.75">
      <c r="A34" s="23" t="s">
        <v>49</v>
      </c>
      <c r="B34" s="23"/>
      <c r="C34" s="23"/>
      <c r="D34" s="56">
        <v>2093012</v>
      </c>
      <c r="E34" s="56">
        <f>+'[3]Disposal Exp'!$I$31</f>
        <v>2155700</v>
      </c>
      <c r="F34" s="56">
        <f t="shared" si="3"/>
        <v>2198814</v>
      </c>
      <c r="G34" s="56">
        <f t="shared" si="3"/>
        <v>2242790.2800000003</v>
      </c>
      <c r="H34" s="56">
        <f t="shared" si="3"/>
        <v>2287646.0856000003</v>
      </c>
      <c r="I34" s="30">
        <v>1.02</v>
      </c>
      <c r="J34" s="3" t="s">
        <v>151</v>
      </c>
    </row>
    <row r="35" spans="1:10" ht="12.75">
      <c r="A35" s="28" t="s">
        <v>202</v>
      </c>
      <c r="B35" s="23"/>
      <c r="C35" s="23"/>
      <c r="D35" s="56">
        <v>0</v>
      </c>
      <c r="E35" s="56">
        <f>+'[3]Disposal Exp'!$I$32</f>
        <v>31000</v>
      </c>
      <c r="F35" s="56">
        <v>0</v>
      </c>
      <c r="G35" s="56">
        <f>+E35*I35</f>
        <v>31620</v>
      </c>
      <c r="H35" s="56">
        <v>0</v>
      </c>
      <c r="I35" s="30">
        <v>1.02</v>
      </c>
      <c r="J35" s="3" t="s">
        <v>209</v>
      </c>
    </row>
    <row r="36" spans="1:10" ht="12.75">
      <c r="A36" s="3" t="s">
        <v>64</v>
      </c>
      <c r="B36" s="23"/>
      <c r="C36" s="23"/>
      <c r="D36" s="56">
        <v>81278</v>
      </c>
      <c r="E36" s="56">
        <f>+'[3]Disposal Exp'!$I$33</f>
        <v>88700</v>
      </c>
      <c r="F36" s="56">
        <v>160000</v>
      </c>
      <c r="G36" s="56">
        <f t="shared" si="3"/>
        <v>163200</v>
      </c>
      <c r="H36" s="56">
        <f t="shared" si="3"/>
        <v>166464</v>
      </c>
      <c r="I36" s="30">
        <v>1.02</v>
      </c>
      <c r="J36" s="3" t="s">
        <v>258</v>
      </c>
    </row>
    <row r="37" spans="1:10" ht="12.75">
      <c r="A37" s="3" t="s">
        <v>65</v>
      </c>
      <c r="B37" s="23"/>
      <c r="C37" s="23"/>
      <c r="D37" s="56">
        <v>13308</v>
      </c>
      <c r="E37" s="56">
        <f>+'[3]Disposal Exp'!$I$34</f>
        <v>14000</v>
      </c>
      <c r="F37" s="56">
        <f t="shared" si="3"/>
        <v>14280</v>
      </c>
      <c r="G37" s="56">
        <f t="shared" si="3"/>
        <v>14565.6</v>
      </c>
      <c r="H37" s="56">
        <f t="shared" si="3"/>
        <v>14856.912</v>
      </c>
      <c r="I37" s="30">
        <v>1.02</v>
      </c>
      <c r="J37" s="3" t="s">
        <v>151</v>
      </c>
    </row>
    <row r="38" spans="1:10" ht="12.75">
      <c r="A38" s="23" t="s">
        <v>46</v>
      </c>
      <c r="B38" s="23"/>
      <c r="C38" s="23"/>
      <c r="D38" s="56">
        <v>5900</v>
      </c>
      <c r="E38" s="56">
        <f>+'[3]Disposal Exp'!$I$35</f>
        <v>4600</v>
      </c>
      <c r="F38" s="56">
        <f t="shared" si="3"/>
        <v>4692</v>
      </c>
      <c r="G38" s="56">
        <f t="shared" si="3"/>
        <v>4785.84</v>
      </c>
      <c r="H38" s="56">
        <f t="shared" si="3"/>
        <v>4881.5568</v>
      </c>
      <c r="I38" s="30">
        <v>1.02</v>
      </c>
      <c r="J38" s="3" t="s">
        <v>151</v>
      </c>
    </row>
    <row r="39" spans="1:10" ht="12.75">
      <c r="A39" s="23" t="s">
        <v>47</v>
      </c>
      <c r="B39" s="23"/>
      <c r="C39" s="23"/>
      <c r="D39" s="56">
        <v>3649</v>
      </c>
      <c r="E39" s="56">
        <f>+'[3]Disposal Exp'!$I$36</f>
        <v>4000</v>
      </c>
      <c r="F39" s="56">
        <f t="shared" si="3"/>
        <v>4080</v>
      </c>
      <c r="G39" s="56">
        <f t="shared" si="3"/>
        <v>4161.6</v>
      </c>
      <c r="H39" s="56">
        <f t="shared" si="3"/>
        <v>4244.832</v>
      </c>
      <c r="I39" s="30">
        <v>1.02</v>
      </c>
      <c r="J39" s="3" t="s">
        <v>151</v>
      </c>
    </row>
    <row r="40" spans="1:10" ht="12.75">
      <c r="A40" s="23" t="s">
        <v>199</v>
      </c>
      <c r="B40" s="23"/>
      <c r="C40" s="23"/>
      <c r="D40" s="57">
        <v>146597</v>
      </c>
      <c r="E40" s="57">
        <f>+'[3]Disposal Exp'!$I$37</f>
        <v>144500</v>
      </c>
      <c r="F40" s="57">
        <f>+E40*1.0175</f>
        <v>147028.75</v>
      </c>
      <c r="G40" s="57">
        <f>+F40*1.0137</f>
        <v>149043.043875</v>
      </c>
      <c r="H40" s="57">
        <f>+G40*1.02</f>
        <v>152023.9047525</v>
      </c>
      <c r="I40" s="41" t="s">
        <v>14</v>
      </c>
      <c r="J40" s="128" t="s">
        <v>282</v>
      </c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30"/>
    </row>
    <row r="42" spans="1:9" ht="12.75">
      <c r="A42" s="23"/>
      <c r="B42" s="23"/>
      <c r="C42" s="23"/>
      <c r="D42" s="51">
        <f>SUM(D33:D40)</f>
        <v>2566217</v>
      </c>
      <c r="E42" s="51">
        <f>SUM(E33:E40)</f>
        <v>2651200</v>
      </c>
      <c r="F42" s="51">
        <f>SUM(F33:F40)</f>
        <v>2741768.75</v>
      </c>
      <c r="G42" s="51">
        <f>SUM(G33:G40)</f>
        <v>2827297.8438750003</v>
      </c>
      <c r="H42" s="51">
        <f>SUM(H33:H40)</f>
        <v>2851591.4007525</v>
      </c>
      <c r="I42" s="30"/>
    </row>
    <row r="43" spans="1:9" ht="12.75">
      <c r="A43" s="23"/>
      <c r="B43" s="23"/>
      <c r="C43" s="23"/>
      <c r="D43" s="46"/>
      <c r="E43" s="46"/>
      <c r="F43" s="46"/>
      <c r="G43" s="46"/>
      <c r="H43" s="46"/>
      <c r="I43" s="30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30"/>
    </row>
    <row r="45" spans="1:9" ht="12.75">
      <c r="A45" s="50" t="s">
        <v>48</v>
      </c>
      <c r="B45" s="50"/>
      <c r="C45" s="23"/>
      <c r="D45" s="23"/>
      <c r="E45" s="23"/>
      <c r="F45" s="23"/>
      <c r="G45" s="23"/>
      <c r="H45" s="23"/>
      <c r="I45" s="30"/>
    </row>
    <row r="46" spans="1:10" ht="12.75">
      <c r="A46" s="23" t="s">
        <v>49</v>
      </c>
      <c r="B46" s="23"/>
      <c r="C46" s="23"/>
      <c r="D46" s="56">
        <v>2153171</v>
      </c>
      <c r="E46" s="56">
        <f>+'[3]Disposal Exp'!$I$43</f>
        <v>2246700</v>
      </c>
      <c r="F46" s="56">
        <f>+(196575.93*12)-(66000)</f>
        <v>2292911.16</v>
      </c>
      <c r="G46" s="56">
        <f>+F46*$I46</f>
        <v>2338769.3832</v>
      </c>
      <c r="H46" s="56">
        <f>+G46*$I46</f>
        <v>2385544.770864</v>
      </c>
      <c r="I46" s="41">
        <v>1.02</v>
      </c>
      <c r="J46" s="28" t="s">
        <v>211</v>
      </c>
    </row>
    <row r="47" spans="1:10" s="28" customFormat="1" ht="25.5">
      <c r="A47" s="23" t="s">
        <v>20</v>
      </c>
      <c r="B47" s="23"/>
      <c r="C47" s="23"/>
      <c r="D47" s="56">
        <v>137179</v>
      </c>
      <c r="E47" s="56">
        <f>+'[3]Disposal Exp'!$I$44</f>
        <v>208200</v>
      </c>
      <c r="F47" s="56">
        <f aca="true" t="shared" si="4" ref="F47:H48">+E47*$I47</f>
        <v>249840</v>
      </c>
      <c r="G47" s="56">
        <f t="shared" si="4"/>
        <v>299808</v>
      </c>
      <c r="H47" s="56">
        <f t="shared" si="4"/>
        <v>359769.6</v>
      </c>
      <c r="I47" s="41">
        <v>1.2</v>
      </c>
      <c r="J47" s="82" t="s">
        <v>259</v>
      </c>
    </row>
    <row r="48" spans="1:10" ht="12.75">
      <c r="A48" s="23" t="s">
        <v>50</v>
      </c>
      <c r="B48" s="23"/>
      <c r="C48" s="23"/>
      <c r="D48" s="56">
        <v>302</v>
      </c>
      <c r="E48" s="56">
        <f>+'[3]Disposal Exp'!$I$45</f>
        <v>300</v>
      </c>
      <c r="F48" s="56">
        <f t="shared" si="4"/>
        <v>306</v>
      </c>
      <c r="G48" s="56">
        <f t="shared" si="4"/>
        <v>312.12</v>
      </c>
      <c r="H48" s="56">
        <f t="shared" si="4"/>
        <v>318.36240000000004</v>
      </c>
      <c r="I48" s="30">
        <v>1.02</v>
      </c>
      <c r="J48" s="3" t="s">
        <v>151</v>
      </c>
    </row>
    <row r="49" spans="1:10" ht="12.75">
      <c r="A49" s="23" t="s">
        <v>197</v>
      </c>
      <c r="B49" s="23"/>
      <c r="C49" s="23"/>
      <c r="D49" s="56">
        <v>62212</v>
      </c>
      <c r="E49" s="56">
        <f>+'[3]Disposal Exp'!$I$46</f>
        <v>64900</v>
      </c>
      <c r="F49" s="56">
        <f>+E49*1.0175</f>
        <v>66035.75</v>
      </c>
      <c r="G49" s="56">
        <f>+F49*1.0137</f>
        <v>66940.439775</v>
      </c>
      <c r="H49" s="56">
        <f>+G49*1.02</f>
        <v>68279.24857050001</v>
      </c>
      <c r="I49" s="41" t="s">
        <v>14</v>
      </c>
      <c r="J49" s="128" t="s">
        <v>282</v>
      </c>
    </row>
    <row r="50" spans="1:10" ht="12.75">
      <c r="A50" s="23" t="s">
        <v>25</v>
      </c>
      <c r="B50" s="23"/>
      <c r="C50" s="23"/>
      <c r="D50" s="57">
        <v>163103</v>
      </c>
      <c r="E50" s="57">
        <f>+'[3]Disposal Exp'!$I$47</f>
        <v>307000</v>
      </c>
      <c r="F50" s="57">
        <f>+(E50-107000)*$I50</f>
        <v>204000</v>
      </c>
      <c r="G50" s="57">
        <f>+F50*$I50</f>
        <v>208080</v>
      </c>
      <c r="H50" s="57">
        <f>+G50*$I50</f>
        <v>212241.6</v>
      </c>
      <c r="I50" s="30">
        <v>1.02</v>
      </c>
      <c r="J50" s="3" t="s">
        <v>151</v>
      </c>
    </row>
    <row r="51" spans="1:9" ht="12.75">
      <c r="A51" s="23"/>
      <c r="B51" s="23"/>
      <c r="C51" s="23"/>
      <c r="D51" s="23"/>
      <c r="E51" s="23"/>
      <c r="F51" s="23"/>
      <c r="G51" s="23"/>
      <c r="H51" s="23"/>
      <c r="I51" s="30"/>
    </row>
    <row r="52" spans="1:9" ht="12.75">
      <c r="A52" s="23"/>
      <c r="B52" s="23"/>
      <c r="C52" s="23"/>
      <c r="D52" s="51">
        <f>SUM(D46:D50)</f>
        <v>2515967</v>
      </c>
      <c r="E52" s="51">
        <f>SUM(E46:E50)</f>
        <v>2827100</v>
      </c>
      <c r="F52" s="51">
        <f>SUM(F46:F50)</f>
        <v>2813092.91</v>
      </c>
      <c r="G52" s="51">
        <f>SUM(G46:G50)</f>
        <v>2913909.942975</v>
      </c>
      <c r="H52" s="51">
        <f>SUM(H46:H50)</f>
        <v>3026153.5818345</v>
      </c>
      <c r="I52" s="30"/>
    </row>
    <row r="53" spans="1:9" ht="12.75">
      <c r="A53" s="23"/>
      <c r="B53" s="23"/>
      <c r="C53" s="23"/>
      <c r="D53" s="23"/>
      <c r="E53" s="23"/>
      <c r="F53" s="23"/>
      <c r="G53" s="23"/>
      <c r="H53" s="23"/>
      <c r="I53" s="30"/>
    </row>
    <row r="54" spans="1:9" ht="12.75">
      <c r="A54" s="50" t="s">
        <v>51</v>
      </c>
      <c r="B54" s="23"/>
      <c r="C54" s="23"/>
      <c r="D54" s="23"/>
      <c r="E54" s="23"/>
      <c r="F54" s="23"/>
      <c r="G54" s="23"/>
      <c r="H54" s="23"/>
      <c r="I54" s="30"/>
    </row>
    <row r="55" spans="1:10" ht="12.75">
      <c r="A55" s="23" t="s">
        <v>52</v>
      </c>
      <c r="B55" s="23"/>
      <c r="C55" s="23"/>
      <c r="D55" s="56">
        <v>52288</v>
      </c>
      <c r="E55" s="56">
        <f>+'[3]Disposal Exp'!$I$52</f>
        <v>57800</v>
      </c>
      <c r="F55" s="56">
        <f aca="true" t="shared" si="5" ref="F55:H60">+E55*$I55</f>
        <v>58956</v>
      </c>
      <c r="G55" s="56">
        <f t="shared" si="5"/>
        <v>60135.12</v>
      </c>
      <c r="H55" s="56">
        <f t="shared" si="5"/>
        <v>61337.822400000005</v>
      </c>
      <c r="I55" s="30">
        <v>1.02</v>
      </c>
      <c r="J55" s="3" t="s">
        <v>151</v>
      </c>
    </row>
    <row r="56" spans="1:10" ht="12.75">
      <c r="A56" s="23" t="s">
        <v>200</v>
      </c>
      <c r="B56" s="23"/>
      <c r="C56" s="23"/>
      <c r="D56" s="56">
        <v>576279</v>
      </c>
      <c r="E56" s="56">
        <f>+'[3]Disposal Exp'!$I$53</f>
        <v>484900</v>
      </c>
      <c r="F56" s="56">
        <f t="shared" si="5"/>
        <v>494598</v>
      </c>
      <c r="G56" s="56">
        <f t="shared" si="5"/>
        <v>504489.96</v>
      </c>
      <c r="H56" s="56">
        <f t="shared" si="5"/>
        <v>514579.75920000003</v>
      </c>
      <c r="I56" s="30">
        <v>1.02</v>
      </c>
      <c r="J56" s="3" t="s">
        <v>151</v>
      </c>
    </row>
    <row r="57" spans="1:10" ht="12.75">
      <c r="A57" s="23" t="s">
        <v>53</v>
      </c>
      <c r="B57" s="23"/>
      <c r="C57" s="23"/>
      <c r="D57" s="56">
        <v>123810</v>
      </c>
      <c r="E57" s="56">
        <f>+'[3]Disposal Exp'!$I$54</f>
        <v>133100</v>
      </c>
      <c r="F57" s="56">
        <f t="shared" si="5"/>
        <v>135762</v>
      </c>
      <c r="G57" s="56">
        <f t="shared" si="5"/>
        <v>138477.24</v>
      </c>
      <c r="H57" s="56">
        <f t="shared" si="5"/>
        <v>141246.7848</v>
      </c>
      <c r="I57" s="30">
        <v>1.02</v>
      </c>
      <c r="J57" s="3" t="s">
        <v>151</v>
      </c>
    </row>
    <row r="58" spans="1:10" ht="12.75">
      <c r="A58" s="23" t="s">
        <v>54</v>
      </c>
      <c r="B58" s="23"/>
      <c r="C58" s="23"/>
      <c r="D58" s="56">
        <v>28128</v>
      </c>
      <c r="E58" s="56">
        <f>+'[3]Disposal Exp'!$I$55</f>
        <v>31100</v>
      </c>
      <c r="F58" s="56">
        <f t="shared" si="5"/>
        <v>31722</v>
      </c>
      <c r="G58" s="56">
        <f t="shared" si="5"/>
        <v>32356.440000000002</v>
      </c>
      <c r="H58" s="56">
        <f t="shared" si="5"/>
        <v>33003.5688</v>
      </c>
      <c r="I58" s="30">
        <v>1.02</v>
      </c>
      <c r="J58" s="3" t="s">
        <v>151</v>
      </c>
    </row>
    <row r="59" spans="1:10" ht="12.75">
      <c r="A59" s="23" t="s">
        <v>67</v>
      </c>
      <c r="B59" s="23"/>
      <c r="C59" s="23"/>
      <c r="D59" s="56">
        <v>665</v>
      </c>
      <c r="E59" s="56">
        <f>+'[3]Disposal Exp'!$I$56</f>
        <v>12000</v>
      </c>
      <c r="F59" s="56">
        <f t="shared" si="5"/>
        <v>12240</v>
      </c>
      <c r="G59" s="56">
        <f t="shared" si="5"/>
        <v>12484.800000000001</v>
      </c>
      <c r="H59" s="56">
        <f t="shared" si="5"/>
        <v>12734.496000000001</v>
      </c>
      <c r="I59" s="30">
        <v>1.02</v>
      </c>
      <c r="J59" s="3" t="s">
        <v>151</v>
      </c>
    </row>
    <row r="60" spans="1:10" ht="12.75">
      <c r="A60" s="23" t="s">
        <v>25</v>
      </c>
      <c r="B60" s="23"/>
      <c r="C60" s="23"/>
      <c r="D60" s="56">
        <v>227904</v>
      </c>
      <c r="E60" s="56">
        <f>+'[3]Disposal Exp'!$I$57</f>
        <v>234300</v>
      </c>
      <c r="F60" s="56">
        <f t="shared" si="5"/>
        <v>238986</v>
      </c>
      <c r="G60" s="56">
        <f t="shared" si="5"/>
        <v>243765.72</v>
      </c>
      <c r="H60" s="56">
        <f t="shared" si="5"/>
        <v>248641.0344</v>
      </c>
      <c r="I60" s="30">
        <v>1.02</v>
      </c>
      <c r="J60" s="3" t="s">
        <v>151</v>
      </c>
    </row>
    <row r="61" spans="1:10" ht="12.75">
      <c r="A61" s="23" t="s">
        <v>197</v>
      </c>
      <c r="B61" s="23"/>
      <c r="C61" s="23"/>
      <c r="D61" s="56">
        <v>352154</v>
      </c>
      <c r="E61" s="56">
        <f>+'[3]Disposal Exp'!$I$58</f>
        <v>374400</v>
      </c>
      <c r="F61" s="56">
        <f>+E61*1.0175</f>
        <v>380952</v>
      </c>
      <c r="G61" s="56">
        <f>+F61*1.0137</f>
        <v>386171.04240000003</v>
      </c>
      <c r="H61" s="56">
        <f>+G61*1.02</f>
        <v>393894.463248</v>
      </c>
      <c r="I61" s="41" t="s">
        <v>14</v>
      </c>
      <c r="J61" s="128" t="s">
        <v>282</v>
      </c>
    </row>
    <row r="62" spans="1:10" ht="12.75">
      <c r="A62" s="23" t="s">
        <v>41</v>
      </c>
      <c r="B62" s="23"/>
      <c r="C62" s="23"/>
      <c r="D62" s="56">
        <v>984</v>
      </c>
      <c r="E62" s="56">
        <f>+'[3]Disposal Exp'!$I$59</f>
        <v>1500</v>
      </c>
      <c r="F62" s="56">
        <f aca="true" t="shared" si="6" ref="F62:H66">+E62*$I62</f>
        <v>1530</v>
      </c>
      <c r="G62" s="56">
        <f t="shared" si="6"/>
        <v>1560.6000000000001</v>
      </c>
      <c r="H62" s="56">
        <f t="shared" si="6"/>
        <v>1591.8120000000001</v>
      </c>
      <c r="I62" s="30">
        <v>1.02</v>
      </c>
      <c r="J62" s="3" t="s">
        <v>151</v>
      </c>
    </row>
    <row r="63" spans="1:10" ht="12.75">
      <c r="A63" s="23" t="s">
        <v>201</v>
      </c>
      <c r="B63" s="23"/>
      <c r="C63" s="23"/>
      <c r="D63" s="56">
        <v>1123</v>
      </c>
      <c r="E63" s="56">
        <f>+'[3]Disposal Exp'!$I$60</f>
        <v>1000</v>
      </c>
      <c r="F63" s="56">
        <f t="shared" si="6"/>
        <v>1020</v>
      </c>
      <c r="G63" s="56">
        <f t="shared" si="6"/>
        <v>1040.4</v>
      </c>
      <c r="H63" s="56">
        <f t="shared" si="6"/>
        <v>1061.208</v>
      </c>
      <c r="I63" s="30">
        <v>1.02</v>
      </c>
      <c r="J63" s="3" t="s">
        <v>151</v>
      </c>
    </row>
    <row r="64" spans="1:10" ht="12.75">
      <c r="A64" s="23" t="s">
        <v>27</v>
      </c>
      <c r="B64" s="23"/>
      <c r="C64" s="23"/>
      <c r="D64" s="56">
        <v>8186</v>
      </c>
      <c r="E64" s="56">
        <f>+'[3]Disposal Exp'!$I$61</f>
        <v>10700</v>
      </c>
      <c r="F64" s="56">
        <f t="shared" si="6"/>
        <v>10914</v>
      </c>
      <c r="G64" s="56">
        <f t="shared" si="6"/>
        <v>11132.28</v>
      </c>
      <c r="H64" s="56">
        <f t="shared" si="6"/>
        <v>11354.9256</v>
      </c>
      <c r="I64" s="30">
        <v>1.02</v>
      </c>
      <c r="J64" s="3" t="s">
        <v>151</v>
      </c>
    </row>
    <row r="65" spans="1:10" ht="12.75">
      <c r="A65" s="23" t="s">
        <v>28</v>
      </c>
      <c r="B65" s="23"/>
      <c r="C65" s="23"/>
      <c r="D65" s="56">
        <v>11795</v>
      </c>
      <c r="E65" s="56">
        <f>+'[3]Disposal Exp'!$I$62</f>
        <v>7700</v>
      </c>
      <c r="F65" s="56">
        <f t="shared" si="6"/>
        <v>7854</v>
      </c>
      <c r="G65" s="56">
        <f t="shared" si="6"/>
        <v>8011.08</v>
      </c>
      <c r="H65" s="56">
        <f t="shared" si="6"/>
        <v>8171.3016</v>
      </c>
      <c r="I65" s="30">
        <v>1.02</v>
      </c>
      <c r="J65" s="3" t="s">
        <v>151</v>
      </c>
    </row>
    <row r="66" spans="1:10" ht="12.75">
      <c r="A66" s="23" t="s">
        <v>29</v>
      </c>
      <c r="B66" s="23"/>
      <c r="C66" s="23"/>
      <c r="D66" s="57">
        <v>11087</v>
      </c>
      <c r="E66" s="57">
        <f>+'[3]Disposal Exp'!$I$63</f>
        <v>10900</v>
      </c>
      <c r="F66" s="57">
        <f t="shared" si="6"/>
        <v>11118</v>
      </c>
      <c r="G66" s="57">
        <f t="shared" si="6"/>
        <v>11340.36</v>
      </c>
      <c r="H66" s="57">
        <f t="shared" si="6"/>
        <v>11567.167200000002</v>
      </c>
      <c r="I66" s="30">
        <v>1.02</v>
      </c>
      <c r="J66" s="3" t="s">
        <v>151</v>
      </c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30"/>
    </row>
    <row r="68" spans="1:9" ht="12.75">
      <c r="A68" s="23"/>
      <c r="B68" s="23"/>
      <c r="C68" s="23"/>
      <c r="D68" s="51">
        <f>SUM(D55:D67)</f>
        <v>1394403</v>
      </c>
      <c r="E68" s="51">
        <f>SUM(E55:E66)</f>
        <v>1359400</v>
      </c>
      <c r="F68" s="51">
        <f>SUM(F55:F66)</f>
        <v>1385652</v>
      </c>
      <c r="G68" s="51">
        <f>SUM(G55:G66)</f>
        <v>1410965.0424000002</v>
      </c>
      <c r="H68" s="51">
        <f>SUM(H55:H66)</f>
        <v>1439184.3432480001</v>
      </c>
      <c r="I68" s="30"/>
    </row>
    <row r="69" spans="1:9" ht="12.75">
      <c r="A69" s="23"/>
      <c r="B69" s="23"/>
      <c r="C69" s="23"/>
      <c r="D69" s="23"/>
      <c r="E69" s="23"/>
      <c r="F69" s="23"/>
      <c r="G69" s="23"/>
      <c r="H69" s="23"/>
      <c r="I69" s="30"/>
    </row>
    <row r="70" spans="1:9" ht="12.75">
      <c r="A70" s="50" t="s">
        <v>56</v>
      </c>
      <c r="B70" s="23"/>
      <c r="C70" s="23"/>
      <c r="D70" s="23"/>
      <c r="E70" s="23"/>
      <c r="F70" s="23"/>
      <c r="G70" s="23"/>
      <c r="H70" s="23"/>
      <c r="I70" s="30"/>
    </row>
    <row r="71" spans="1:10" ht="12.75">
      <c r="A71" s="23" t="s">
        <v>57</v>
      </c>
      <c r="B71" s="23"/>
      <c r="C71" s="23"/>
      <c r="D71" s="56">
        <v>120153</v>
      </c>
      <c r="E71" s="56">
        <f>+'[3]Disposal Exp'!$I$68</f>
        <v>137100</v>
      </c>
      <c r="F71" s="56">
        <f aca="true" t="shared" si="7" ref="F71:H72">+E71*$I71</f>
        <v>139842</v>
      </c>
      <c r="G71" s="56">
        <f t="shared" si="7"/>
        <v>142638.84</v>
      </c>
      <c r="H71" s="56">
        <f t="shared" si="7"/>
        <v>145491.6168</v>
      </c>
      <c r="I71" s="30">
        <v>1.02</v>
      </c>
      <c r="J71" s="3" t="s">
        <v>151</v>
      </c>
    </row>
    <row r="72" spans="1:10" ht="12.75">
      <c r="A72" s="23" t="s">
        <v>32</v>
      </c>
      <c r="B72" s="23"/>
      <c r="C72" s="23"/>
      <c r="D72" s="56">
        <v>3597</v>
      </c>
      <c r="E72" s="56">
        <f>+'[3]Disposal Exp'!$I$69</f>
        <v>2000</v>
      </c>
      <c r="F72" s="56">
        <f t="shared" si="7"/>
        <v>2040</v>
      </c>
      <c r="G72" s="56">
        <f t="shared" si="7"/>
        <v>2080.8</v>
      </c>
      <c r="H72" s="56">
        <f t="shared" si="7"/>
        <v>2122.416</v>
      </c>
      <c r="I72" s="30">
        <v>1.02</v>
      </c>
      <c r="J72" s="3" t="s">
        <v>151</v>
      </c>
    </row>
    <row r="73" spans="1:10" ht="12.75">
      <c r="A73" s="23" t="s">
        <v>197</v>
      </c>
      <c r="B73" s="23"/>
      <c r="C73" s="23"/>
      <c r="D73" s="57">
        <v>122838</v>
      </c>
      <c r="E73" s="57">
        <f>+'[3]Disposal Exp'!$I$70</f>
        <v>132600</v>
      </c>
      <c r="F73" s="57">
        <f>+E73*1.0175</f>
        <v>134920.5</v>
      </c>
      <c r="G73" s="57">
        <f>+F73*1.0137</f>
        <v>136768.91085000001</v>
      </c>
      <c r="H73" s="57">
        <f>+G73*1.02</f>
        <v>139504.289067</v>
      </c>
      <c r="I73" s="41" t="s">
        <v>14</v>
      </c>
      <c r="J73" s="128" t="s">
        <v>282</v>
      </c>
    </row>
    <row r="74" spans="1:9" ht="12.75">
      <c r="A74" s="23"/>
      <c r="B74" s="23"/>
      <c r="C74" s="23"/>
      <c r="D74" s="23"/>
      <c r="E74" s="23"/>
      <c r="F74" s="23"/>
      <c r="G74" s="23"/>
      <c r="H74" s="23"/>
      <c r="I74" s="30"/>
    </row>
    <row r="75" spans="1:9" ht="12.75">
      <c r="A75" s="23"/>
      <c r="B75" s="23"/>
      <c r="C75" s="23"/>
      <c r="D75" s="51">
        <f>SUM(D71:D74)</f>
        <v>246588</v>
      </c>
      <c r="E75" s="51">
        <f>SUM(E71:E74)</f>
        <v>271700</v>
      </c>
      <c r="F75" s="51">
        <f>SUM(F71:F74)</f>
        <v>276802.5</v>
      </c>
      <c r="G75" s="51">
        <f>SUM(G71:G74)</f>
        <v>281488.55085</v>
      </c>
      <c r="H75" s="51">
        <f>SUM(H71:H74)</f>
        <v>287118.32186699996</v>
      </c>
      <c r="I75" s="30"/>
    </row>
    <row r="76" spans="1:9" ht="12.75">
      <c r="A76" s="23"/>
      <c r="B76" s="23"/>
      <c r="C76" s="23"/>
      <c r="D76" s="23"/>
      <c r="E76" s="23"/>
      <c r="F76" s="23"/>
      <c r="G76" s="23"/>
      <c r="H76" s="23"/>
      <c r="I76" s="30"/>
    </row>
    <row r="77" spans="1:9" ht="13.5" thickBot="1">
      <c r="A77" s="45" t="s">
        <v>58</v>
      </c>
      <c r="B77" s="45"/>
      <c r="C77" s="23"/>
      <c r="D77" s="11">
        <f>+D23+D29+D42+D52+D68+D75</f>
        <v>7850566</v>
      </c>
      <c r="E77" s="11">
        <f>+E23+E29+E42+E52+E68+E75</f>
        <v>8272000</v>
      </c>
      <c r="F77" s="11">
        <f>+F23+F29+F42+F52+F68+F75</f>
        <v>8401782.41</v>
      </c>
      <c r="G77" s="11">
        <f>+G23+G29+G42+G52+G68+G75</f>
        <v>8638263.753525</v>
      </c>
      <c r="H77" s="11">
        <f>+H23+H29+H42+H52+H68+H75</f>
        <v>8832742.0685955</v>
      </c>
      <c r="I77" s="30"/>
    </row>
    <row r="78" spans="1:9" ht="13.5" thickTop="1">
      <c r="A78" s="45"/>
      <c r="B78" s="45"/>
      <c r="C78" s="23"/>
      <c r="D78" s="23"/>
      <c r="E78" s="23"/>
      <c r="F78" s="23"/>
      <c r="G78" s="23"/>
      <c r="H78" s="23"/>
      <c r="I78" s="30"/>
    </row>
    <row r="80" ht="12.75">
      <c r="D80" s="3" t="s">
        <v>180</v>
      </c>
    </row>
  </sheetData>
  <sheetProtection password="E07E" sheet="1"/>
  <printOptions/>
  <pageMargins left="0.75" right="0.75" top="1" bottom="1" header="0.5" footer="0.5"/>
  <pageSetup fitToHeight="0" fitToWidth="1" horizontalDpi="600" verticalDpi="600" orientation="landscape" scale="80" r:id="rId3"/>
  <rowBreaks count="1" manualBreakCount="1">
    <brk id="44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.8515625" style="3" customWidth="1"/>
    <col min="2" max="2" width="31.140625" style="5" customWidth="1"/>
    <col min="3" max="3" width="25.140625" style="4" customWidth="1"/>
    <col min="4" max="4" width="12.421875" style="104" hidden="1" customWidth="1"/>
    <col min="5" max="5" width="14.421875" style="104" hidden="1" customWidth="1"/>
    <col min="6" max="6" width="13.57421875" style="104" hidden="1" customWidth="1"/>
    <col min="7" max="7" width="14.7109375" style="104" customWidth="1"/>
    <col min="8" max="8" width="13.00390625" style="104" customWidth="1"/>
    <col min="9" max="9" width="13.00390625" style="104" hidden="1" customWidth="1"/>
    <col min="10" max="10" width="99.28125" style="104" customWidth="1"/>
    <col min="11" max="11" width="11.28125" style="104" bestFit="1" customWidth="1"/>
    <col min="12" max="12" width="13.28125" style="104" customWidth="1"/>
    <col min="13" max="13" width="12.57421875" style="104" customWidth="1"/>
    <col min="14" max="14" width="12.421875" style="104" customWidth="1"/>
    <col min="15" max="15" width="4.57421875" style="104" customWidth="1"/>
    <col min="16" max="16" width="12.8515625" style="104" customWidth="1"/>
    <col min="17" max="16384" width="8.8515625" style="3" customWidth="1"/>
  </cols>
  <sheetData>
    <row r="1" spans="1:6" ht="30">
      <c r="A1" s="102" t="s">
        <v>63</v>
      </c>
      <c r="B1" s="103"/>
      <c r="F1" s="104" t="s">
        <v>14</v>
      </c>
    </row>
    <row r="2" spans="2:9" ht="12.75" hidden="1">
      <c r="B2" s="5" t="s">
        <v>14</v>
      </c>
      <c r="D2" s="3"/>
      <c r="E2" s="3"/>
      <c r="F2" s="3"/>
      <c r="G2" s="3"/>
      <c r="H2" s="3"/>
      <c r="I2" s="3"/>
    </row>
    <row r="3" spans="4:9" ht="12.75" hidden="1">
      <c r="D3" s="132" t="s">
        <v>14</v>
      </c>
      <c r="E3" s="132"/>
      <c r="F3" s="132"/>
      <c r="G3" s="132"/>
      <c r="H3" s="132"/>
      <c r="I3" s="13"/>
    </row>
    <row r="4" spans="4:9" ht="12.75">
      <c r="D4" s="13"/>
      <c r="E4" s="13"/>
      <c r="F4" s="13"/>
      <c r="G4" s="13"/>
      <c r="H4" s="13"/>
      <c r="I4" s="13"/>
    </row>
    <row r="5" spans="3:17" ht="12.75">
      <c r="C5" s="4" t="s">
        <v>229</v>
      </c>
      <c r="D5" s="4" t="s">
        <v>155</v>
      </c>
      <c r="E5" s="4" t="s">
        <v>156</v>
      </c>
      <c r="F5" s="4" t="s">
        <v>157</v>
      </c>
      <c r="G5" s="4" t="s">
        <v>158</v>
      </c>
      <c r="H5" s="4" t="s">
        <v>159</v>
      </c>
      <c r="I5" s="4" t="s">
        <v>160</v>
      </c>
      <c r="J5" s="91"/>
      <c r="K5" s="91"/>
      <c r="L5" s="91"/>
      <c r="M5" s="91"/>
      <c r="N5" s="91"/>
      <c r="O5" s="91"/>
      <c r="P5" s="91"/>
      <c r="Q5" s="91"/>
    </row>
    <row r="6" spans="4:16" ht="12.75">
      <c r="D6" s="91"/>
      <c r="E6" s="91"/>
      <c r="F6" s="91"/>
      <c r="G6" s="13" t="s">
        <v>230</v>
      </c>
      <c r="H6" s="13" t="s">
        <v>230</v>
      </c>
      <c r="I6" s="13" t="s">
        <v>230</v>
      </c>
      <c r="J6" s="91"/>
      <c r="K6" s="91"/>
      <c r="L6" s="91"/>
      <c r="M6" s="91"/>
      <c r="N6" s="91"/>
      <c r="O6" s="91"/>
      <c r="P6" s="91"/>
    </row>
    <row r="7" spans="2:16" ht="13.5" thickBot="1">
      <c r="B7" s="7" t="s">
        <v>171</v>
      </c>
      <c r="C7" s="105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12.75">
      <c r="A8" s="3" t="s">
        <v>14</v>
      </c>
      <c r="B8" s="92" t="s">
        <v>223</v>
      </c>
      <c r="C8" s="93"/>
      <c r="D8" s="95">
        <f>+((14435*51.56)+(1873*29)+(80*29.95))*7/12+((14435*43.87)+(1873*29)+(80*29.95))*5/12+11</f>
        <v>754740.4541666666</v>
      </c>
      <c r="E8" s="95">
        <f>+((14435*51.56)+(1873*29)+(80*29.95))*5/12+((14435*53.43)+(1873*29)+(80*29.95))*7/12</f>
        <v>816727.7791666667</v>
      </c>
      <c r="F8" s="95">
        <f>+((15356*53.43)+(1773*29)+(171*29.95))*5/12+((15716*55.3)+(1746*29)+(198*29.95))*7/12</f>
        <v>905388.3291666665</v>
      </c>
      <c r="G8" s="95">
        <f>+((15716*55.3)+(1746*29)+(198*29.95))*5/12+((15716*1.02*57.17)+(1746*1.02*29)+(198*1.02*29.95))*7/12</f>
        <v>953944.6612333334</v>
      </c>
      <c r="H8" s="95">
        <f>+((16030*57.17)+(1781*29)+(202*29.95))*5/12+((16030*1.02*59.04)+(1781*1.02*29)+(202*1.02*29.95))*7/12</f>
        <v>1003334.6761666667</v>
      </c>
      <c r="I8" s="95">
        <f>+((16351*59.04)+(1817*29)+(206*29.95))*5/12+((16351*1.02*59.04)+(1817*1.02*29)+(206*1.02*29.95))*7/12</f>
        <v>1036175.0403</v>
      </c>
      <c r="J8" s="99" t="s">
        <v>254</v>
      </c>
      <c r="K8" s="106"/>
      <c r="L8" s="106"/>
      <c r="M8" s="106"/>
      <c r="N8" s="106"/>
      <c r="O8" s="106"/>
      <c r="P8" s="106"/>
    </row>
    <row r="9" spans="2:16" ht="19.5" customHeight="1">
      <c r="B9" s="87" t="s">
        <v>69</v>
      </c>
      <c r="C9" s="101" t="s">
        <v>245</v>
      </c>
      <c r="D9" s="89">
        <v>0</v>
      </c>
      <c r="E9" s="89">
        <v>-11970</v>
      </c>
      <c r="F9" s="89">
        <f>+(118.85-125.4)*900</f>
        <v>-5895.00000000001</v>
      </c>
      <c r="G9" s="89">
        <f>+(150-138.6)*900</f>
        <v>10260.000000000005</v>
      </c>
      <c r="H9" s="89">
        <f>+(150-138.6)*900</f>
        <v>10260.000000000005</v>
      </c>
      <c r="I9" s="89">
        <f>+(150-138.6)*900</f>
        <v>10260.000000000005</v>
      </c>
      <c r="J9" s="90" t="s">
        <v>238</v>
      </c>
      <c r="K9" s="91"/>
      <c r="L9" s="91"/>
      <c r="M9" s="91"/>
      <c r="N9" s="91"/>
      <c r="O9" s="91"/>
      <c r="P9" s="91"/>
    </row>
    <row r="10" spans="2:16" ht="19.5" customHeight="1" thickBot="1">
      <c r="B10" s="119" t="s">
        <v>2</v>
      </c>
      <c r="C10" s="120"/>
      <c r="D10" s="121"/>
      <c r="E10" s="121"/>
      <c r="F10" s="121"/>
      <c r="G10" s="121"/>
      <c r="H10" s="121"/>
      <c r="I10" s="121"/>
      <c r="J10" s="122" t="s">
        <v>14</v>
      </c>
      <c r="K10" s="91"/>
      <c r="L10" s="91"/>
      <c r="M10" s="91"/>
      <c r="N10" s="91"/>
      <c r="O10" s="91"/>
      <c r="P10" s="91"/>
    </row>
    <row r="11" spans="2:16" ht="13.5" thickBot="1">
      <c r="B11" s="96"/>
      <c r="C11" s="88"/>
      <c r="D11" s="89"/>
      <c r="E11" s="107">
        <f>SUM(E8:E10)</f>
        <v>804757.7791666667</v>
      </c>
      <c r="F11" s="125">
        <f>SUM(F8:F10)</f>
        <v>899493.3291666665</v>
      </c>
      <c r="G11" s="125">
        <f>SUM(G8:G10)</f>
        <v>964204.6612333334</v>
      </c>
      <c r="H11" s="125">
        <f>SUM(H8:H10)</f>
        <v>1013594.6761666667</v>
      </c>
      <c r="I11" s="125">
        <f>SUM(I8:I10)</f>
        <v>1046435.0403</v>
      </c>
      <c r="J11" s="108"/>
      <c r="K11" s="91"/>
      <c r="L11" s="91"/>
      <c r="M11" s="91"/>
      <c r="N11" s="91"/>
      <c r="O11" s="91"/>
      <c r="P11" s="91"/>
    </row>
    <row r="12" spans="1:16" ht="12.75">
      <c r="A12" s="3" t="s">
        <v>14</v>
      </c>
      <c r="B12" s="92" t="s">
        <v>224</v>
      </c>
      <c r="C12" s="93"/>
      <c r="D12" s="94">
        <f>+((5002*76)+(731*25.08)+(21*45.08))</f>
        <v>399432.16</v>
      </c>
      <c r="E12" s="94">
        <f>+((5002*76)+(731*25.08)+(21*45.08))</f>
        <v>399432.16</v>
      </c>
      <c r="F12" s="95">
        <f>+((5313*76)+(739*25.08)+(48*45.08))*5/12+((5426*76)+(738*25.08)+(53*45.08))*7/12</f>
        <v>429612.48</v>
      </c>
      <c r="G12" s="94">
        <f>+F12*1.02</f>
        <v>438204.72959999996</v>
      </c>
      <c r="H12" s="95">
        <f>+G12*1.02</f>
        <v>446968.824192</v>
      </c>
      <c r="I12" s="95">
        <f>+H12*1.02</f>
        <v>455908.20067583997</v>
      </c>
      <c r="J12" s="99" t="s">
        <v>235</v>
      </c>
      <c r="K12" s="106"/>
      <c r="L12" s="106"/>
      <c r="M12" s="106"/>
      <c r="N12" s="106"/>
      <c r="O12" s="106"/>
      <c r="P12" s="106"/>
    </row>
    <row r="13" spans="2:16" ht="12.75">
      <c r="B13" s="87" t="s">
        <v>69</v>
      </c>
      <c r="C13" s="101" t="s">
        <v>287</v>
      </c>
      <c r="D13" s="89">
        <v>3132</v>
      </c>
      <c r="E13" s="89">
        <v>-3192</v>
      </c>
      <c r="F13" s="89">
        <v>0</v>
      </c>
      <c r="G13" s="89">
        <f>+(150-129.78)*600</f>
        <v>12132</v>
      </c>
      <c r="H13" s="89">
        <f>+(150-129.78)*600</f>
        <v>12132</v>
      </c>
      <c r="I13" s="89">
        <f>+(150-129.78)*600</f>
        <v>12132</v>
      </c>
      <c r="J13" s="90" t="s">
        <v>239</v>
      </c>
      <c r="K13" s="91"/>
      <c r="L13" s="91"/>
      <c r="M13" s="91"/>
      <c r="N13" s="91"/>
      <c r="O13" s="91"/>
      <c r="P13" s="91"/>
    </row>
    <row r="14" spans="2:16" ht="13.5" thickBot="1">
      <c r="B14" s="119" t="s">
        <v>2</v>
      </c>
      <c r="C14" s="120"/>
      <c r="D14" s="121"/>
      <c r="E14" s="121"/>
      <c r="F14" s="121"/>
      <c r="G14" s="121"/>
      <c r="H14" s="121"/>
      <c r="I14" s="121"/>
      <c r="J14" s="122" t="s">
        <v>14</v>
      </c>
      <c r="K14" s="91"/>
      <c r="L14" s="91"/>
      <c r="M14" s="91"/>
      <c r="N14" s="91"/>
      <c r="O14" s="91"/>
      <c r="P14" s="91"/>
    </row>
    <row r="15" spans="2:16" ht="13.5" thickBot="1">
      <c r="B15" s="96"/>
      <c r="C15" s="88"/>
      <c r="D15" s="89"/>
      <c r="E15" s="107">
        <f>SUM(E12:E14)</f>
        <v>396240.16</v>
      </c>
      <c r="F15" s="125">
        <f>SUM(F12:F14)</f>
        <v>429612.48</v>
      </c>
      <c r="G15" s="125">
        <f>SUM(G12:G14)</f>
        <v>450336.72959999996</v>
      </c>
      <c r="H15" s="125">
        <f>SUM(H12:H14)</f>
        <v>459100.824192</v>
      </c>
      <c r="I15" s="125">
        <f>SUM(I12:I14)</f>
        <v>468040.20067583997</v>
      </c>
      <c r="J15" s="108"/>
      <c r="K15" s="91"/>
      <c r="L15" s="91"/>
      <c r="M15" s="91"/>
      <c r="N15" s="91"/>
      <c r="O15" s="91"/>
      <c r="P15" s="91"/>
    </row>
    <row r="16" spans="1:16" ht="12.75">
      <c r="A16" s="3" t="s">
        <v>14</v>
      </c>
      <c r="B16" s="92" t="s">
        <v>225</v>
      </c>
      <c r="C16" s="93"/>
      <c r="D16" s="94">
        <f>+((19896*46.23)+(213*82.58)+(11*99.08))*5/12+((19896*45.46)+(213*81.2)+(11*97.43))*7/12+76500+12000</f>
        <v>1017852.8274999999</v>
      </c>
      <c r="E16" s="94">
        <f>+((19896*46.23)+(213*82.58)+(11*99.08)+(1653*46.23))*7/12+((19896*47.01)+(213*83.98)+(11*100.76)+(1653*47.01))*5/12</f>
        <v>1022025.065</v>
      </c>
      <c r="F16" s="94">
        <f>+((25632*47.01)+(165*83.98)+(19*100.76)+(1653*47.01))*7/12+((26199*47.81)+(163*85.41)+(21*102.48)+(1653*47.81))*5/12</f>
        <v>1318955.2566666668</v>
      </c>
      <c r="G16" s="94">
        <f>+F16*1.037</f>
        <v>1367756.6011633333</v>
      </c>
      <c r="H16" s="95">
        <f>+G16*1.037</f>
        <v>1418363.5954063765</v>
      </c>
      <c r="I16" s="95">
        <f>+H16*1.037</f>
        <v>1470843.0484364124</v>
      </c>
      <c r="J16" s="99" t="s">
        <v>236</v>
      </c>
      <c r="K16" s="106"/>
      <c r="L16" s="106"/>
      <c r="M16" s="106"/>
      <c r="N16" s="106"/>
      <c r="O16" s="106"/>
      <c r="P16" s="106"/>
    </row>
    <row r="17" spans="2:16" ht="12.75">
      <c r="B17" s="87" t="s">
        <v>69</v>
      </c>
      <c r="C17" s="101" t="s">
        <v>244</v>
      </c>
      <c r="D17" s="89">
        <v>0</v>
      </c>
      <c r="E17" s="89">
        <v>-9732</v>
      </c>
      <c r="F17" s="89">
        <v>0</v>
      </c>
      <c r="G17" s="89">
        <f>+(150-136.2)*600</f>
        <v>8280.000000000007</v>
      </c>
      <c r="H17" s="89">
        <f>+(150-136.2)*600</f>
        <v>8280.000000000007</v>
      </c>
      <c r="I17" s="89">
        <f>+(150-136.2)*600</f>
        <v>8280.000000000007</v>
      </c>
      <c r="J17" s="90" t="s">
        <v>240</v>
      </c>
      <c r="K17" s="91"/>
      <c r="L17" s="91"/>
      <c r="M17" s="91"/>
      <c r="N17" s="91"/>
      <c r="O17" s="91"/>
      <c r="P17" s="91"/>
    </row>
    <row r="18" spans="2:16" ht="12.75">
      <c r="B18" s="87" t="s">
        <v>2</v>
      </c>
      <c r="C18" s="88"/>
      <c r="D18" s="89"/>
      <c r="E18" s="89"/>
      <c r="F18" s="89"/>
      <c r="G18" s="89"/>
      <c r="H18" s="89"/>
      <c r="I18" s="89"/>
      <c r="J18" s="90" t="s">
        <v>14</v>
      </c>
      <c r="K18" s="91"/>
      <c r="L18" s="91"/>
      <c r="M18" s="91"/>
      <c r="N18" s="91"/>
      <c r="O18" s="91"/>
      <c r="P18" s="91"/>
    </row>
    <row r="19" spans="2:16" ht="13.5" thickBot="1">
      <c r="B19" s="119" t="s">
        <v>232</v>
      </c>
      <c r="C19" s="120"/>
      <c r="D19" s="121"/>
      <c r="E19" s="121">
        <f>12980+141</f>
        <v>13121</v>
      </c>
      <c r="F19" s="121">
        <v>11240.28</v>
      </c>
      <c r="G19" s="121">
        <f>+F19*1.02</f>
        <v>11465.0856</v>
      </c>
      <c r="H19" s="121">
        <f>+G19*1.02</f>
        <v>11694.387312</v>
      </c>
      <c r="I19" s="121">
        <f>+H19*1.02</f>
        <v>11928.27505824</v>
      </c>
      <c r="J19" s="122" t="s">
        <v>212</v>
      </c>
      <c r="K19" s="91"/>
      <c r="L19" s="91"/>
      <c r="M19" s="91"/>
      <c r="N19" s="91"/>
      <c r="O19" s="91"/>
      <c r="P19" s="91"/>
    </row>
    <row r="20" spans="2:16" ht="18.75" customHeight="1" thickBot="1">
      <c r="B20" s="28"/>
      <c r="C20" s="109"/>
      <c r="D20" s="110"/>
      <c r="E20" s="97">
        <f>SUM(E16:E19)</f>
        <v>1025414.065</v>
      </c>
      <c r="F20" s="126">
        <f>SUM(F16:F19)</f>
        <v>1330195.5366666669</v>
      </c>
      <c r="G20" s="126">
        <f>SUM(G16:G19)</f>
        <v>1387501.6867633334</v>
      </c>
      <c r="H20" s="126">
        <f>SUM(H16:H19)</f>
        <v>1438337.9827183764</v>
      </c>
      <c r="I20" s="126">
        <f>SUM(I16:I19)</f>
        <v>1491051.3234946523</v>
      </c>
      <c r="J20" s="98" t="s">
        <v>14</v>
      </c>
      <c r="K20" s="91"/>
      <c r="L20" s="91"/>
      <c r="M20" s="91"/>
      <c r="N20" s="91"/>
      <c r="O20" s="91"/>
      <c r="P20" s="91"/>
    </row>
    <row r="21" spans="1:16" ht="12.75">
      <c r="A21" s="3" t="s">
        <v>14</v>
      </c>
      <c r="B21" s="92" t="s">
        <v>226</v>
      </c>
      <c r="C21" s="93"/>
      <c r="D21" s="94">
        <f>+((11629*71.57)+(3051*82.58)+(183*99.08))*5/12+((11629*70.37)+(3051*81.2)+(183*97.43))*7/12-17</f>
        <v>1091581.2574999998</v>
      </c>
      <c r="E21" s="94">
        <f>+((11629*71.57)+(3051*82.58)+(183*99.08))*7/12+((11629*72.78)+(3051*83.98)+(183*100.76))*5/12</f>
        <v>1110141.5541666665</v>
      </c>
      <c r="F21" s="94">
        <f>+((13476*72.78)+(3027*83.98)+(317*100.76))*7/12+((14030*74.02)+(2990*85.41)+(364*102.48))*5/12</f>
        <v>1293701.4766666666</v>
      </c>
      <c r="G21" s="94">
        <f>+F21*1.037</f>
        <v>1341568.431303333</v>
      </c>
      <c r="H21" s="95">
        <f>+G21*1.037</f>
        <v>1391206.4632615563</v>
      </c>
      <c r="I21" s="95">
        <f>+H21*1.037</f>
        <v>1442681.1024022338</v>
      </c>
      <c r="J21" s="99" t="s">
        <v>236</v>
      </c>
      <c r="K21" s="106"/>
      <c r="L21" s="106"/>
      <c r="M21" s="106"/>
      <c r="N21" s="106"/>
      <c r="O21" s="106"/>
      <c r="P21" s="106"/>
    </row>
    <row r="22" spans="2:16" ht="18" customHeight="1">
      <c r="B22" s="87" t="s">
        <v>69</v>
      </c>
      <c r="C22" s="101" t="s">
        <v>244</v>
      </c>
      <c r="D22" s="89">
        <v>0</v>
      </c>
      <c r="E22" s="89">
        <v>-10000</v>
      </c>
      <c r="F22" s="89">
        <v>0</v>
      </c>
      <c r="G22" s="89">
        <f>+(150-136.2)*600</f>
        <v>8280.000000000007</v>
      </c>
      <c r="H22" s="89">
        <f>+(150-136.2)*600</f>
        <v>8280.000000000007</v>
      </c>
      <c r="I22" s="89">
        <f>+(150-136.2)*600</f>
        <v>8280.000000000007</v>
      </c>
      <c r="J22" s="90" t="s">
        <v>240</v>
      </c>
      <c r="K22" s="91"/>
      <c r="L22" s="91"/>
      <c r="M22" s="91"/>
      <c r="N22" s="91"/>
      <c r="O22" s="91"/>
      <c r="P22" s="91"/>
    </row>
    <row r="23" spans="2:16" ht="18" customHeight="1" thickBot="1">
      <c r="B23" s="119" t="s">
        <v>2</v>
      </c>
      <c r="C23" s="120"/>
      <c r="D23" s="121"/>
      <c r="E23" s="121"/>
      <c r="F23" s="121"/>
      <c r="G23" s="121"/>
      <c r="H23" s="121"/>
      <c r="I23" s="121"/>
      <c r="J23" s="122" t="s">
        <v>14</v>
      </c>
      <c r="K23" s="91"/>
      <c r="L23" s="91"/>
      <c r="M23" s="91"/>
      <c r="N23" s="91"/>
      <c r="O23" s="91"/>
      <c r="P23" s="91"/>
    </row>
    <row r="24" spans="2:16" ht="13.5" thickBot="1">
      <c r="B24" s="28"/>
      <c r="C24" s="109"/>
      <c r="D24" s="110"/>
      <c r="E24" s="97">
        <f>SUM(E21:E23)</f>
        <v>1100141.5541666665</v>
      </c>
      <c r="F24" s="126">
        <f>SUM(F21:F23)</f>
        <v>1293701.4766666666</v>
      </c>
      <c r="G24" s="126">
        <f>SUM(G21:G23)</f>
        <v>1349848.431303333</v>
      </c>
      <c r="H24" s="126">
        <f>SUM(H21:H23)</f>
        <v>1399486.4632615563</v>
      </c>
      <c r="I24" s="126">
        <f>SUM(I21:I23)</f>
        <v>1450961.1024022338</v>
      </c>
      <c r="J24" s="98"/>
      <c r="K24" s="91"/>
      <c r="L24" s="91"/>
      <c r="M24" s="91"/>
      <c r="N24" s="91"/>
      <c r="O24" s="91"/>
      <c r="P24" s="91"/>
    </row>
    <row r="25" spans="1:16" ht="12.75">
      <c r="A25" s="3" t="s">
        <v>14</v>
      </c>
      <c r="B25" s="92" t="s">
        <v>227</v>
      </c>
      <c r="C25" s="93"/>
      <c r="D25" s="94">
        <v>309311</v>
      </c>
      <c r="E25" s="94">
        <f>12*25359.26</f>
        <v>304311.12</v>
      </c>
      <c r="F25" s="94">
        <f>+((4105*65)+(1385*21.6666666666667)+(169*20))</f>
        <v>300213.3333333334</v>
      </c>
      <c r="G25" s="94">
        <f>+F25*1.02</f>
        <v>306217.60000000003</v>
      </c>
      <c r="H25" s="94">
        <f>+G25*1.02</f>
        <v>312341.95200000005</v>
      </c>
      <c r="I25" s="94">
        <f>+H25*1.02</f>
        <v>318588.79104000004</v>
      </c>
      <c r="J25" s="99" t="s">
        <v>235</v>
      </c>
      <c r="K25" s="106"/>
      <c r="L25" s="106"/>
      <c r="M25" s="106"/>
      <c r="N25" s="106"/>
      <c r="O25" s="106"/>
      <c r="P25" s="106"/>
    </row>
    <row r="26" spans="2:16" ht="12.75">
      <c r="B26" s="87" t="s">
        <v>234</v>
      </c>
      <c r="C26" s="88"/>
      <c r="D26" s="89"/>
      <c r="E26" s="89"/>
      <c r="F26" s="89">
        <f>2934.26*12</f>
        <v>35211.12</v>
      </c>
      <c r="G26" s="89">
        <f>2934.26*12</f>
        <v>35211.12</v>
      </c>
      <c r="H26" s="89">
        <f>2934.26*12</f>
        <v>35211.12</v>
      </c>
      <c r="I26" s="89">
        <f>2934.26*12</f>
        <v>35211.12</v>
      </c>
      <c r="J26" s="90"/>
      <c r="K26" s="106"/>
      <c r="L26" s="106"/>
      <c r="M26" s="106"/>
      <c r="N26" s="106"/>
      <c r="O26" s="106"/>
      <c r="P26" s="106"/>
    </row>
    <row r="27" spans="1:16" ht="39" customHeight="1">
      <c r="A27" s="3" t="s">
        <v>14</v>
      </c>
      <c r="B27" s="123" t="s">
        <v>231</v>
      </c>
      <c r="C27" s="88"/>
      <c r="D27" s="89">
        <f>4*50*52*0.7*1.25/2</f>
        <v>4549.999999999999</v>
      </c>
      <c r="E27" s="89">
        <v>6840</v>
      </c>
      <c r="F27" s="89">
        <f>+(((12.85-11.55)*1.25*10400*21/52)+(13-11.55)*1.25*10400*31/52)/2</f>
        <v>9031.249999999993</v>
      </c>
      <c r="G27" s="89">
        <f>+(((13-11.55)*1.25*10400*21/52)+(13.7-11.55)*1.25*10400*31/52)/2</f>
        <v>12137.499999999993</v>
      </c>
      <c r="H27" s="89">
        <f>+(((13.7-11.55)*1.25*10400*21/52)+(14-11.55)*1.25*10400*31/52)/2</f>
        <v>15137.499999999993</v>
      </c>
      <c r="I27" s="89">
        <f>+(((14-11.55)*1.25*10400*21/52)+(14.7-11.55)*1.25*10400*31/52)/2</f>
        <v>18637.499999999993</v>
      </c>
      <c r="J27" s="100" t="s">
        <v>289</v>
      </c>
      <c r="K27" s="106"/>
      <c r="L27" s="106"/>
      <c r="M27" s="106"/>
      <c r="N27" s="106"/>
      <c r="O27" s="106"/>
      <c r="P27" s="106"/>
    </row>
    <row r="28" spans="2:16" ht="12.75">
      <c r="B28" s="87" t="s">
        <v>69</v>
      </c>
      <c r="C28" s="101" t="s">
        <v>246</v>
      </c>
      <c r="D28" s="89">
        <v>18060</v>
      </c>
      <c r="E28" s="89">
        <v>-1911</v>
      </c>
      <c r="F28" s="89">
        <f>+(131.85-115)*700</f>
        <v>11794.999999999996</v>
      </c>
      <c r="G28" s="89">
        <f>+(146-115)*700</f>
        <v>21700</v>
      </c>
      <c r="H28" s="89">
        <f>+(146-115)*700</f>
        <v>21700</v>
      </c>
      <c r="I28" s="89">
        <f>+(146-115)*700</f>
        <v>21700</v>
      </c>
      <c r="J28" s="90" t="s">
        <v>222</v>
      </c>
      <c r="K28" s="91"/>
      <c r="L28" s="91"/>
      <c r="M28" s="91"/>
      <c r="N28" s="91"/>
      <c r="O28" s="91"/>
      <c r="P28" s="91"/>
    </row>
    <row r="29" spans="2:16" ht="13.5" thickBot="1">
      <c r="B29" s="119" t="s">
        <v>2</v>
      </c>
      <c r="C29" s="120"/>
      <c r="D29" s="121"/>
      <c r="E29" s="121"/>
      <c r="F29" s="121"/>
      <c r="G29" s="121"/>
      <c r="H29" s="121"/>
      <c r="I29" s="121"/>
      <c r="J29" s="122" t="s">
        <v>14</v>
      </c>
      <c r="K29" s="91"/>
      <c r="L29" s="91"/>
      <c r="M29" s="91"/>
      <c r="N29" s="91"/>
      <c r="O29" s="91"/>
      <c r="P29" s="91"/>
    </row>
    <row r="30" spans="2:16" ht="13.5" thickBot="1">
      <c r="B30" s="28"/>
      <c r="C30" s="109"/>
      <c r="D30" s="110"/>
      <c r="E30" s="97">
        <f>SUM(E25:E29)</f>
        <v>309240.12</v>
      </c>
      <c r="F30" s="126">
        <f>SUM(F25:F29)</f>
        <v>356250.70333333337</v>
      </c>
      <c r="G30" s="126">
        <f>SUM(G25:G29)</f>
        <v>375266.22000000003</v>
      </c>
      <c r="H30" s="126">
        <f>SUM(H25:H29)</f>
        <v>384390.57200000004</v>
      </c>
      <c r="I30" s="126">
        <f>SUM(I25:I29)</f>
        <v>394137.41104000004</v>
      </c>
      <c r="J30" s="98"/>
      <c r="K30" s="91"/>
      <c r="L30" s="91"/>
      <c r="M30" s="91"/>
      <c r="N30" s="91"/>
      <c r="O30" s="91"/>
      <c r="P30" s="91"/>
    </row>
    <row r="31" spans="1:16" ht="19.5" customHeight="1">
      <c r="A31" s="3" t="s">
        <v>14</v>
      </c>
      <c r="B31" s="92" t="s">
        <v>228</v>
      </c>
      <c r="C31" s="93"/>
      <c r="D31" s="94">
        <v>341181</v>
      </c>
      <c r="E31" s="94">
        <f>12*28015.07</f>
        <v>336180.83999999997</v>
      </c>
      <c r="F31" s="94">
        <f>+((5185*66.9)+(789*21.57)+(62*20))*7/12+((5264*66.9)+(777*21.57)+(69*20))*5/12</f>
        <v>367287.8383333334</v>
      </c>
      <c r="G31" s="94">
        <f>+F31*1.02</f>
        <v>374633.59510000004</v>
      </c>
      <c r="H31" s="94">
        <f>+G31*1.02</f>
        <v>382126.26700200007</v>
      </c>
      <c r="I31" s="94">
        <f>+H31*1.02</f>
        <v>389768.79234204005</v>
      </c>
      <c r="J31" s="99" t="s">
        <v>235</v>
      </c>
      <c r="K31" s="106"/>
      <c r="L31" s="106"/>
      <c r="M31" s="106"/>
      <c r="N31" s="106"/>
      <c r="O31" s="106"/>
      <c r="P31" s="106"/>
    </row>
    <row r="32" spans="2:16" ht="54" customHeight="1">
      <c r="B32" s="123" t="s">
        <v>231</v>
      </c>
      <c r="C32" s="88"/>
      <c r="D32" s="89">
        <f>4*50*52*0.7*1.25/2</f>
        <v>4549.999999999999</v>
      </c>
      <c r="E32" s="89">
        <v>6840</v>
      </c>
      <c r="F32" s="89">
        <f>+(((12.85-11.55)*1.25*10400*21/52)+(13-11.55)*1.25*10400*31/52)/2</f>
        <v>9031.249999999993</v>
      </c>
      <c r="G32" s="89">
        <f>+(((13-11.55)*1.25*10400*21/52)+(13.7-11.55)*1.25*10400*31/52)/2</f>
        <v>12137.499999999993</v>
      </c>
      <c r="H32" s="89">
        <f>+(((13.7-11.55)*1.25*10400*21/52)+(14-11.55)*1.25*10400*31/52)/2</f>
        <v>15137.499999999993</v>
      </c>
      <c r="I32" s="89">
        <f>+(((14-11.55)*1.25*10400*21/52)+(14.7-11.55)*1.25*10400*31/52)/2</f>
        <v>18637.499999999993</v>
      </c>
      <c r="J32" s="100" t="s">
        <v>289</v>
      </c>
      <c r="K32" s="106"/>
      <c r="L32" s="106"/>
      <c r="M32" s="106"/>
      <c r="N32" s="106"/>
      <c r="O32" s="106"/>
      <c r="P32" s="106"/>
    </row>
    <row r="33" spans="2:16" ht="18" customHeight="1">
      <c r="B33" s="87" t="s">
        <v>69</v>
      </c>
      <c r="C33" s="101" t="s">
        <v>247</v>
      </c>
      <c r="D33" s="89">
        <v>3550</v>
      </c>
      <c r="E33" s="89">
        <v>-4000</v>
      </c>
      <c r="F33" s="89">
        <v>0</v>
      </c>
      <c r="G33" s="89">
        <f>+(150-127.9)*500</f>
        <v>11049.999999999996</v>
      </c>
      <c r="H33" s="89">
        <f>+(150-127.9)*500</f>
        <v>11049.999999999996</v>
      </c>
      <c r="I33" s="89">
        <f>+(150-127.9)*500</f>
        <v>11049.999999999996</v>
      </c>
      <c r="J33" s="90" t="s">
        <v>241</v>
      </c>
      <c r="K33" s="91"/>
      <c r="L33" s="91"/>
      <c r="M33" s="91"/>
      <c r="N33" s="91"/>
      <c r="O33" s="91"/>
      <c r="P33" s="91"/>
    </row>
    <row r="34" spans="2:16" ht="18" customHeight="1" thickBot="1">
      <c r="B34" s="119" t="s">
        <v>2</v>
      </c>
      <c r="C34" s="120"/>
      <c r="D34" s="121"/>
      <c r="E34" s="121"/>
      <c r="F34" s="121"/>
      <c r="G34" s="121"/>
      <c r="H34" s="121"/>
      <c r="I34" s="121"/>
      <c r="J34" s="122"/>
      <c r="K34" s="91"/>
      <c r="L34" s="91"/>
      <c r="M34" s="91"/>
      <c r="N34" s="91"/>
      <c r="O34" s="91"/>
      <c r="P34" s="91"/>
    </row>
    <row r="35" spans="2:16" ht="12.75">
      <c r="B35" s="28"/>
      <c r="C35" s="109"/>
      <c r="D35" s="110"/>
      <c r="E35" s="97">
        <f>SUM(E31:E34)</f>
        <v>339020.83999999997</v>
      </c>
      <c r="F35" s="126">
        <f>SUM(F31:F34)</f>
        <v>376319.0883333334</v>
      </c>
      <c r="G35" s="126">
        <f>SUM(G31:G34)</f>
        <v>397821.09510000004</v>
      </c>
      <c r="H35" s="126">
        <f>SUM(H31:H34)</f>
        <v>408313.76700200007</v>
      </c>
      <c r="I35" s="126">
        <f>SUM(I31:I34)</f>
        <v>419456.29234204005</v>
      </c>
      <c r="J35" s="91"/>
      <c r="K35" s="91"/>
      <c r="L35" s="91"/>
      <c r="M35" s="91"/>
      <c r="N35" s="91"/>
      <c r="O35" s="91"/>
      <c r="P35" s="91"/>
    </row>
    <row r="36" spans="2:16" ht="21" customHeight="1" thickBot="1">
      <c r="B36" s="28"/>
      <c r="C36" s="109"/>
      <c r="D36" s="111">
        <f>SUM(D8:D35)</f>
        <v>3947940.6991666663</v>
      </c>
      <c r="E36" s="111">
        <f>+E11+E15+E20+E24+E30+E35</f>
        <v>3974814.5183333326</v>
      </c>
      <c r="F36" s="127">
        <f>+F11+F15+F20+F24+F30+F35</f>
        <v>4685572.614166666</v>
      </c>
      <c r="G36" s="112">
        <f>+G11+G15+G20+G24+G30+G35</f>
        <v>4924978.823999999</v>
      </c>
      <c r="H36" s="112">
        <f>+H11+H15+H20+H24+H30+H35</f>
        <v>5103224.2853406</v>
      </c>
      <c r="I36" s="112">
        <f>+I11+I15+I20+I24+I30+I35</f>
        <v>5270081.370254765</v>
      </c>
      <c r="J36" s="91"/>
      <c r="K36" s="91"/>
      <c r="L36" s="91"/>
      <c r="M36" s="91"/>
      <c r="N36" s="91"/>
      <c r="O36" s="91"/>
      <c r="P36" s="91"/>
    </row>
    <row r="37" spans="2:16" ht="16.5" customHeight="1" thickBot="1" thickTop="1">
      <c r="B37" s="28"/>
      <c r="C37" s="109"/>
      <c r="D37" s="110"/>
      <c r="E37" s="110"/>
      <c r="F37" s="110"/>
      <c r="G37" s="110"/>
      <c r="H37" s="113"/>
      <c r="I37" s="113"/>
      <c r="J37" s="91"/>
      <c r="K37" s="91"/>
      <c r="L37" s="91"/>
      <c r="M37" s="91"/>
      <c r="N37" s="91"/>
      <c r="O37" s="91"/>
      <c r="P37" s="91"/>
    </row>
    <row r="38" spans="1:16" ht="12.75">
      <c r="A38" s="3" t="s">
        <v>14</v>
      </c>
      <c r="B38" s="114" t="s">
        <v>175</v>
      </c>
      <c r="C38" s="115"/>
      <c r="D38" s="94"/>
      <c r="E38" s="94"/>
      <c r="F38" s="94"/>
      <c r="G38" s="94"/>
      <c r="H38" s="116"/>
      <c r="I38" s="116"/>
      <c r="J38" s="117"/>
      <c r="K38" s="91"/>
      <c r="L38" s="91"/>
      <c r="M38" s="91"/>
      <c r="N38" s="91"/>
      <c r="O38" s="91"/>
      <c r="P38" s="91"/>
    </row>
    <row r="39" spans="2:16" ht="30" customHeight="1">
      <c r="B39" s="87" t="s">
        <v>248</v>
      </c>
      <c r="C39" s="88"/>
      <c r="D39" s="89">
        <f>1894556-55000</f>
        <v>1839556</v>
      </c>
      <c r="E39" s="89">
        <v>1789956</v>
      </c>
      <c r="F39" s="89">
        <f>+((5313*31.61)+(738*31.61)+(53*31.61))*3/12+((5426*32.12)+(738*32.12)+(53*32.12))*9/12</f>
        <v>198004.38999999998</v>
      </c>
      <c r="G39" s="89">
        <f>+((5426*32.12)+(738*32.12)+(53*32.12))*3/12+((5426*1.02*32.63)+(738*1.02*32.63)+(53*1.02*32.63))*9/12</f>
        <v>205110.95315</v>
      </c>
      <c r="H39" s="89">
        <f>+((5535*32.63)+(753*32.63)+(54*32.63))*3/12+((5535*1.02*33.15)+(753*1.02*33.15)+(54*1.02*33.15))*9/12</f>
        <v>212566.39950000003</v>
      </c>
      <c r="I39" s="89">
        <f>+((5646*33.15)+(768*33.15)+(55*33.15))*3/12+((5646*1.02*33.68)+(768*1.02*33.68)+(55*1.02*33.68))*9/12</f>
        <v>220286.91629999998</v>
      </c>
      <c r="J39" s="100" t="s">
        <v>14</v>
      </c>
      <c r="K39" s="106"/>
      <c r="L39" s="106"/>
      <c r="M39" s="106"/>
      <c r="N39" s="106"/>
      <c r="O39" s="106"/>
      <c r="P39" s="106"/>
    </row>
    <row r="40" spans="2:16" ht="16.5" customHeight="1">
      <c r="B40" s="87" t="s">
        <v>249</v>
      </c>
      <c r="C40" s="88"/>
      <c r="D40" s="89"/>
      <c r="E40" s="89"/>
      <c r="F40" s="89">
        <f>+((15356*26.61)+(1746*26.61)+(198*26.61))*3/12+((15716*27.04)+(1746*27.04)+(198*27.04))*9/12</f>
        <v>473233.05</v>
      </c>
      <c r="G40" s="89">
        <f>+((15716*27.04)+(1746*27.04)+(198*27.04))*3/12+((15716*1.02*27.47)+(1746*1.02*27.47)+(198*1.02*27.47))*9/12</f>
        <v>490498.55299999996</v>
      </c>
      <c r="H40" s="89">
        <f>+((16030*27.47)+(1781*27.47)+(202*27.47))*3/12+((16030*1.02*27.91)+(1781*1.02*27.91)+(202*1.02*27.91))*9/12</f>
        <v>508302.54245</v>
      </c>
      <c r="I40" s="89">
        <f>+((16351*27.91)+(1817*27.91)+(206*27.91))*3/12+((16351*1.02*28.36)+(1817*1.02*28.36)+(206*1.02*28.36))*9/12</f>
        <v>526835.8646</v>
      </c>
      <c r="J40" s="100"/>
      <c r="K40" s="106"/>
      <c r="L40" s="106"/>
      <c r="M40" s="106"/>
      <c r="N40" s="106"/>
      <c r="O40" s="106"/>
      <c r="P40" s="106"/>
    </row>
    <row r="41" spans="2:16" ht="21" customHeight="1">
      <c r="B41" s="87" t="s">
        <v>250</v>
      </c>
      <c r="C41" s="88"/>
      <c r="D41" s="89"/>
      <c r="E41" s="89"/>
      <c r="F41" s="89">
        <f>+((13476*23.61)+(2990*23.61)+(364*23.61))*3/12+((14030*23.98)+(2990*23.98)+(364*23.98))*9/12</f>
        <v>411990.315</v>
      </c>
      <c r="G41" s="89">
        <f>+((14030*23.98)+(2990*23.98)+(364*23.98))*3/12+((14030*1.02*24.36)+(2990*1.02*24.36)+(364*1.02*24.36))*9/12</f>
        <v>428174.87360000005</v>
      </c>
      <c r="H41" s="89">
        <f>+((14311*24.36)+(3050*24.36)+(371*24.36))*3/12+((14311*1.02*24.75)+(3050*1.02*24.75)+(371*1.02*24.75))*9/12</f>
        <v>443721.135</v>
      </c>
      <c r="I41" s="89">
        <f>+((14597*24.75)+(3111*24.75)+(378*24.75))*3/12+((14597*1.02*25.15)+(3111*1.02*25.15)+(378*1.02*25.15))*9/12</f>
        <v>459877.2435</v>
      </c>
      <c r="J41" s="100"/>
      <c r="K41" s="106"/>
      <c r="L41" s="106"/>
      <c r="M41" s="106"/>
      <c r="N41" s="106"/>
      <c r="O41" s="106"/>
      <c r="P41" s="106"/>
    </row>
    <row r="42" spans="2:16" ht="15.75" customHeight="1">
      <c r="B42" s="87" t="s">
        <v>251</v>
      </c>
      <c r="C42" s="88"/>
      <c r="D42" s="89"/>
      <c r="E42" s="89"/>
      <c r="F42" s="89">
        <f>+((25632*20.61)+(163*20.61)+(21*20.61))*3/12+((26199*20.94)+(163*20.94)+(21*20.94))*9/12</f>
        <v>547361.955</v>
      </c>
      <c r="G42" s="89">
        <f>+((26199*20.94)+(163*20.94)+(21*20.94))*3/12+((26199*1.02*21.28)+(163*1.02*21.28)+(21*1.02*21.28))*9/12</f>
        <v>567609.1386</v>
      </c>
      <c r="H42" s="89">
        <f>+((26723*21.28)+(166*21.28)+(21.42*21.28))*3/12+((26723*1.02*21.62)+(166*1.02*21.62)+(21*1.02*21.62))*9/12</f>
        <v>588235.9974</v>
      </c>
      <c r="I42" s="89">
        <f>+((27257*21.62)+(169*21.62)+(21*21.62))*3/12+((27257*1.02*21.97)+(169*1.02*21.97)+(21*1.02*21.97))*9/12</f>
        <v>609654.1363499999</v>
      </c>
      <c r="J42" s="100"/>
      <c r="K42" s="106"/>
      <c r="L42" s="106"/>
      <c r="M42" s="106"/>
      <c r="N42" s="106"/>
      <c r="O42" s="106"/>
      <c r="P42" s="106"/>
    </row>
    <row r="43" spans="2:16" ht="15" customHeight="1">
      <c r="B43" s="87" t="s">
        <v>252</v>
      </c>
      <c r="C43" s="88"/>
      <c r="D43" s="89"/>
      <c r="E43" s="89"/>
      <c r="F43" s="89">
        <f>+((9184*26.61)+(1993*26.61)+(238*26.61))*3/12+((9369*27.04)+(1993*27.04)+(238*27.04))*9/12</f>
        <v>311186.2875</v>
      </c>
      <c r="G43" s="89">
        <f>+((9369*27.04)+(1993*27.04)+(238*27.04))*3/12+((9369*1.02*27.47)+(1993*1.02*27.47)+(238*1.02*27.47))*9/12</f>
        <v>322184.78</v>
      </c>
      <c r="H43" s="89">
        <f>+((9556*27.47)+(2033*27.47)+(243*27.47))*3/12+((9556*1.02*27.91)+(2033*1.02*27.91)+(243*1.02*27.91))*9/12</f>
        <v>333883.06680000003</v>
      </c>
      <c r="I43" s="89">
        <f>+((9747*27.91)+(2074*27.91)+(248*27.91))*3/12+((9747*1.02*28.35)+(2074*1.02*28.35)+(248*1.02*28.35))*9/12</f>
        <v>345960.90225000004</v>
      </c>
      <c r="J43" s="100"/>
      <c r="K43" s="106"/>
      <c r="L43" s="106"/>
      <c r="M43" s="106"/>
      <c r="N43" s="106"/>
      <c r="O43" s="106"/>
      <c r="P43" s="106"/>
    </row>
    <row r="44" spans="2:16" ht="15" customHeight="1">
      <c r="B44" s="87" t="s">
        <v>233</v>
      </c>
      <c r="C44" s="88"/>
      <c r="D44" s="89"/>
      <c r="E44" s="89">
        <v>38525</v>
      </c>
      <c r="F44" s="89">
        <f>26005+14014+11393</f>
        <v>51412</v>
      </c>
      <c r="G44" s="89">
        <f>26434+14251+11588</f>
        <v>52273</v>
      </c>
      <c r="H44" s="89">
        <f>26859+14481+11775</f>
        <v>53115</v>
      </c>
      <c r="I44" s="89">
        <f>27025+14647+11941</f>
        <v>53613</v>
      </c>
      <c r="J44" s="100" t="s">
        <v>237</v>
      </c>
      <c r="K44" s="106"/>
      <c r="L44" s="106"/>
      <c r="M44" s="106"/>
      <c r="N44" s="106"/>
      <c r="O44" s="106"/>
      <c r="P44" s="106"/>
    </row>
    <row r="45" spans="2:16" ht="69" customHeight="1">
      <c r="B45" s="123" t="s">
        <v>253</v>
      </c>
      <c r="C45" s="88"/>
      <c r="D45" s="89">
        <f>ROUND(92430*1.215*0.7,-2)</f>
        <v>78600</v>
      </c>
      <c r="E45" s="89">
        <v>95500</v>
      </c>
      <c r="F45" s="89">
        <f>+((12.85-11.55)*1.215*92430*0.75)+(13-11.55)*1.215*92430*0.25</f>
        <v>150204.5268749999</v>
      </c>
      <c r="G45" s="89">
        <f>+((13-11.55)*1.215*92430*0.75)+(13.7-11.55)*1.215*92430*0.25</f>
        <v>182491.48124999992</v>
      </c>
      <c r="H45" s="89">
        <f>+((13.7-11.55)*1.215*92430*0.75)+(14-11.55)*1.215*92430*0.25</f>
        <v>249872.9512499999</v>
      </c>
      <c r="I45" s="89">
        <f>+((14-11.55)*1.215*92430*0.75)+(14.7-11.55)*1.215*92430*0.25</f>
        <v>294793.9312499999</v>
      </c>
      <c r="J45" s="100" t="s">
        <v>289</v>
      </c>
      <c r="K45" s="106"/>
      <c r="L45" s="106"/>
      <c r="M45" s="106"/>
      <c r="N45" s="106"/>
      <c r="O45" s="106"/>
      <c r="P45" s="106"/>
    </row>
    <row r="46" spans="2:16" ht="13.5" thickBot="1">
      <c r="B46" s="119" t="s">
        <v>69</v>
      </c>
      <c r="C46" s="124" t="s">
        <v>243</v>
      </c>
      <c r="D46" s="121">
        <v>140</v>
      </c>
      <c r="E46" s="121">
        <v>-5176</v>
      </c>
      <c r="F46" s="121">
        <f>+(113.2-121.5)*1000</f>
        <v>-8299.999999999996</v>
      </c>
      <c r="G46" s="121">
        <f>+(150-134.3)*1000</f>
        <v>15699.999999999989</v>
      </c>
      <c r="H46" s="121">
        <f>+(150-134.3)*1000</f>
        <v>15699.999999999989</v>
      </c>
      <c r="I46" s="121">
        <f>+(150-134.3)*1000</f>
        <v>15699.999999999989</v>
      </c>
      <c r="J46" s="122" t="s">
        <v>242</v>
      </c>
      <c r="K46" s="91"/>
      <c r="L46" s="91"/>
      <c r="M46" s="91"/>
      <c r="N46" s="91"/>
      <c r="O46" s="91"/>
      <c r="P46" s="91"/>
    </row>
    <row r="47" spans="2:16" ht="12.75">
      <c r="B47" s="28"/>
      <c r="C47" s="109"/>
      <c r="D47" s="110"/>
      <c r="E47" s="110"/>
      <c r="F47" s="110"/>
      <c r="G47" s="110"/>
      <c r="H47" s="113"/>
      <c r="I47" s="113"/>
      <c r="J47" s="98"/>
      <c r="K47" s="91"/>
      <c r="L47" s="91"/>
      <c r="M47" s="91"/>
      <c r="N47" s="91"/>
      <c r="O47" s="91"/>
      <c r="P47" s="91"/>
    </row>
    <row r="48" spans="2:16" ht="14.25" thickBot="1">
      <c r="B48" s="28"/>
      <c r="C48" s="109"/>
      <c r="D48" s="111">
        <f aca="true" t="shared" si="0" ref="D48:I48">SUM(D39:D47)</f>
        <v>1918296</v>
      </c>
      <c r="E48" s="111">
        <f t="shared" si="0"/>
        <v>1918805</v>
      </c>
      <c r="F48" s="127">
        <f t="shared" si="0"/>
        <v>2135092.524375</v>
      </c>
      <c r="G48" s="112">
        <f t="shared" si="0"/>
        <v>2264042.7795999995</v>
      </c>
      <c r="H48" s="112">
        <f t="shared" si="0"/>
        <v>2405397.0924</v>
      </c>
      <c r="I48" s="112">
        <f t="shared" si="0"/>
        <v>2526721.99425</v>
      </c>
      <c r="J48" s="91"/>
      <c r="K48" s="91"/>
      <c r="L48" s="91"/>
      <c r="M48" s="91"/>
      <c r="N48" s="91"/>
      <c r="O48" s="91"/>
      <c r="P48" s="91"/>
    </row>
    <row r="49" spans="2:16" ht="13.5" thickTop="1">
      <c r="B49" s="28"/>
      <c r="C49" s="109"/>
      <c r="D49" s="113"/>
      <c r="E49" s="113"/>
      <c r="F49" s="113"/>
      <c r="G49" s="113"/>
      <c r="H49" s="113"/>
      <c r="I49" s="113"/>
      <c r="J49" s="91"/>
      <c r="K49" s="91"/>
      <c r="L49" s="91"/>
      <c r="M49" s="91"/>
      <c r="N49" s="91"/>
      <c r="O49" s="91"/>
      <c r="P49" s="91"/>
    </row>
    <row r="50" spans="2:16" ht="31.5" customHeight="1">
      <c r="B50" s="133" t="s">
        <v>290</v>
      </c>
      <c r="C50" s="133"/>
      <c r="D50" s="133"/>
      <c r="E50" s="133"/>
      <c r="F50" s="133"/>
      <c r="G50" s="133"/>
      <c r="H50" s="133"/>
      <c r="I50" s="133"/>
      <c r="J50" s="133"/>
      <c r="K50" s="91"/>
      <c r="L50" s="91"/>
      <c r="M50" s="91"/>
      <c r="N50" s="91"/>
      <c r="O50" s="91"/>
      <c r="P50" s="91"/>
    </row>
    <row r="51" spans="4:16" ht="12.75">
      <c r="D51" s="113"/>
      <c r="E51" s="113"/>
      <c r="F51" s="113"/>
      <c r="G51" s="113"/>
      <c r="H51" s="113"/>
      <c r="I51" s="113"/>
      <c r="J51" s="91"/>
      <c r="K51" s="91"/>
      <c r="L51" s="91"/>
      <c r="M51" s="91"/>
      <c r="N51" s="91"/>
      <c r="O51" s="91"/>
      <c r="P51" s="91"/>
    </row>
    <row r="53" ht="12.75">
      <c r="J53" s="41" t="s">
        <v>14</v>
      </c>
    </row>
  </sheetData>
  <sheetProtection password="E07E" sheet="1"/>
  <mergeCells count="2">
    <mergeCell ref="D3:H3"/>
    <mergeCell ref="B50:J50"/>
  </mergeCell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5.421875" style="3" customWidth="1"/>
    <col min="2" max="2" width="14.00390625" style="15" hidden="1" customWidth="1"/>
    <col min="3" max="5" width="17.421875" style="15" customWidth="1"/>
    <col min="6" max="6" width="17.421875" style="15" hidden="1" customWidth="1"/>
    <col min="7" max="16384" width="8.8515625" style="3" customWidth="1"/>
  </cols>
  <sheetData>
    <row r="1" spans="1:6" ht="15">
      <c r="A1" s="8" t="s">
        <v>135</v>
      </c>
      <c r="B1" s="30"/>
      <c r="C1" s="30"/>
      <c r="D1" s="30"/>
      <c r="E1" s="30"/>
      <c r="F1" s="30"/>
    </row>
    <row r="2" spans="2:6" ht="12.75">
      <c r="B2" s="30"/>
      <c r="C2" s="30"/>
      <c r="D2" s="30"/>
      <c r="E2" s="30"/>
      <c r="F2" s="30"/>
    </row>
    <row r="3" spans="2:6" ht="12.75">
      <c r="B3" s="4" t="s">
        <v>8</v>
      </c>
      <c r="C3" s="4" t="s">
        <v>66</v>
      </c>
      <c r="D3" s="4" t="s">
        <v>66</v>
      </c>
      <c r="E3" s="4" t="s">
        <v>66</v>
      </c>
      <c r="F3" s="4" t="s">
        <v>66</v>
      </c>
    </row>
    <row r="4" spans="2:6" ht="12.75">
      <c r="B4" s="4" t="s">
        <v>155</v>
      </c>
      <c r="C4" s="4" t="s">
        <v>157</v>
      </c>
      <c r="D4" s="4" t="s">
        <v>158</v>
      </c>
      <c r="E4" s="4" t="s">
        <v>159</v>
      </c>
      <c r="F4" s="4" t="s">
        <v>160</v>
      </c>
    </row>
    <row r="5" spans="2:6" ht="12.75">
      <c r="B5" s="30"/>
      <c r="C5" s="30"/>
      <c r="D5" s="30"/>
      <c r="E5" s="30"/>
      <c r="F5" s="30"/>
    </row>
    <row r="6" spans="1:6" ht="12.75">
      <c r="A6" s="3" t="s">
        <v>178</v>
      </c>
      <c r="B6" s="32">
        <v>988838</v>
      </c>
      <c r="C6" s="32">
        <v>798000</v>
      </c>
      <c r="D6" s="32">
        <v>693100</v>
      </c>
      <c r="E6" s="32">
        <v>581400</v>
      </c>
      <c r="F6" s="32">
        <v>462300</v>
      </c>
    </row>
    <row r="7" spans="1:6" ht="12.75">
      <c r="A7" s="28" t="s">
        <v>283</v>
      </c>
      <c r="B7" s="32">
        <v>15494</v>
      </c>
      <c r="C7" s="32">
        <v>2600</v>
      </c>
      <c r="D7" s="32">
        <v>0</v>
      </c>
      <c r="E7" s="32">
        <v>0</v>
      </c>
      <c r="F7" s="32">
        <v>0</v>
      </c>
    </row>
    <row r="8" spans="1:6" ht="12.75">
      <c r="A8" s="28" t="s">
        <v>284</v>
      </c>
      <c r="B8" s="37">
        <v>6378</v>
      </c>
      <c r="C8" s="37">
        <v>1900</v>
      </c>
      <c r="D8" s="37">
        <v>100</v>
      </c>
      <c r="E8" s="37">
        <v>0</v>
      </c>
      <c r="F8" s="37">
        <v>0</v>
      </c>
    </row>
    <row r="9" spans="1:6" ht="12.75">
      <c r="A9" s="28" t="s">
        <v>286</v>
      </c>
      <c r="B9" s="37"/>
      <c r="C9" s="37">
        <v>20000</v>
      </c>
      <c r="D9" s="37">
        <v>39600</v>
      </c>
      <c r="E9" s="37">
        <v>38800</v>
      </c>
      <c r="F9" s="37">
        <v>38000</v>
      </c>
    </row>
    <row r="10" spans="1:6" ht="12.75">
      <c r="A10" s="28" t="s">
        <v>285</v>
      </c>
      <c r="B10" s="26">
        <v>0</v>
      </c>
      <c r="C10" s="26">
        <v>2400</v>
      </c>
      <c r="D10" s="26">
        <v>1800</v>
      </c>
      <c r="E10" s="26">
        <v>1300</v>
      </c>
      <c r="F10" s="26">
        <v>700</v>
      </c>
    </row>
    <row r="11" spans="2:6" ht="12.75">
      <c r="B11" s="32"/>
      <c r="C11" s="32"/>
      <c r="D11" s="32"/>
      <c r="E11" s="32"/>
      <c r="F11" s="32"/>
    </row>
    <row r="12" spans="2:6" ht="13.5" thickBot="1">
      <c r="B12" s="35">
        <f>SUM(B6:B10)</f>
        <v>1010710</v>
      </c>
      <c r="C12" s="35">
        <f>SUM(C6:C10)</f>
        <v>824900</v>
      </c>
      <c r="D12" s="35">
        <f>SUM(D6:D10)</f>
        <v>734600</v>
      </c>
      <c r="E12" s="35">
        <f>SUM(E6:E10)</f>
        <v>621500</v>
      </c>
      <c r="F12" s="35">
        <f>SUM(F6:F10)</f>
        <v>501000</v>
      </c>
    </row>
    <row r="13" ht="13.5" thickTop="1"/>
  </sheetData>
  <sheetProtection password="E07E" sheet="1"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PageLayoutView="0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F38" sqref="F38"/>
    </sheetView>
  </sheetViews>
  <sheetFormatPr defaultColWidth="9.140625" defaultRowHeight="12.75"/>
  <cols>
    <col min="1" max="1" width="2.7109375" style="20" customWidth="1"/>
    <col min="2" max="2" width="32.00390625" style="20" customWidth="1"/>
    <col min="3" max="3" width="6.28125" style="59" customWidth="1"/>
    <col min="4" max="4" width="15.00390625" style="16" customWidth="1"/>
    <col min="5" max="5" width="13.00390625" style="16" customWidth="1"/>
    <col min="6" max="6" width="14.421875" style="16" customWidth="1"/>
    <col min="7" max="7" width="13.8515625" style="16" customWidth="1"/>
    <col min="8" max="8" width="14.28125" style="16" customWidth="1"/>
    <col min="9" max="9" width="14.57421875" style="16" customWidth="1"/>
    <col min="10" max="10" width="13.7109375" style="16" customWidth="1"/>
    <col min="11" max="11" width="15.57421875" style="16" customWidth="1"/>
    <col min="12" max="12" width="14.57421875" style="16" customWidth="1"/>
    <col min="13" max="13" width="13.7109375" style="16" customWidth="1"/>
    <col min="14" max="14" width="13.421875" style="16" customWidth="1"/>
    <col min="15" max="15" width="16.00390625" style="16" hidden="1" customWidth="1"/>
    <col min="16" max="16" width="9.140625" style="16" customWidth="1"/>
    <col min="17" max="17" width="15.140625" style="1" hidden="1" customWidth="1"/>
    <col min="18" max="16384" width="9.140625" style="16" customWidth="1"/>
  </cols>
  <sheetData>
    <row r="1" spans="1:3" ht="15">
      <c r="A1" s="65" t="s">
        <v>71</v>
      </c>
      <c r="B1" s="22"/>
      <c r="C1" s="43"/>
    </row>
    <row r="2" spans="1:3" ht="15">
      <c r="A2" s="65" t="s">
        <v>72</v>
      </c>
      <c r="B2" s="22"/>
      <c r="C2" s="43"/>
    </row>
    <row r="3" ht="15">
      <c r="A3" s="66" t="s">
        <v>137</v>
      </c>
    </row>
    <row r="4" ht="12.75">
      <c r="A4" s="67"/>
    </row>
    <row r="5" spans="2:15" ht="12.75">
      <c r="B5" s="22" t="s">
        <v>14</v>
      </c>
      <c r="D5" s="62" t="s">
        <v>73</v>
      </c>
      <c r="E5" s="61"/>
      <c r="F5" s="61"/>
      <c r="G5" s="61"/>
      <c r="H5" s="62" t="s">
        <v>73</v>
      </c>
      <c r="I5" s="61"/>
      <c r="J5" s="61"/>
      <c r="K5" s="61"/>
      <c r="L5" s="61"/>
      <c r="M5" s="61"/>
      <c r="N5" s="61"/>
      <c r="O5" s="61"/>
    </row>
    <row r="6" spans="1:15" ht="12.75">
      <c r="A6" s="22"/>
      <c r="B6" s="22"/>
      <c r="C6" s="43"/>
      <c r="D6" s="62" t="s">
        <v>74</v>
      </c>
      <c r="E6" s="62"/>
      <c r="F6" s="62"/>
      <c r="G6" s="62" t="s">
        <v>74</v>
      </c>
      <c r="H6" s="62" t="s">
        <v>75</v>
      </c>
      <c r="I6" s="62" t="s">
        <v>134</v>
      </c>
      <c r="J6" s="62" t="s">
        <v>76</v>
      </c>
      <c r="K6" s="62" t="s">
        <v>75</v>
      </c>
      <c r="L6" s="62" t="s">
        <v>77</v>
      </c>
      <c r="M6" s="62" t="s">
        <v>134</v>
      </c>
      <c r="N6" s="62" t="s">
        <v>134</v>
      </c>
      <c r="O6" s="62" t="s">
        <v>134</v>
      </c>
    </row>
    <row r="7" spans="1:15" ht="12.75">
      <c r="A7" s="22" t="s">
        <v>78</v>
      </c>
      <c r="B7" s="22"/>
      <c r="C7" s="43" t="s">
        <v>79</v>
      </c>
      <c r="D7" s="68">
        <v>44286</v>
      </c>
      <c r="E7" s="62" t="s">
        <v>80</v>
      </c>
      <c r="F7" s="62" t="s">
        <v>81</v>
      </c>
      <c r="G7" s="68">
        <v>44651</v>
      </c>
      <c r="H7" s="68">
        <v>44286</v>
      </c>
      <c r="I7" s="69" t="s">
        <v>157</v>
      </c>
      <c r="J7" s="62" t="s">
        <v>81</v>
      </c>
      <c r="K7" s="68">
        <v>44651</v>
      </c>
      <c r="L7" s="68">
        <v>44651</v>
      </c>
      <c r="M7" s="69" t="s">
        <v>158</v>
      </c>
      <c r="N7" s="70" t="s">
        <v>159</v>
      </c>
      <c r="O7" s="70" t="s">
        <v>160</v>
      </c>
    </row>
    <row r="9" ht="12.75">
      <c r="A9" s="20" t="s">
        <v>82</v>
      </c>
    </row>
    <row r="10" spans="2:12" ht="12.75">
      <c r="B10" s="20" t="s">
        <v>83</v>
      </c>
      <c r="D10" s="16">
        <f>+'[1]Sheet1'!E10</f>
        <v>493120</v>
      </c>
      <c r="G10" s="16">
        <f>SUM(D10:F10)</f>
        <v>493120</v>
      </c>
      <c r="H10" s="16">
        <f>+'[1]Sheet2'!E10</f>
        <v>0</v>
      </c>
      <c r="I10" s="16">
        <v>0</v>
      </c>
      <c r="K10" s="16">
        <f>SUM(H10:I10)</f>
        <v>0</v>
      </c>
      <c r="L10" s="16">
        <f>+G10-K10</f>
        <v>493120</v>
      </c>
    </row>
    <row r="11" spans="2:12" ht="12.75">
      <c r="B11" s="20" t="s">
        <v>170</v>
      </c>
      <c r="D11" s="16">
        <v>325679.05</v>
      </c>
      <c r="G11" s="16">
        <f>SUM(D11:F11)</f>
        <v>325679.05</v>
      </c>
      <c r="K11" s="16">
        <f>SUM(H11:I11)</f>
        <v>0</v>
      </c>
      <c r="L11" s="16">
        <f>+G11-K11</f>
        <v>325679.05</v>
      </c>
    </row>
    <row r="12" spans="4:12" ht="12.75">
      <c r="D12" s="16">
        <v>2425</v>
      </c>
      <c r="G12" s="16">
        <f>SUM(D12:F12)</f>
        <v>2425</v>
      </c>
      <c r="K12" s="16">
        <f>SUM(H12:I12)</f>
        <v>0</v>
      </c>
      <c r="L12" s="16">
        <f>+G12-K12</f>
        <v>2425</v>
      </c>
    </row>
    <row r="13" spans="2:12" ht="12.75">
      <c r="B13" s="20" t="s">
        <v>84</v>
      </c>
      <c r="D13" s="16">
        <f>+'[1]Sheet1'!E11</f>
        <v>11300</v>
      </c>
      <c r="G13" s="16">
        <f>SUM(D13:F13)</f>
        <v>11300</v>
      </c>
      <c r="H13" s="16">
        <f>+'[1]Sheet2'!E11</f>
        <v>0</v>
      </c>
      <c r="I13" s="16">
        <v>0</v>
      </c>
      <c r="K13" s="16">
        <f>SUM(H13:I13)</f>
        <v>0</v>
      </c>
      <c r="L13" s="16">
        <f>+G13-K13</f>
        <v>11300</v>
      </c>
    </row>
    <row r="14" spans="4:12" ht="12.75">
      <c r="D14" s="17">
        <f aca="true" t="shared" si="0" ref="D14:L14">SUM(D10:D13)</f>
        <v>832524.05</v>
      </c>
      <c r="E14" s="17">
        <f t="shared" si="0"/>
        <v>0</v>
      </c>
      <c r="F14" s="17">
        <f t="shared" si="0"/>
        <v>0</v>
      </c>
      <c r="G14" s="17">
        <f t="shared" si="0"/>
        <v>832524.05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832524.05</v>
      </c>
    </row>
    <row r="16" ht="12.75">
      <c r="A16" s="20" t="s">
        <v>174</v>
      </c>
    </row>
    <row r="17" spans="2:17" ht="12.75">
      <c r="B17" s="20" t="s">
        <v>85</v>
      </c>
      <c r="C17" s="59">
        <v>0.05</v>
      </c>
      <c r="D17" s="16">
        <v>13551.8</v>
      </c>
      <c r="E17" s="16">
        <v>0</v>
      </c>
      <c r="G17" s="19">
        <f aca="true" t="shared" si="1" ref="G17:G23">+D17+E17-F17</f>
        <v>13551.8</v>
      </c>
      <c r="H17" s="16">
        <v>10111</v>
      </c>
      <c r="I17" s="16">
        <f aca="true" t="shared" si="2" ref="I17:I23">ROUND((+G17-E17)*C17,0)+ROUND(E17*C17/2,0)</f>
        <v>678</v>
      </c>
      <c r="K17" s="16">
        <f aca="true" t="shared" si="3" ref="K17:K22">+H17+I17-J17</f>
        <v>10789</v>
      </c>
      <c r="L17" s="16">
        <f aca="true" t="shared" si="4" ref="L17:L23">+G17-K17</f>
        <v>2762.7999999999993</v>
      </c>
      <c r="M17" s="16">
        <v>678</v>
      </c>
      <c r="N17" s="16">
        <v>678</v>
      </c>
      <c r="O17" s="16">
        <v>678</v>
      </c>
      <c r="Q17" s="1">
        <f>+L17-M17-N17-O17</f>
        <v>728.7999999999993</v>
      </c>
    </row>
    <row r="18" spans="2:17" ht="12.75">
      <c r="B18" s="20" t="s">
        <v>138</v>
      </c>
      <c r="C18" s="59">
        <v>0.05</v>
      </c>
      <c r="D18" s="16">
        <v>172721.18</v>
      </c>
      <c r="E18" s="16">
        <v>0</v>
      </c>
      <c r="F18" s="16">
        <v>0</v>
      </c>
      <c r="G18" s="19">
        <f t="shared" si="1"/>
        <v>172721.18</v>
      </c>
      <c r="H18" s="16">
        <v>90578</v>
      </c>
      <c r="I18" s="16">
        <f t="shared" si="2"/>
        <v>8636</v>
      </c>
      <c r="K18" s="16">
        <f t="shared" si="3"/>
        <v>99214</v>
      </c>
      <c r="L18" s="16">
        <f t="shared" si="4"/>
        <v>73507.18</v>
      </c>
      <c r="M18" s="16">
        <v>8636</v>
      </c>
      <c r="N18" s="16">
        <v>8636</v>
      </c>
      <c r="O18" s="16">
        <v>8636</v>
      </c>
      <c r="Q18" s="1">
        <f aca="true" t="shared" si="5" ref="Q18:Q78">+L18-M18-N18-O18</f>
        <v>47599.17999999999</v>
      </c>
    </row>
    <row r="19" spans="2:17" ht="12.75">
      <c r="B19" s="20" t="s">
        <v>161</v>
      </c>
      <c r="C19" s="59">
        <v>0.2</v>
      </c>
      <c r="D19" s="16">
        <v>17728</v>
      </c>
      <c r="E19" s="16">
        <v>0</v>
      </c>
      <c r="F19" s="16">
        <v>0</v>
      </c>
      <c r="G19" s="19">
        <f>+D19+E19-F19</f>
        <v>17728</v>
      </c>
      <c r="H19" s="16">
        <v>15957</v>
      </c>
      <c r="I19" s="16">
        <f>ROUND((+G19-E19)*C19,0)+ROUND(E19*C19/2,0)-1775</f>
        <v>1771</v>
      </c>
      <c r="K19" s="16">
        <f t="shared" si="3"/>
        <v>17728</v>
      </c>
      <c r="L19" s="16">
        <f>+G19-K19</f>
        <v>0</v>
      </c>
      <c r="M19" s="16">
        <v>0</v>
      </c>
      <c r="N19" s="16">
        <v>0</v>
      </c>
      <c r="O19" s="16">
        <v>0</v>
      </c>
      <c r="Q19" s="1">
        <f t="shared" si="5"/>
        <v>0</v>
      </c>
    </row>
    <row r="20" spans="2:17" ht="12.75">
      <c r="B20" s="20" t="s">
        <v>139</v>
      </c>
      <c r="C20" s="59">
        <v>0.05</v>
      </c>
      <c r="D20" s="16">
        <v>51132.35</v>
      </c>
      <c r="E20" s="16">
        <v>0</v>
      </c>
      <c r="G20" s="19">
        <f t="shared" si="1"/>
        <v>51132.35</v>
      </c>
      <c r="H20" s="16">
        <v>26872</v>
      </c>
      <c r="I20" s="16">
        <f t="shared" si="2"/>
        <v>2557</v>
      </c>
      <c r="K20" s="16">
        <f t="shared" si="3"/>
        <v>29429</v>
      </c>
      <c r="L20" s="16">
        <f t="shared" si="4"/>
        <v>21703.35</v>
      </c>
      <c r="M20" s="16">
        <v>2557</v>
      </c>
      <c r="N20" s="16">
        <v>2557</v>
      </c>
      <c r="O20" s="16">
        <v>2557</v>
      </c>
      <c r="Q20" s="1">
        <f t="shared" si="5"/>
        <v>14032.349999999999</v>
      </c>
    </row>
    <row r="21" spans="2:17" ht="12.75">
      <c r="B21" s="20" t="s">
        <v>140</v>
      </c>
      <c r="C21" s="59">
        <v>0.05</v>
      </c>
      <c r="D21" s="16">
        <v>17548</v>
      </c>
      <c r="E21" s="16">
        <v>0</v>
      </c>
      <c r="G21" s="19">
        <f t="shared" si="1"/>
        <v>17548</v>
      </c>
      <c r="H21" s="16">
        <v>9209</v>
      </c>
      <c r="I21" s="16">
        <f t="shared" si="2"/>
        <v>877</v>
      </c>
      <c r="K21" s="16">
        <f t="shared" si="3"/>
        <v>10086</v>
      </c>
      <c r="L21" s="16">
        <f t="shared" si="4"/>
        <v>7462</v>
      </c>
      <c r="M21" s="16">
        <v>877</v>
      </c>
      <c r="N21" s="16">
        <v>877</v>
      </c>
      <c r="O21" s="16">
        <v>877</v>
      </c>
      <c r="Q21" s="1">
        <f t="shared" si="5"/>
        <v>4831</v>
      </c>
    </row>
    <row r="22" spans="2:17" ht="12.75">
      <c r="B22" s="20" t="s">
        <v>141</v>
      </c>
      <c r="C22" s="59">
        <v>0.05</v>
      </c>
      <c r="D22" s="16">
        <v>264037.82</v>
      </c>
      <c r="E22" s="20">
        <v>0</v>
      </c>
      <c r="G22" s="19">
        <f t="shared" si="1"/>
        <v>264037.82</v>
      </c>
      <c r="H22" s="16">
        <v>121767</v>
      </c>
      <c r="I22" s="16">
        <f t="shared" si="2"/>
        <v>13202</v>
      </c>
      <c r="K22" s="16">
        <f t="shared" si="3"/>
        <v>134969</v>
      </c>
      <c r="L22" s="16">
        <f t="shared" si="4"/>
        <v>129068.82</v>
      </c>
      <c r="M22" s="16">
        <v>13202</v>
      </c>
      <c r="N22" s="16">
        <v>13202</v>
      </c>
      <c r="O22" s="16">
        <v>13202</v>
      </c>
      <c r="Q22" s="1">
        <f t="shared" si="5"/>
        <v>89462.82</v>
      </c>
    </row>
    <row r="23" spans="2:17" ht="12.75">
      <c r="B23" s="20" t="s">
        <v>86</v>
      </c>
      <c r="C23" s="59">
        <v>0.05</v>
      </c>
      <c r="D23" s="18">
        <v>74726.78</v>
      </c>
      <c r="E23" s="24">
        <v>0</v>
      </c>
      <c r="F23" s="18"/>
      <c r="G23" s="18">
        <f t="shared" si="1"/>
        <v>74726.78</v>
      </c>
      <c r="H23" s="18">
        <v>59214</v>
      </c>
      <c r="I23" s="18">
        <f t="shared" si="2"/>
        <v>3736</v>
      </c>
      <c r="J23" s="18">
        <v>0</v>
      </c>
      <c r="K23" s="18">
        <f>SUM(H23:J23)</f>
        <v>62950</v>
      </c>
      <c r="L23" s="18">
        <f t="shared" si="4"/>
        <v>11776.779999999999</v>
      </c>
      <c r="M23" s="18">
        <v>3736</v>
      </c>
      <c r="N23" s="18">
        <v>3736</v>
      </c>
      <c r="O23" s="18">
        <v>3736</v>
      </c>
      <c r="Q23" s="1">
        <f t="shared" si="5"/>
        <v>568.7799999999988</v>
      </c>
    </row>
    <row r="24" spans="4:17" ht="12.75">
      <c r="D24" s="19">
        <f>SUM(D17:D23)</f>
        <v>611445.9299999999</v>
      </c>
      <c r="E24" s="19">
        <f aca="true" t="shared" si="6" ref="E24:O24">SUM(E17:E23)</f>
        <v>0</v>
      </c>
      <c r="F24" s="19">
        <f t="shared" si="6"/>
        <v>0</v>
      </c>
      <c r="G24" s="19">
        <f t="shared" si="6"/>
        <v>611445.9299999999</v>
      </c>
      <c r="H24" s="19">
        <f t="shared" si="6"/>
        <v>333708</v>
      </c>
      <c r="I24" s="19">
        <f t="shared" si="6"/>
        <v>31457</v>
      </c>
      <c r="J24" s="19">
        <f t="shared" si="6"/>
        <v>0</v>
      </c>
      <c r="K24" s="19">
        <f t="shared" si="6"/>
        <v>365165</v>
      </c>
      <c r="L24" s="19">
        <f t="shared" si="6"/>
        <v>246280.93</v>
      </c>
      <c r="M24" s="19">
        <f t="shared" si="6"/>
        <v>29686</v>
      </c>
      <c r="N24" s="19">
        <f t="shared" si="6"/>
        <v>29686</v>
      </c>
      <c r="O24" s="19">
        <f t="shared" si="6"/>
        <v>29686</v>
      </c>
      <c r="Q24" s="1" t="s">
        <v>14</v>
      </c>
    </row>
    <row r="25" ht="12.75">
      <c r="Q25" s="1" t="s">
        <v>14</v>
      </c>
    </row>
    <row r="26" spans="1:17" ht="12.75">
      <c r="A26" s="20" t="s">
        <v>87</v>
      </c>
      <c r="Q26" s="1" t="s">
        <v>14</v>
      </c>
    </row>
    <row r="27" spans="2:17" ht="12.75">
      <c r="B27" s="20" t="s">
        <v>88</v>
      </c>
      <c r="D27" s="16">
        <v>3751222.38</v>
      </c>
      <c r="E27" s="20">
        <v>300000</v>
      </c>
      <c r="G27" s="16">
        <f aca="true" t="shared" si="7" ref="G27:G33">SUM(D27:F27)</f>
        <v>4051222.38</v>
      </c>
      <c r="H27" s="16">
        <v>2446180</v>
      </c>
      <c r="I27" s="16">
        <v>50000</v>
      </c>
      <c r="K27" s="16">
        <f aca="true" t="shared" si="8" ref="K27:K33">SUM(H27:J27)</f>
        <v>2496180</v>
      </c>
      <c r="L27" s="16">
        <f aca="true" t="shared" si="9" ref="L27:L33">+G27-K27</f>
        <v>1555042.38</v>
      </c>
      <c r="M27" s="20">
        <v>60700</v>
      </c>
      <c r="N27" s="20">
        <v>81200</v>
      </c>
      <c r="O27" s="20">
        <v>103000</v>
      </c>
      <c r="P27" s="20"/>
      <c r="Q27" s="1">
        <f t="shared" si="5"/>
        <v>1310142.38</v>
      </c>
    </row>
    <row r="28" spans="2:17" ht="12.75">
      <c r="B28" s="20" t="s">
        <v>162</v>
      </c>
      <c r="C28" s="59">
        <v>0</v>
      </c>
      <c r="D28" s="16">
        <v>5138.25</v>
      </c>
      <c r="E28" s="20"/>
      <c r="G28" s="16">
        <f t="shared" si="7"/>
        <v>5138.25</v>
      </c>
      <c r="H28" s="16">
        <v>0</v>
      </c>
      <c r="I28" s="16">
        <v>0</v>
      </c>
      <c r="K28" s="16">
        <f t="shared" si="8"/>
        <v>0</v>
      </c>
      <c r="L28" s="16">
        <f t="shared" si="9"/>
        <v>5138.25</v>
      </c>
      <c r="M28" s="20">
        <v>0</v>
      </c>
      <c r="N28" s="20">
        <v>0</v>
      </c>
      <c r="O28" s="20">
        <v>0</v>
      </c>
      <c r="P28" s="20"/>
      <c r="Q28" s="1">
        <f t="shared" si="5"/>
        <v>5138.25</v>
      </c>
    </row>
    <row r="29" spans="2:17" ht="12.75">
      <c r="B29" s="20" t="s">
        <v>163</v>
      </c>
      <c r="C29" s="59">
        <v>0</v>
      </c>
      <c r="D29" s="16">
        <v>17188.51</v>
      </c>
      <c r="E29" s="20"/>
      <c r="G29" s="16">
        <f t="shared" si="7"/>
        <v>17188.51</v>
      </c>
      <c r="H29" s="16">
        <v>0</v>
      </c>
      <c r="I29" s="16">
        <v>0</v>
      </c>
      <c r="K29" s="16">
        <f t="shared" si="8"/>
        <v>0</v>
      </c>
      <c r="L29" s="16">
        <f t="shared" si="9"/>
        <v>17188.51</v>
      </c>
      <c r="M29" s="20">
        <v>0</v>
      </c>
      <c r="N29" s="20">
        <v>0</v>
      </c>
      <c r="O29" s="20">
        <v>0</v>
      </c>
      <c r="P29" s="20"/>
      <c r="Q29" s="1">
        <f t="shared" si="5"/>
        <v>17188.51</v>
      </c>
    </row>
    <row r="30" spans="2:17" ht="12.75">
      <c r="B30" s="20" t="s">
        <v>164</v>
      </c>
      <c r="C30" s="59">
        <v>0.05</v>
      </c>
      <c r="D30" s="16">
        <v>4917312.94</v>
      </c>
      <c r="E30" s="20"/>
      <c r="G30" s="16">
        <f t="shared" si="7"/>
        <v>4917312.94</v>
      </c>
      <c r="H30" s="16">
        <v>245866</v>
      </c>
      <c r="I30" s="16">
        <f>384570-50000</f>
        <v>334570</v>
      </c>
      <c r="K30" s="16">
        <f t="shared" si="8"/>
        <v>580436</v>
      </c>
      <c r="L30" s="16">
        <f t="shared" si="9"/>
        <v>4336876.94</v>
      </c>
      <c r="M30" s="20">
        <v>335000</v>
      </c>
      <c r="N30" s="20">
        <v>335000</v>
      </c>
      <c r="O30" s="20">
        <v>335000</v>
      </c>
      <c r="P30" s="20"/>
      <c r="Q30" s="1">
        <f t="shared" si="5"/>
        <v>3331876.9400000004</v>
      </c>
    </row>
    <row r="31" spans="2:17" ht="12.75">
      <c r="B31" s="20" t="s">
        <v>90</v>
      </c>
      <c r="C31" s="59">
        <v>0.25</v>
      </c>
      <c r="D31" s="16">
        <f>+'[1]Sheet1'!E19</f>
        <v>1852393.54</v>
      </c>
      <c r="E31" s="20"/>
      <c r="G31" s="16">
        <f t="shared" si="7"/>
        <v>1852393.54</v>
      </c>
      <c r="H31" s="16">
        <v>1852393.54</v>
      </c>
      <c r="I31" s="16">
        <v>0</v>
      </c>
      <c r="K31" s="16">
        <f t="shared" si="8"/>
        <v>1852393.54</v>
      </c>
      <c r="L31" s="16">
        <f t="shared" si="9"/>
        <v>0</v>
      </c>
      <c r="M31" s="20">
        <v>0</v>
      </c>
      <c r="N31" s="20">
        <v>0</v>
      </c>
      <c r="O31" s="20">
        <v>0</v>
      </c>
      <c r="P31" s="20"/>
      <c r="Q31" s="1">
        <f t="shared" si="5"/>
        <v>0</v>
      </c>
    </row>
    <row r="32" spans="2:17" ht="12.75">
      <c r="B32" s="20" t="s">
        <v>142</v>
      </c>
      <c r="C32" s="71">
        <v>0.125</v>
      </c>
      <c r="D32" s="16">
        <v>2310753.71</v>
      </c>
      <c r="E32" s="20">
        <v>0</v>
      </c>
      <c r="G32" s="16">
        <f t="shared" si="7"/>
        <v>2310753.71</v>
      </c>
      <c r="H32" s="16">
        <v>2310754</v>
      </c>
      <c r="I32" s="16">
        <v>0</v>
      </c>
      <c r="K32" s="16">
        <f t="shared" si="8"/>
        <v>2310754</v>
      </c>
      <c r="L32" s="16">
        <f t="shared" si="9"/>
        <v>-0.2900000000372529</v>
      </c>
      <c r="M32" s="20">
        <v>0</v>
      </c>
      <c r="N32" s="20">
        <v>0</v>
      </c>
      <c r="O32" s="20">
        <v>0</v>
      </c>
      <c r="P32" s="20"/>
      <c r="Q32" s="1">
        <f t="shared" si="5"/>
        <v>-0.2900000000372529</v>
      </c>
    </row>
    <row r="33" spans="2:17" ht="12.75">
      <c r="B33" s="20" t="s">
        <v>91</v>
      </c>
      <c r="C33" s="60">
        <v>0.125</v>
      </c>
      <c r="D33" s="16">
        <v>1705868.4</v>
      </c>
      <c r="E33" s="20">
        <v>0</v>
      </c>
      <c r="G33" s="16">
        <f t="shared" si="7"/>
        <v>1705868.4</v>
      </c>
      <c r="H33" s="16">
        <v>1705868</v>
      </c>
      <c r="I33" s="16">
        <v>0</v>
      </c>
      <c r="J33" s="21"/>
      <c r="K33" s="16">
        <f t="shared" si="8"/>
        <v>1705868</v>
      </c>
      <c r="L33" s="16">
        <f t="shared" si="9"/>
        <v>0.39999999990686774</v>
      </c>
      <c r="M33" s="24">
        <v>0</v>
      </c>
      <c r="N33" s="24">
        <v>0</v>
      </c>
      <c r="O33" s="24">
        <v>0</v>
      </c>
      <c r="P33" s="20"/>
      <c r="Q33" s="1">
        <f t="shared" si="5"/>
        <v>0.39999999990686774</v>
      </c>
    </row>
    <row r="34" spans="4:17" ht="12.75">
      <c r="D34" s="17">
        <f aca="true" t="shared" si="10" ref="D34:O34">SUM(D27:D33)</f>
        <v>14559877.730000002</v>
      </c>
      <c r="E34" s="25">
        <f t="shared" si="10"/>
        <v>300000</v>
      </c>
      <c r="F34" s="17">
        <f t="shared" si="10"/>
        <v>0</v>
      </c>
      <c r="G34" s="17">
        <f t="shared" si="10"/>
        <v>14859877.730000002</v>
      </c>
      <c r="H34" s="17">
        <f t="shared" si="10"/>
        <v>8561061.54</v>
      </c>
      <c r="I34" s="17">
        <f t="shared" si="10"/>
        <v>384570</v>
      </c>
      <c r="J34" s="17">
        <f t="shared" si="10"/>
        <v>0</v>
      </c>
      <c r="K34" s="17">
        <f t="shared" si="10"/>
        <v>8945631.54</v>
      </c>
      <c r="L34" s="17">
        <f t="shared" si="10"/>
        <v>5914246.1899999995</v>
      </c>
      <c r="M34" s="25">
        <f t="shared" si="10"/>
        <v>395700</v>
      </c>
      <c r="N34" s="25">
        <f t="shared" si="10"/>
        <v>416200</v>
      </c>
      <c r="O34" s="25">
        <f t="shared" si="10"/>
        <v>438000</v>
      </c>
      <c r="P34" s="20"/>
      <c r="Q34" s="1" t="s">
        <v>14</v>
      </c>
    </row>
    <row r="35" spans="5:17" ht="12.75">
      <c r="E35" s="20"/>
      <c r="M35" s="20"/>
      <c r="N35" s="20"/>
      <c r="O35" s="20"/>
      <c r="P35" s="20"/>
      <c r="Q35" s="1" t="s">
        <v>14</v>
      </c>
    </row>
    <row r="36" spans="1:17" ht="12.75">
      <c r="A36" s="20" t="s">
        <v>143</v>
      </c>
      <c r="E36" s="20"/>
      <c r="M36" s="20"/>
      <c r="N36" s="20"/>
      <c r="O36" s="20"/>
      <c r="P36" s="20"/>
      <c r="Q36" s="1" t="s">
        <v>14</v>
      </c>
    </row>
    <row r="37" spans="2:17" ht="12.75">
      <c r="B37" s="20" t="s">
        <v>89</v>
      </c>
      <c r="C37" s="59" t="s">
        <v>14</v>
      </c>
      <c r="D37" s="16">
        <v>2708134.95</v>
      </c>
      <c r="E37" s="20">
        <v>0</v>
      </c>
      <c r="G37" s="16">
        <f>SUM(D37:F37)</f>
        <v>2708134.95</v>
      </c>
      <c r="H37" s="16">
        <v>1141187</v>
      </c>
      <c r="I37" s="16">
        <v>123431</v>
      </c>
      <c r="K37" s="16">
        <f>SUM(H37:J37)</f>
        <v>1264618</v>
      </c>
      <c r="L37" s="16">
        <f>+G37-K37</f>
        <v>1443516.9500000002</v>
      </c>
      <c r="M37" s="20">
        <v>123431</v>
      </c>
      <c r="N37" s="20">
        <v>123431</v>
      </c>
      <c r="O37" s="20">
        <v>123431</v>
      </c>
      <c r="P37" s="20"/>
      <c r="Q37" s="1">
        <f t="shared" si="5"/>
        <v>1073223.9500000002</v>
      </c>
    </row>
    <row r="38" spans="5:17" ht="12.75">
      <c r="E38" s="20"/>
      <c r="M38" s="20"/>
      <c r="N38" s="20"/>
      <c r="O38" s="20"/>
      <c r="P38" s="20"/>
      <c r="Q38" s="1" t="s">
        <v>14</v>
      </c>
    </row>
    <row r="39" spans="1:17" ht="12.75">
      <c r="A39" s="20" t="s">
        <v>92</v>
      </c>
      <c r="E39" s="20"/>
      <c r="M39" s="20"/>
      <c r="N39" s="20"/>
      <c r="O39" s="20"/>
      <c r="P39" s="20"/>
      <c r="Q39" s="1" t="s">
        <v>14</v>
      </c>
    </row>
    <row r="40" spans="2:17" ht="12.75">
      <c r="B40" s="20" t="s">
        <v>144</v>
      </c>
      <c r="D40" s="16">
        <v>13831014.24</v>
      </c>
      <c r="E40" s="20">
        <v>0</v>
      </c>
      <c r="F40" s="16">
        <v>0</v>
      </c>
      <c r="G40" s="16">
        <f aca="true" t="shared" si="11" ref="G40:G47">SUM(D40:F40)</f>
        <v>13831014.24</v>
      </c>
      <c r="H40" s="16">
        <v>10007331</v>
      </c>
      <c r="I40" s="16">
        <v>546240</v>
      </c>
      <c r="K40" s="16">
        <f aca="true" t="shared" si="12" ref="K40:K46">SUM(H40:J40)</f>
        <v>10553571</v>
      </c>
      <c r="L40" s="16">
        <f aca="true" t="shared" si="13" ref="L40:L46">+G40-K40</f>
        <v>3277443.24</v>
      </c>
      <c r="M40" s="20">
        <v>546240</v>
      </c>
      <c r="N40" s="20">
        <v>546240</v>
      </c>
      <c r="O40" s="20">
        <v>546240</v>
      </c>
      <c r="P40" s="20"/>
      <c r="Q40" s="1">
        <f t="shared" si="5"/>
        <v>1638723.2400000002</v>
      </c>
    </row>
    <row r="41" spans="2:17" ht="12.75">
      <c r="B41" s="20" t="s">
        <v>145</v>
      </c>
      <c r="D41" s="16">
        <f>180000/13738608*20927671.18</f>
        <v>274189.4093200709</v>
      </c>
      <c r="E41" s="20"/>
      <c r="G41" s="16">
        <f t="shared" si="11"/>
        <v>274189.4093200709</v>
      </c>
      <c r="H41" s="16">
        <v>198512</v>
      </c>
      <c r="I41" s="16">
        <v>10811</v>
      </c>
      <c r="K41" s="16">
        <f t="shared" si="12"/>
        <v>209323</v>
      </c>
      <c r="L41" s="16">
        <f t="shared" si="13"/>
        <v>64866.409320070874</v>
      </c>
      <c r="M41" s="20">
        <v>10811</v>
      </c>
      <c r="N41" s="20">
        <v>10811</v>
      </c>
      <c r="O41" s="20">
        <v>10811</v>
      </c>
      <c r="P41" s="20"/>
      <c r="Q41" s="1">
        <f t="shared" si="5"/>
        <v>32433.409320070874</v>
      </c>
    </row>
    <row r="42" spans="2:17" ht="12.75">
      <c r="B42" s="20" t="s">
        <v>146</v>
      </c>
      <c r="D42" s="16">
        <f>302000/13738608*20927671.18</f>
        <v>460028.89785923</v>
      </c>
      <c r="E42" s="20"/>
      <c r="G42" s="16">
        <f t="shared" si="11"/>
        <v>460028.89785923</v>
      </c>
      <c r="H42" s="16">
        <v>412416</v>
      </c>
      <c r="I42" s="16">
        <v>23807</v>
      </c>
      <c r="K42" s="16">
        <f t="shared" si="12"/>
        <v>436223</v>
      </c>
      <c r="L42" s="16">
        <f t="shared" si="13"/>
        <v>23805.897859229997</v>
      </c>
      <c r="M42" s="20">
        <v>23807</v>
      </c>
      <c r="N42" s="20">
        <v>25000</v>
      </c>
      <c r="O42" s="20">
        <v>25000</v>
      </c>
      <c r="P42" s="20"/>
      <c r="Q42" s="1">
        <f t="shared" si="5"/>
        <v>-50001.10214077</v>
      </c>
    </row>
    <row r="43" spans="2:17" ht="12.75">
      <c r="B43" s="20" t="s">
        <v>147</v>
      </c>
      <c r="D43" s="16">
        <f>4001500/13738608*20927671.18</f>
        <v>6095382.896634798</v>
      </c>
      <c r="E43" s="20"/>
      <c r="G43" s="16">
        <f t="shared" si="11"/>
        <v>6095382.896634798</v>
      </c>
      <c r="H43" s="16">
        <v>6095383</v>
      </c>
      <c r="I43" s="16">
        <v>0</v>
      </c>
      <c r="K43" s="16">
        <f t="shared" si="12"/>
        <v>6095383</v>
      </c>
      <c r="L43" s="16">
        <f t="shared" si="13"/>
        <v>-0.10336520243436098</v>
      </c>
      <c r="M43" s="20">
        <v>0</v>
      </c>
      <c r="N43" s="20">
        <v>0</v>
      </c>
      <c r="O43" s="20">
        <v>0</v>
      </c>
      <c r="P43" s="20"/>
      <c r="Q43" s="1">
        <f t="shared" si="5"/>
        <v>-0.10336520243436098</v>
      </c>
    </row>
    <row r="44" spans="2:17" ht="12.75">
      <c r="B44" s="20" t="s">
        <v>165</v>
      </c>
      <c r="C44" s="59">
        <v>0.1</v>
      </c>
      <c r="D44" s="16">
        <v>1397854.64</v>
      </c>
      <c r="E44" s="20">
        <v>200000</v>
      </c>
      <c r="G44" s="16">
        <f>SUM(D44:F44)</f>
        <v>1597854.64</v>
      </c>
      <c r="H44" s="16">
        <v>555160</v>
      </c>
      <c r="I44" s="16">
        <f>+G44*C44</f>
        <v>159785.464</v>
      </c>
      <c r="K44" s="16">
        <f t="shared" si="12"/>
        <v>714945.464</v>
      </c>
      <c r="L44" s="16">
        <f t="shared" si="13"/>
        <v>882909.1759999999</v>
      </c>
      <c r="M44" s="20">
        <v>160000</v>
      </c>
      <c r="N44" s="20">
        <v>160000</v>
      </c>
      <c r="O44" s="20">
        <v>160000</v>
      </c>
      <c r="P44" s="20"/>
      <c r="Q44" s="1">
        <f t="shared" si="5"/>
        <v>402909.17599999986</v>
      </c>
    </row>
    <row r="45" spans="2:17" ht="12.75">
      <c r="B45" s="20" t="s">
        <v>166</v>
      </c>
      <c r="D45" s="16">
        <v>169695</v>
      </c>
      <c r="E45" s="20"/>
      <c r="G45" s="16">
        <f>SUM(D45:F45)</f>
        <v>169695</v>
      </c>
      <c r="H45" s="16">
        <v>169695</v>
      </c>
      <c r="I45" s="16">
        <v>0</v>
      </c>
      <c r="K45" s="16">
        <f t="shared" si="12"/>
        <v>169695</v>
      </c>
      <c r="L45" s="16">
        <f t="shared" si="13"/>
        <v>0</v>
      </c>
      <c r="M45" s="20">
        <v>0</v>
      </c>
      <c r="N45" s="20">
        <v>0</v>
      </c>
      <c r="O45" s="20">
        <v>0</v>
      </c>
      <c r="P45" s="20"/>
      <c r="Q45" s="1">
        <f t="shared" si="5"/>
        <v>0</v>
      </c>
    </row>
    <row r="46" spans="2:17" ht="12.75">
      <c r="B46" s="20" t="s">
        <v>148</v>
      </c>
      <c r="D46" s="18">
        <v>355217.01</v>
      </c>
      <c r="E46" s="24"/>
      <c r="F46" s="18">
        <v>0</v>
      </c>
      <c r="G46" s="18">
        <f t="shared" si="11"/>
        <v>355217.01</v>
      </c>
      <c r="H46" s="18">
        <v>355216</v>
      </c>
      <c r="I46" s="18">
        <v>0</v>
      </c>
      <c r="J46" s="18">
        <v>0</v>
      </c>
      <c r="K46" s="18">
        <f t="shared" si="12"/>
        <v>355216</v>
      </c>
      <c r="L46" s="18">
        <f t="shared" si="13"/>
        <v>1.0100000000093132</v>
      </c>
      <c r="M46" s="24">
        <v>0</v>
      </c>
      <c r="N46" s="24">
        <v>0</v>
      </c>
      <c r="O46" s="24">
        <v>0</v>
      </c>
      <c r="P46" s="20"/>
      <c r="Q46" s="1">
        <f t="shared" si="5"/>
        <v>1.0100000000093132</v>
      </c>
    </row>
    <row r="47" spans="4:17" ht="12.75">
      <c r="D47" s="16">
        <f>SUM(D40:D46)</f>
        <v>22583382.0938141</v>
      </c>
      <c r="E47" s="20">
        <f>SUM(E40:E46)</f>
        <v>200000</v>
      </c>
      <c r="F47" s="16">
        <f>SUM(F40:F46)</f>
        <v>0</v>
      </c>
      <c r="G47" s="16">
        <f t="shared" si="11"/>
        <v>22783382.0938141</v>
      </c>
      <c r="H47" s="16">
        <f aca="true" t="shared" si="14" ref="H47:O47">SUM(H40:H46)</f>
        <v>17793713</v>
      </c>
      <c r="I47" s="16">
        <f t="shared" si="14"/>
        <v>740643.464</v>
      </c>
      <c r="J47" s="16">
        <f t="shared" si="14"/>
        <v>0</v>
      </c>
      <c r="K47" s="16">
        <f t="shared" si="14"/>
        <v>18534356.464</v>
      </c>
      <c r="L47" s="16">
        <f t="shared" si="14"/>
        <v>4249025.629814099</v>
      </c>
      <c r="M47" s="20">
        <f t="shared" si="14"/>
        <v>740858</v>
      </c>
      <c r="N47" s="20">
        <f t="shared" si="14"/>
        <v>742051</v>
      </c>
      <c r="O47" s="20">
        <f t="shared" si="14"/>
        <v>742051</v>
      </c>
      <c r="P47" s="20"/>
      <c r="Q47" s="1" t="s">
        <v>14</v>
      </c>
    </row>
    <row r="48" spans="1:17" ht="12.75">
      <c r="A48" s="20" t="s">
        <v>93</v>
      </c>
      <c r="E48" s="20"/>
      <c r="M48" s="20"/>
      <c r="N48" s="20"/>
      <c r="O48" s="20"/>
      <c r="P48" s="20"/>
      <c r="Q48" s="1">
        <f t="shared" si="5"/>
        <v>0</v>
      </c>
    </row>
    <row r="49" spans="2:17" ht="12.75">
      <c r="B49" s="20" t="s">
        <v>94</v>
      </c>
      <c r="C49" s="72">
        <f>0.0666666666666667*100%</f>
        <v>0.06666666666666667</v>
      </c>
      <c r="D49" s="16">
        <v>774474.47</v>
      </c>
      <c r="E49" s="20">
        <v>0</v>
      </c>
      <c r="G49" s="16">
        <f>SUM(D49:F49)</f>
        <v>774474.47</v>
      </c>
      <c r="H49" s="16">
        <v>716279</v>
      </c>
      <c r="I49" s="16">
        <f>ROUND((+G49-E49)*C49,0)</f>
        <v>51632</v>
      </c>
      <c r="K49" s="16">
        <f>SUM(H49:J49)</f>
        <v>767911</v>
      </c>
      <c r="L49" s="16">
        <f>+G49-K49</f>
        <v>6563.469999999972</v>
      </c>
      <c r="M49" s="20">
        <v>52000</v>
      </c>
      <c r="N49" s="20">
        <v>52000</v>
      </c>
      <c r="O49" s="20">
        <v>52000</v>
      </c>
      <c r="P49" s="20"/>
      <c r="Q49" s="1">
        <f t="shared" si="5"/>
        <v>-149436.53000000003</v>
      </c>
    </row>
    <row r="50" spans="2:17" ht="12.75">
      <c r="B50" s="20" t="s">
        <v>96</v>
      </c>
      <c r="C50" s="72">
        <f>0.0666666666666667*100%</f>
        <v>0.06666666666666667</v>
      </c>
      <c r="D50" s="16">
        <v>564272</v>
      </c>
      <c r="E50" s="20">
        <v>0</v>
      </c>
      <c r="G50" s="16">
        <f>SUM(D50:F50)</f>
        <v>564272</v>
      </c>
      <c r="H50" s="16">
        <v>537710</v>
      </c>
      <c r="I50" s="16">
        <f>ROUND((+G50-E50)*C50,0)-11056</f>
        <v>26562</v>
      </c>
      <c r="K50" s="16">
        <f>SUM(H50:J50)</f>
        <v>564272</v>
      </c>
      <c r="L50" s="16">
        <f>+G50-K50</f>
        <v>0</v>
      </c>
      <c r="M50" s="20">
        <v>26000</v>
      </c>
      <c r="N50" s="20">
        <v>26000</v>
      </c>
      <c r="O50" s="20">
        <v>26000</v>
      </c>
      <c r="P50" s="20"/>
      <c r="Q50" s="1">
        <f t="shared" si="5"/>
        <v>-78000</v>
      </c>
    </row>
    <row r="51" spans="2:17" ht="12.75">
      <c r="B51" s="20" t="s">
        <v>97</v>
      </c>
      <c r="C51" s="72">
        <f>0.0666666666666667*100%</f>
        <v>0.06666666666666667</v>
      </c>
      <c r="D51" s="16">
        <v>414784</v>
      </c>
      <c r="E51" s="20">
        <v>0</v>
      </c>
      <c r="G51" s="16">
        <f>SUM(D51:F51)</f>
        <v>414784</v>
      </c>
      <c r="H51" s="16">
        <v>369425</v>
      </c>
      <c r="I51" s="16">
        <f>ROUND((+G51-E51)*C51,0)</f>
        <v>27652</v>
      </c>
      <c r="K51" s="16">
        <f>SUM(H51:J51)</f>
        <v>397077</v>
      </c>
      <c r="L51" s="16">
        <f>+G51-K51</f>
        <v>17707</v>
      </c>
      <c r="M51" s="20">
        <v>27700</v>
      </c>
      <c r="N51" s="20">
        <v>27700</v>
      </c>
      <c r="O51" s="20">
        <v>27700</v>
      </c>
      <c r="P51" s="20"/>
      <c r="Q51" s="1">
        <f t="shared" si="5"/>
        <v>-65393</v>
      </c>
    </row>
    <row r="52" spans="2:17" ht="12.75">
      <c r="B52" s="20" t="s">
        <v>95</v>
      </c>
      <c r="C52" s="72">
        <v>0.0667</v>
      </c>
      <c r="D52" s="16">
        <v>554083</v>
      </c>
      <c r="E52" s="20">
        <v>0</v>
      </c>
      <c r="G52" s="16">
        <f>SUM(D52:F52)</f>
        <v>554083</v>
      </c>
      <c r="H52" s="16">
        <v>265425</v>
      </c>
      <c r="I52" s="16">
        <f>ROUND((+G52-E52)*C52,0)+ROUND(E52*C52/2,0)</f>
        <v>36957</v>
      </c>
      <c r="K52" s="16">
        <f>SUM(H52:J52)</f>
        <v>302382</v>
      </c>
      <c r="L52" s="16">
        <f>+G52-K52</f>
        <v>251701</v>
      </c>
      <c r="M52" s="20">
        <v>37000</v>
      </c>
      <c r="N52" s="20">
        <v>37000</v>
      </c>
      <c r="O52" s="20">
        <v>37000</v>
      </c>
      <c r="P52" s="20"/>
      <c r="Q52" s="1">
        <f t="shared" si="5"/>
        <v>140701</v>
      </c>
    </row>
    <row r="53" spans="2:17" ht="12.75">
      <c r="B53" s="20" t="s">
        <v>98</v>
      </c>
      <c r="C53" s="72">
        <f>0.0666666666666667*100%</f>
        <v>0.06666666666666667</v>
      </c>
      <c r="D53" s="16">
        <v>697101</v>
      </c>
      <c r="E53" s="16">
        <v>0</v>
      </c>
      <c r="G53" s="16">
        <f>SUM(D53:F53)</f>
        <v>697101</v>
      </c>
      <c r="H53" s="16">
        <v>497698</v>
      </c>
      <c r="I53" s="16">
        <f>ROUND((+G53-E53)*C53,0)</f>
        <v>46473</v>
      </c>
      <c r="K53" s="16">
        <f>SUM(H53:J53)</f>
        <v>544171</v>
      </c>
      <c r="L53" s="16">
        <f>+G53-K53</f>
        <v>152930</v>
      </c>
      <c r="M53" s="24">
        <v>46500</v>
      </c>
      <c r="N53" s="24">
        <v>46500</v>
      </c>
      <c r="O53" s="24">
        <v>46500</v>
      </c>
      <c r="P53" s="20"/>
      <c r="Q53" s="1">
        <f t="shared" si="5"/>
        <v>13430</v>
      </c>
    </row>
    <row r="54" spans="4:17" ht="12.75">
      <c r="D54" s="17">
        <f aca="true" t="shared" si="15" ref="D54:O54">SUM(D49:D53)</f>
        <v>3004714.4699999997</v>
      </c>
      <c r="E54" s="17">
        <f t="shared" si="15"/>
        <v>0</v>
      </c>
      <c r="F54" s="17">
        <f t="shared" si="15"/>
        <v>0</v>
      </c>
      <c r="G54" s="17">
        <f t="shared" si="15"/>
        <v>3004714.4699999997</v>
      </c>
      <c r="H54" s="17">
        <f t="shared" si="15"/>
        <v>2386537</v>
      </c>
      <c r="I54" s="17">
        <f t="shared" si="15"/>
        <v>189276</v>
      </c>
      <c r="J54" s="17">
        <f t="shared" si="15"/>
        <v>0</v>
      </c>
      <c r="K54" s="17">
        <f t="shared" si="15"/>
        <v>2575813</v>
      </c>
      <c r="L54" s="17">
        <f t="shared" si="15"/>
        <v>428901.47</v>
      </c>
      <c r="M54" s="25">
        <f t="shared" si="15"/>
        <v>189200</v>
      </c>
      <c r="N54" s="25">
        <f t="shared" si="15"/>
        <v>189200</v>
      </c>
      <c r="O54" s="25">
        <f t="shared" si="15"/>
        <v>189200</v>
      </c>
      <c r="P54" s="20"/>
      <c r="Q54" s="1" t="s">
        <v>14</v>
      </c>
    </row>
    <row r="55" spans="13:17" ht="12.75">
      <c r="M55" s="20"/>
      <c r="N55" s="20"/>
      <c r="O55" s="20"/>
      <c r="P55" s="20"/>
      <c r="Q55" s="1">
        <f t="shared" si="5"/>
        <v>0</v>
      </c>
    </row>
    <row r="56" spans="1:17" ht="12.75">
      <c r="A56" s="20" t="s">
        <v>99</v>
      </c>
      <c r="M56" s="20"/>
      <c r="N56" s="20"/>
      <c r="O56" s="20"/>
      <c r="P56" s="20"/>
      <c r="Q56" s="1">
        <f t="shared" si="5"/>
        <v>0</v>
      </c>
    </row>
    <row r="57" spans="2:17" ht="12.75">
      <c r="B57" s="20" t="s">
        <v>100</v>
      </c>
      <c r="C57" s="59">
        <v>0.1</v>
      </c>
      <c r="D57" s="16">
        <f>+'[1]Sheet1'!E33</f>
        <v>200336.39</v>
      </c>
      <c r="G57" s="16">
        <f>SUM(D57:F57)</f>
        <v>200336.39</v>
      </c>
      <c r="H57" s="16">
        <v>200337</v>
      </c>
      <c r="I57" s="16">
        <v>0</v>
      </c>
      <c r="K57" s="16">
        <f>SUM(H57:J57)</f>
        <v>200337</v>
      </c>
      <c r="L57" s="16">
        <f>+G57-K57</f>
        <v>-0.6099999999860302</v>
      </c>
      <c r="M57" s="20">
        <v>0</v>
      </c>
      <c r="N57" s="20">
        <v>0</v>
      </c>
      <c r="O57" s="20">
        <v>0</v>
      </c>
      <c r="P57" s="20"/>
      <c r="Q57" s="1">
        <f t="shared" si="5"/>
        <v>-0.6099999999860302</v>
      </c>
    </row>
    <row r="58" spans="2:17" ht="12.75">
      <c r="B58" s="20" t="s">
        <v>99</v>
      </c>
      <c r="C58" s="72">
        <f>0.05*100%</f>
        <v>0.05</v>
      </c>
      <c r="D58" s="16">
        <v>7300719.13</v>
      </c>
      <c r="E58" s="20">
        <v>450000</v>
      </c>
      <c r="F58" s="16">
        <v>0</v>
      </c>
      <c r="G58" s="16">
        <f>SUM(D58:F58)</f>
        <v>7750719.13</v>
      </c>
      <c r="H58" s="16">
        <v>4535276</v>
      </c>
      <c r="I58" s="16">
        <f>ROUND((+G58-E58)*C58,0)+ROUND(E58*C58/2,0)</f>
        <v>376286</v>
      </c>
      <c r="K58" s="16">
        <f>SUM(H58:J58)</f>
        <v>4911562</v>
      </c>
      <c r="L58" s="16">
        <f>+G58-K58</f>
        <v>2839157.13</v>
      </c>
      <c r="M58" s="24">
        <v>376000</v>
      </c>
      <c r="N58" s="24">
        <v>376000</v>
      </c>
      <c r="O58" s="24">
        <v>376000</v>
      </c>
      <c r="P58" s="20"/>
      <c r="Q58" s="1">
        <f t="shared" si="5"/>
        <v>1711157.13</v>
      </c>
    </row>
    <row r="59" spans="4:17" ht="12.75">
      <c r="D59" s="17">
        <f aca="true" t="shared" si="16" ref="D59:O59">SUM(D57:D58)</f>
        <v>7501055.52</v>
      </c>
      <c r="E59" s="25">
        <f t="shared" si="16"/>
        <v>450000</v>
      </c>
      <c r="F59" s="17">
        <f t="shared" si="16"/>
        <v>0</v>
      </c>
      <c r="G59" s="17">
        <f t="shared" si="16"/>
        <v>7951055.52</v>
      </c>
      <c r="H59" s="17">
        <f t="shared" si="16"/>
        <v>4735613</v>
      </c>
      <c r="I59" s="17">
        <f t="shared" si="16"/>
        <v>376286</v>
      </c>
      <c r="J59" s="17">
        <f t="shared" si="16"/>
        <v>0</v>
      </c>
      <c r="K59" s="17">
        <f t="shared" si="16"/>
        <v>5111899</v>
      </c>
      <c r="L59" s="17">
        <f t="shared" si="16"/>
        <v>2839156.52</v>
      </c>
      <c r="M59" s="25">
        <f t="shared" si="16"/>
        <v>376000</v>
      </c>
      <c r="N59" s="25">
        <f t="shared" si="16"/>
        <v>376000</v>
      </c>
      <c r="O59" s="25">
        <f t="shared" si="16"/>
        <v>376000</v>
      </c>
      <c r="P59" s="20"/>
      <c r="Q59" s="1" t="s">
        <v>14</v>
      </c>
    </row>
    <row r="60" spans="5:17" ht="12.75">
      <c r="E60" s="20"/>
      <c r="M60" s="20"/>
      <c r="N60" s="20"/>
      <c r="O60" s="20"/>
      <c r="P60" s="20"/>
      <c r="Q60" s="1">
        <f t="shared" si="5"/>
        <v>0</v>
      </c>
    </row>
    <row r="61" spans="1:17" ht="12.75">
      <c r="A61" s="20" t="s">
        <v>101</v>
      </c>
      <c r="E61" s="20"/>
      <c r="M61" s="20"/>
      <c r="N61" s="20"/>
      <c r="O61" s="20"/>
      <c r="P61" s="20"/>
      <c r="Q61" s="1">
        <f t="shared" si="5"/>
        <v>0</v>
      </c>
    </row>
    <row r="62" spans="2:17" ht="12.75">
      <c r="B62" s="20" t="s">
        <v>102</v>
      </c>
      <c r="C62" s="59">
        <v>0.2</v>
      </c>
      <c r="D62" s="16">
        <v>431290.45</v>
      </c>
      <c r="E62" s="20">
        <v>15000</v>
      </c>
      <c r="F62" s="16">
        <v>0</v>
      </c>
      <c r="G62" s="16">
        <f aca="true" t="shared" si="17" ref="G62:G70">SUM(D62:F62)</f>
        <v>446290.45</v>
      </c>
      <c r="H62" s="16">
        <v>197497</v>
      </c>
      <c r="I62" s="16">
        <v>25000</v>
      </c>
      <c r="J62" s="16">
        <v>0</v>
      </c>
      <c r="K62" s="16">
        <f aca="true" t="shared" si="18" ref="K62:K70">SUM(H62:J62)</f>
        <v>222497</v>
      </c>
      <c r="L62" s="16">
        <f aca="true" t="shared" si="19" ref="L62:L70">+G62-K62</f>
        <v>223793.45</v>
      </c>
      <c r="M62" s="20">
        <v>50000</v>
      </c>
      <c r="N62" s="20">
        <v>50000</v>
      </c>
      <c r="O62" s="20">
        <v>50000</v>
      </c>
      <c r="P62" s="20"/>
      <c r="Q62" s="1">
        <f t="shared" si="5"/>
        <v>73793.45000000001</v>
      </c>
    </row>
    <row r="63" spans="2:17" ht="12.75">
      <c r="B63" s="20" t="s">
        <v>103</v>
      </c>
      <c r="C63" s="59">
        <v>0.1</v>
      </c>
      <c r="D63" s="16">
        <v>1285800</v>
      </c>
      <c r="E63" s="20">
        <v>0</v>
      </c>
      <c r="G63" s="16">
        <f t="shared" si="17"/>
        <v>1285800</v>
      </c>
      <c r="H63" s="16">
        <v>626850</v>
      </c>
      <c r="I63" s="16">
        <f>ROUND(+G63*C63,0)</f>
        <v>128580</v>
      </c>
      <c r="K63" s="16">
        <f t="shared" si="18"/>
        <v>755430</v>
      </c>
      <c r="L63" s="16">
        <f t="shared" si="19"/>
        <v>530370</v>
      </c>
      <c r="M63" s="20">
        <f>50900+77700</f>
        <v>128600</v>
      </c>
      <c r="N63" s="20">
        <v>128600</v>
      </c>
      <c r="O63" s="20">
        <v>128600</v>
      </c>
      <c r="P63" s="20"/>
      <c r="Q63" s="1">
        <f t="shared" si="5"/>
        <v>144570</v>
      </c>
    </row>
    <row r="64" spans="2:17" ht="12.75">
      <c r="B64" s="20" t="s">
        <v>104</v>
      </c>
      <c r="C64" s="59">
        <v>0.1</v>
      </c>
      <c r="D64" s="16">
        <v>159676.48</v>
      </c>
      <c r="E64" s="20"/>
      <c r="G64" s="16">
        <f t="shared" si="17"/>
        <v>159676.48</v>
      </c>
      <c r="H64" s="16">
        <v>159677</v>
      </c>
      <c r="I64" s="16">
        <v>0</v>
      </c>
      <c r="K64" s="16">
        <f t="shared" si="18"/>
        <v>159677</v>
      </c>
      <c r="L64" s="16">
        <f t="shared" si="19"/>
        <v>-0.5199999999895226</v>
      </c>
      <c r="M64" s="20">
        <v>0</v>
      </c>
      <c r="N64" s="20">
        <v>0</v>
      </c>
      <c r="O64" s="20">
        <v>0</v>
      </c>
      <c r="P64" s="20"/>
      <c r="Q64" s="1">
        <f t="shared" si="5"/>
        <v>-0.5199999999895226</v>
      </c>
    </row>
    <row r="65" spans="2:17" ht="12.75">
      <c r="B65" s="20" t="s">
        <v>105</v>
      </c>
      <c r="C65" s="59">
        <v>0.1</v>
      </c>
      <c r="D65" s="16">
        <v>58802.5</v>
      </c>
      <c r="E65" s="20"/>
      <c r="G65" s="16">
        <f>SUM(D65:F65)</f>
        <v>58802.5</v>
      </c>
      <c r="H65" s="16">
        <v>38220</v>
      </c>
      <c r="I65" s="16">
        <f>ROUND(+G65*C65,0)</f>
        <v>5880</v>
      </c>
      <c r="K65" s="16">
        <f t="shared" si="18"/>
        <v>44100</v>
      </c>
      <c r="L65" s="16">
        <f>+G65-K65</f>
        <v>14702.5</v>
      </c>
      <c r="M65" s="20">
        <v>6000</v>
      </c>
      <c r="N65" s="20">
        <v>6000</v>
      </c>
      <c r="O65" s="20">
        <v>2703</v>
      </c>
      <c r="P65" s="20"/>
      <c r="Q65" s="1">
        <f t="shared" si="5"/>
        <v>-0.5</v>
      </c>
    </row>
    <row r="66" spans="2:17" ht="12.75">
      <c r="B66" s="20" t="s">
        <v>167</v>
      </c>
      <c r="C66" s="59">
        <v>0.1</v>
      </c>
      <c r="D66" s="16">
        <v>2598.24</v>
      </c>
      <c r="E66" s="20">
        <v>0</v>
      </c>
      <c r="G66" s="16">
        <f>SUM(D66:F66)</f>
        <v>2598.24</v>
      </c>
      <c r="H66" s="16">
        <v>2210</v>
      </c>
      <c r="I66" s="16">
        <f>ROUND((+G66-E66)*C66,0)+ROUND(E66*C66/2,0)</f>
        <v>260</v>
      </c>
      <c r="K66" s="16">
        <f t="shared" si="18"/>
        <v>2470</v>
      </c>
      <c r="L66" s="16">
        <f>+G66-K66</f>
        <v>128.23999999999978</v>
      </c>
      <c r="M66" s="20">
        <f>320-192</f>
        <v>128</v>
      </c>
      <c r="N66" s="20">
        <v>0</v>
      </c>
      <c r="O66" s="20">
        <v>0</v>
      </c>
      <c r="P66" s="20"/>
      <c r="Q66" s="1">
        <f t="shared" si="5"/>
        <v>0.23999999999978172</v>
      </c>
    </row>
    <row r="67" spans="2:17" ht="12.75">
      <c r="B67" s="20" t="s">
        <v>168</v>
      </c>
      <c r="C67" s="59">
        <v>0.1</v>
      </c>
      <c r="D67" s="16">
        <v>6806.7</v>
      </c>
      <c r="E67" s="20">
        <v>0</v>
      </c>
      <c r="G67" s="16">
        <f>SUM(D67:F67)</f>
        <v>6806.7</v>
      </c>
      <c r="H67" s="16">
        <v>6671</v>
      </c>
      <c r="I67" s="16">
        <f>ROUND((+G67-E67)*C67,0)+ROUND(E67*C67/2,0)-545</f>
        <v>136</v>
      </c>
      <c r="K67" s="16">
        <f>SUM(H67:J67)</f>
        <v>6807</v>
      </c>
      <c r="L67" s="16">
        <f>+G67-K67</f>
        <v>-0.3000000000001819</v>
      </c>
      <c r="M67" s="20">
        <v>0</v>
      </c>
      <c r="N67" s="20">
        <v>0</v>
      </c>
      <c r="O67" s="20">
        <v>0</v>
      </c>
      <c r="P67" s="20"/>
      <c r="Q67" s="1">
        <f t="shared" si="5"/>
        <v>-0.3000000000001819</v>
      </c>
    </row>
    <row r="68" spans="2:17" ht="12.75">
      <c r="B68" s="20" t="s">
        <v>116</v>
      </c>
      <c r="C68" s="59">
        <v>0.1</v>
      </c>
      <c r="D68" s="16">
        <v>193559.35</v>
      </c>
      <c r="E68" s="20">
        <v>0</v>
      </c>
      <c r="G68" s="16">
        <f>SUM(D68:F68)</f>
        <v>193559.35</v>
      </c>
      <c r="H68" s="16">
        <v>145219</v>
      </c>
      <c r="I68" s="16">
        <f>ROUND(+G68*C68,0)</f>
        <v>19356</v>
      </c>
      <c r="K68" s="16">
        <f>SUM(H68:J68)</f>
        <v>164575</v>
      </c>
      <c r="L68" s="16">
        <f>+G68-K68</f>
        <v>28984.350000000006</v>
      </c>
      <c r="M68" s="20">
        <v>25000</v>
      </c>
      <c r="N68" s="20">
        <f>23340-19356</f>
        <v>3984</v>
      </c>
      <c r="O68" s="20">
        <v>0</v>
      </c>
      <c r="P68" s="20"/>
      <c r="Q68" s="1">
        <f t="shared" si="5"/>
        <v>0.35000000000582077</v>
      </c>
    </row>
    <row r="69" spans="2:17" ht="12.75">
      <c r="B69" s="20" t="s">
        <v>106</v>
      </c>
      <c r="C69" s="59">
        <v>0.1</v>
      </c>
      <c r="D69" s="16">
        <v>508943</v>
      </c>
      <c r="E69" s="20">
        <v>0</v>
      </c>
      <c r="G69" s="16">
        <f t="shared" si="17"/>
        <v>508943</v>
      </c>
      <c r="H69" s="16">
        <v>442520</v>
      </c>
      <c r="I69" s="16">
        <f>ROUND((+G69-E69)*C69,0)+ROUND(E69*C69/2,0)</f>
        <v>50894</v>
      </c>
      <c r="K69" s="16">
        <f t="shared" si="18"/>
        <v>493414</v>
      </c>
      <c r="L69" s="16">
        <f t="shared" si="19"/>
        <v>15529</v>
      </c>
      <c r="M69" s="20">
        <v>51000</v>
      </c>
      <c r="N69" s="20">
        <v>51000</v>
      </c>
      <c r="O69" s="20">
        <v>51000</v>
      </c>
      <c r="P69" s="20"/>
      <c r="Q69" s="1">
        <f t="shared" si="5"/>
        <v>-137471</v>
      </c>
    </row>
    <row r="70" spans="2:17" ht="12.75">
      <c r="B70" s="20" t="s">
        <v>107</v>
      </c>
      <c r="C70" s="59">
        <v>0.2</v>
      </c>
      <c r="D70" s="16">
        <v>275949.46</v>
      </c>
      <c r="E70" s="20">
        <v>0</v>
      </c>
      <c r="G70" s="16">
        <f t="shared" si="17"/>
        <v>275949.46</v>
      </c>
      <c r="H70" s="16">
        <v>275950</v>
      </c>
      <c r="I70" s="16">
        <v>0</v>
      </c>
      <c r="K70" s="16">
        <f t="shared" si="18"/>
        <v>275950</v>
      </c>
      <c r="L70" s="16">
        <f t="shared" si="19"/>
        <v>-0.5399999999790452</v>
      </c>
      <c r="M70" s="24">
        <v>0</v>
      </c>
      <c r="N70" s="24">
        <v>0</v>
      </c>
      <c r="O70" s="24">
        <v>0</v>
      </c>
      <c r="P70" s="20"/>
      <c r="Q70" s="1">
        <f t="shared" si="5"/>
        <v>-0.5399999999790452</v>
      </c>
    </row>
    <row r="71" spans="4:17" ht="12.75">
      <c r="D71" s="17">
        <f aca="true" t="shared" si="20" ref="D71:O71">SUM(D62:D70)</f>
        <v>2923426.1799999997</v>
      </c>
      <c r="E71" s="25">
        <f t="shared" si="20"/>
        <v>15000</v>
      </c>
      <c r="F71" s="17">
        <f t="shared" si="20"/>
        <v>0</v>
      </c>
      <c r="G71" s="17">
        <f t="shared" si="20"/>
        <v>2938426.1799999997</v>
      </c>
      <c r="H71" s="17">
        <f t="shared" si="20"/>
        <v>1894814</v>
      </c>
      <c r="I71" s="17">
        <f t="shared" si="20"/>
        <v>230106</v>
      </c>
      <c r="J71" s="17">
        <f t="shared" si="20"/>
        <v>0</v>
      </c>
      <c r="K71" s="17">
        <f t="shared" si="20"/>
        <v>2124920</v>
      </c>
      <c r="L71" s="17">
        <f t="shared" si="20"/>
        <v>813506.1799999999</v>
      </c>
      <c r="M71" s="25">
        <f t="shared" si="20"/>
        <v>260728</v>
      </c>
      <c r="N71" s="25">
        <f t="shared" si="20"/>
        <v>239584</v>
      </c>
      <c r="O71" s="25">
        <f t="shared" si="20"/>
        <v>232303</v>
      </c>
      <c r="P71" s="20"/>
      <c r="Q71" s="1" t="s">
        <v>14</v>
      </c>
    </row>
    <row r="72" spans="5:17" ht="12.75">
      <c r="E72" s="20"/>
      <c r="M72" s="20"/>
      <c r="N72" s="20"/>
      <c r="O72" s="20"/>
      <c r="P72" s="20"/>
      <c r="Q72" s="1">
        <f t="shared" si="5"/>
        <v>0</v>
      </c>
    </row>
    <row r="73" spans="1:17" ht="12.75">
      <c r="A73" s="20" t="s">
        <v>108</v>
      </c>
      <c r="E73" s="20"/>
      <c r="L73" s="16">
        <f>+G73-K73</f>
        <v>0</v>
      </c>
      <c r="M73" s="20"/>
      <c r="N73" s="20"/>
      <c r="O73" s="20"/>
      <c r="P73" s="20"/>
      <c r="Q73" s="1">
        <f t="shared" si="5"/>
        <v>0</v>
      </c>
    </row>
    <row r="74" spans="2:17" ht="12.75">
      <c r="B74" s="20" t="s">
        <v>109</v>
      </c>
      <c r="C74" s="59">
        <v>0.2</v>
      </c>
      <c r="D74" s="16">
        <v>444434.19</v>
      </c>
      <c r="E74" s="20">
        <v>100000</v>
      </c>
      <c r="F74" s="16">
        <v>0</v>
      </c>
      <c r="G74" s="16">
        <f>SUM(D74:F74)</f>
        <v>544434.19</v>
      </c>
      <c r="H74" s="16">
        <v>302024</v>
      </c>
      <c r="I74" s="16">
        <v>55000</v>
      </c>
      <c r="J74" s="16">
        <v>0</v>
      </c>
      <c r="K74" s="16">
        <f>SUM(H74:J74)</f>
        <v>357024</v>
      </c>
      <c r="L74" s="16">
        <f>+G74-K74</f>
        <v>187410.18999999994</v>
      </c>
      <c r="M74" s="20">
        <v>55000</v>
      </c>
      <c r="N74" s="20">
        <v>55000</v>
      </c>
      <c r="O74" s="20">
        <v>55000</v>
      </c>
      <c r="P74" s="20"/>
      <c r="Q74" s="1">
        <f t="shared" si="5"/>
        <v>22410.189999999944</v>
      </c>
    </row>
    <row r="75" spans="2:17" ht="12.75">
      <c r="B75" s="20" t="s">
        <v>110</v>
      </c>
      <c r="C75" s="59">
        <v>0.2</v>
      </c>
      <c r="D75" s="16">
        <v>784206</v>
      </c>
      <c r="E75" s="20">
        <v>0</v>
      </c>
      <c r="F75" s="16">
        <v>0</v>
      </c>
      <c r="G75" s="16">
        <f>SUM(D75:F75)</f>
        <v>784206</v>
      </c>
      <c r="H75" s="16">
        <v>714753</v>
      </c>
      <c r="I75" s="16">
        <f>90265-20812</f>
        <v>69453</v>
      </c>
      <c r="J75" s="16">
        <v>0</v>
      </c>
      <c r="K75" s="16">
        <f>SUM(H75:J75)</f>
        <v>784206</v>
      </c>
      <c r="L75" s="16">
        <f>+G75-K75</f>
        <v>0</v>
      </c>
      <c r="M75" s="24">
        <v>69000</v>
      </c>
      <c r="N75" s="24">
        <v>69000</v>
      </c>
      <c r="O75" s="24">
        <v>69000</v>
      </c>
      <c r="P75" s="20"/>
      <c r="Q75" s="1">
        <f t="shared" si="5"/>
        <v>-207000</v>
      </c>
    </row>
    <row r="76" spans="4:17" ht="12.75">
      <c r="D76" s="17">
        <f aca="true" t="shared" si="21" ref="D76:O76">SUM(D74:D75)</f>
        <v>1228640.19</v>
      </c>
      <c r="E76" s="25">
        <f t="shared" si="21"/>
        <v>100000</v>
      </c>
      <c r="F76" s="17">
        <f t="shared" si="21"/>
        <v>0</v>
      </c>
      <c r="G76" s="17">
        <f t="shared" si="21"/>
        <v>1328640.19</v>
      </c>
      <c r="H76" s="17">
        <f t="shared" si="21"/>
        <v>1016777</v>
      </c>
      <c r="I76" s="17">
        <f t="shared" si="21"/>
        <v>124453</v>
      </c>
      <c r="J76" s="17">
        <f t="shared" si="21"/>
        <v>0</v>
      </c>
      <c r="K76" s="17">
        <f t="shared" si="21"/>
        <v>1141230</v>
      </c>
      <c r="L76" s="17">
        <f t="shared" si="21"/>
        <v>187410.18999999994</v>
      </c>
      <c r="M76" s="25">
        <f t="shared" si="21"/>
        <v>124000</v>
      </c>
      <c r="N76" s="25">
        <f t="shared" si="21"/>
        <v>124000</v>
      </c>
      <c r="O76" s="25">
        <f t="shared" si="21"/>
        <v>124000</v>
      </c>
      <c r="P76" s="20"/>
      <c r="Q76" s="1">
        <f t="shared" si="5"/>
        <v>-184589.81000000006</v>
      </c>
    </row>
    <row r="77" spans="5:17" ht="12.75">
      <c r="E77" s="20"/>
      <c r="M77" s="20"/>
      <c r="N77" s="20"/>
      <c r="O77" s="20"/>
      <c r="P77" s="20"/>
      <c r="Q77" s="1">
        <f t="shared" si="5"/>
        <v>0</v>
      </c>
    </row>
    <row r="78" spans="1:17" ht="12.75">
      <c r="A78" s="20" t="s">
        <v>22</v>
      </c>
      <c r="E78" s="20"/>
      <c r="M78" s="20"/>
      <c r="N78" s="20"/>
      <c r="O78" s="20"/>
      <c r="P78" s="20"/>
      <c r="Q78" s="1">
        <f t="shared" si="5"/>
        <v>0</v>
      </c>
    </row>
    <row r="79" spans="2:17" ht="12.75">
      <c r="B79" s="20" t="s">
        <v>111</v>
      </c>
      <c r="C79" s="59">
        <v>0.2</v>
      </c>
      <c r="D79" s="16">
        <v>14311.92</v>
      </c>
      <c r="E79" s="20">
        <v>0</v>
      </c>
      <c r="F79" s="16">
        <v>0</v>
      </c>
      <c r="G79" s="16">
        <f>SUM(D79:F79)</f>
        <v>14311.92</v>
      </c>
      <c r="H79" s="16">
        <v>14312.35</v>
      </c>
      <c r="I79" s="16">
        <v>0</v>
      </c>
      <c r="J79" s="16">
        <v>0</v>
      </c>
      <c r="K79" s="16">
        <f>SUM(H79:J79)</f>
        <v>14312.35</v>
      </c>
      <c r="L79" s="16">
        <f>+G79-K79</f>
        <v>-0.43000000000029104</v>
      </c>
      <c r="M79" s="20">
        <v>0</v>
      </c>
      <c r="N79" s="20">
        <v>0</v>
      </c>
      <c r="O79" s="20">
        <v>0</v>
      </c>
      <c r="P79" s="20"/>
      <c r="Q79" s="1" t="s">
        <v>14</v>
      </c>
    </row>
    <row r="80" spans="2:17" ht="12.75">
      <c r="B80" s="20" t="s">
        <v>112</v>
      </c>
      <c r="C80" s="59">
        <v>0.2</v>
      </c>
      <c r="D80" s="16">
        <v>11695.78</v>
      </c>
      <c r="E80" s="20">
        <v>0</v>
      </c>
      <c r="G80" s="16">
        <f>SUM(D80:F80)</f>
        <v>11695.78</v>
      </c>
      <c r="H80" s="16">
        <v>11696</v>
      </c>
      <c r="I80" s="16">
        <v>0</v>
      </c>
      <c r="K80" s="16">
        <f>SUM(H80:J80)</f>
        <v>11696</v>
      </c>
      <c r="L80" s="16">
        <f>+G80-K80</f>
        <v>-0.21999999999934516</v>
      </c>
      <c r="M80" s="20">
        <v>0</v>
      </c>
      <c r="N80" s="20">
        <v>0</v>
      </c>
      <c r="O80" s="20">
        <v>0</v>
      </c>
      <c r="P80" s="20"/>
      <c r="Q80" s="1" t="s">
        <v>14</v>
      </c>
    </row>
    <row r="81" spans="2:17" ht="12.75">
      <c r="B81" s="20" t="s">
        <v>113</v>
      </c>
      <c r="C81" s="59">
        <v>0.2</v>
      </c>
      <c r="D81" s="16">
        <v>4738.59</v>
      </c>
      <c r="E81" s="20">
        <v>0</v>
      </c>
      <c r="G81" s="16">
        <f>SUM(D81:F81)</f>
        <v>4738.59</v>
      </c>
      <c r="H81" s="16">
        <v>4739</v>
      </c>
      <c r="I81" s="16">
        <v>0</v>
      </c>
      <c r="K81" s="16">
        <f>SUM(H81:J81)</f>
        <v>4739</v>
      </c>
      <c r="L81" s="16">
        <f>+G81-K81</f>
        <v>-0.4099999999998545</v>
      </c>
      <c r="M81" s="20">
        <v>0</v>
      </c>
      <c r="N81" s="20">
        <v>0</v>
      </c>
      <c r="O81" s="20">
        <v>0</v>
      </c>
      <c r="P81" s="20"/>
      <c r="Q81" s="1" t="s">
        <v>14</v>
      </c>
    </row>
    <row r="82" spans="2:17" ht="12.75">
      <c r="B82" s="20" t="s">
        <v>114</v>
      </c>
      <c r="C82" s="59">
        <v>0.2</v>
      </c>
      <c r="D82" s="16">
        <v>31568</v>
      </c>
      <c r="E82" s="20">
        <v>0</v>
      </c>
      <c r="F82" s="16">
        <v>0</v>
      </c>
      <c r="G82" s="16">
        <f>SUM(D82:F82)</f>
        <v>31568</v>
      </c>
      <c r="H82" s="16">
        <v>31568</v>
      </c>
      <c r="I82" s="16">
        <v>0</v>
      </c>
      <c r="J82" s="16">
        <v>0</v>
      </c>
      <c r="K82" s="16">
        <f>SUM(H82:J82)</f>
        <v>31568</v>
      </c>
      <c r="L82" s="16">
        <f>+G82-K82</f>
        <v>0</v>
      </c>
      <c r="M82" s="20">
        <v>0</v>
      </c>
      <c r="N82" s="20">
        <v>0</v>
      </c>
      <c r="O82" s="20">
        <v>0</v>
      </c>
      <c r="P82" s="20"/>
      <c r="Q82" s="1">
        <f aca="true" t="shared" si="22" ref="Q82:Q110">+L82-M82-N82-O82</f>
        <v>0</v>
      </c>
    </row>
    <row r="83" spans="2:17" ht="12.75">
      <c r="B83" s="20" t="s">
        <v>115</v>
      </c>
      <c r="C83" s="59">
        <v>0.2</v>
      </c>
      <c r="D83" s="16">
        <v>719.84</v>
      </c>
      <c r="E83" s="20">
        <v>0</v>
      </c>
      <c r="G83" s="16">
        <f>SUM(D83:F83)</f>
        <v>719.84</v>
      </c>
      <c r="H83" s="16">
        <v>720</v>
      </c>
      <c r="I83" s="16">
        <v>0</v>
      </c>
      <c r="K83" s="16">
        <f>SUM(H83:J83)</f>
        <v>720</v>
      </c>
      <c r="L83" s="16">
        <f>+G83-K83</f>
        <v>-0.15999999999996817</v>
      </c>
      <c r="M83" s="24">
        <v>0</v>
      </c>
      <c r="N83" s="24">
        <v>0</v>
      </c>
      <c r="O83" s="24">
        <v>0</v>
      </c>
      <c r="P83" s="20"/>
      <c r="Q83" s="1" t="s">
        <v>14</v>
      </c>
    </row>
    <row r="84" spans="4:17" ht="12.75">
      <c r="D84" s="17">
        <f aca="true" t="shared" si="23" ref="D84:O84">SUM(D79:D83)</f>
        <v>63034.13</v>
      </c>
      <c r="E84" s="25">
        <f t="shared" si="23"/>
        <v>0</v>
      </c>
      <c r="F84" s="17">
        <f t="shared" si="23"/>
        <v>0</v>
      </c>
      <c r="G84" s="17">
        <f t="shared" si="23"/>
        <v>63034.13</v>
      </c>
      <c r="H84" s="17">
        <f t="shared" si="23"/>
        <v>63035.35</v>
      </c>
      <c r="I84" s="17">
        <f t="shared" si="23"/>
        <v>0</v>
      </c>
      <c r="J84" s="17">
        <f t="shared" si="23"/>
        <v>0</v>
      </c>
      <c r="K84" s="17">
        <f t="shared" si="23"/>
        <v>63035.35</v>
      </c>
      <c r="L84" s="17">
        <f t="shared" si="23"/>
        <v>-1.2199999999994589</v>
      </c>
      <c r="M84" s="25">
        <f t="shared" si="23"/>
        <v>0</v>
      </c>
      <c r="N84" s="25">
        <f t="shared" si="23"/>
        <v>0</v>
      </c>
      <c r="O84" s="25">
        <f t="shared" si="23"/>
        <v>0</v>
      </c>
      <c r="P84" s="20"/>
      <c r="Q84" s="1" t="s">
        <v>14</v>
      </c>
    </row>
    <row r="85" spans="5:17" ht="12.75">
      <c r="E85" s="20"/>
      <c r="M85" s="20"/>
      <c r="N85" s="20"/>
      <c r="O85" s="20"/>
      <c r="P85" s="20"/>
      <c r="Q85" s="1">
        <f t="shared" si="22"/>
        <v>0</v>
      </c>
    </row>
    <row r="86" spans="1:17" ht="12.75">
      <c r="A86" s="20" t="s">
        <v>117</v>
      </c>
      <c r="E86" s="20"/>
      <c r="M86" s="20"/>
      <c r="N86" s="20"/>
      <c r="O86" s="20"/>
      <c r="P86" s="20"/>
      <c r="Q86" s="1">
        <f t="shared" si="22"/>
        <v>0</v>
      </c>
    </row>
    <row r="87" spans="2:17" ht="12.75">
      <c r="B87" s="20" t="s">
        <v>118</v>
      </c>
      <c r="C87" s="59">
        <v>0.2</v>
      </c>
      <c r="D87" s="16">
        <v>23058.63</v>
      </c>
      <c r="E87" s="20">
        <v>4000</v>
      </c>
      <c r="F87" s="16">
        <v>0</v>
      </c>
      <c r="G87" s="16">
        <f aca="true" t="shared" si="24" ref="G87:G92">SUM(D87:F87)</f>
        <v>27058.63</v>
      </c>
      <c r="H87" s="16">
        <v>19519.88</v>
      </c>
      <c r="I87" s="16">
        <f>ROUND((+G87-E87)*C87,0)+ROUND(E87*C87/2,0)</f>
        <v>5012</v>
      </c>
      <c r="J87" s="16">
        <v>0</v>
      </c>
      <c r="K87" s="16">
        <f aca="true" t="shared" si="25" ref="K87:K92">SUM(H87:J87)</f>
        <v>24531.88</v>
      </c>
      <c r="L87" s="16">
        <f aca="true" t="shared" si="26" ref="L87:L92">+G87-K87</f>
        <v>2526.75</v>
      </c>
      <c r="M87" s="20">
        <f>2526+2500</f>
        <v>5026</v>
      </c>
      <c r="N87" s="20">
        <v>5000</v>
      </c>
      <c r="O87" s="20">
        <v>5000</v>
      </c>
      <c r="P87" s="20"/>
      <c r="Q87" s="1" t="s">
        <v>14</v>
      </c>
    </row>
    <row r="88" spans="2:17" ht="12.75">
      <c r="B88" s="20" t="s">
        <v>119</v>
      </c>
      <c r="C88" s="59">
        <v>0.2</v>
      </c>
      <c r="D88" s="16">
        <v>22006.82</v>
      </c>
      <c r="E88" s="20">
        <v>0</v>
      </c>
      <c r="F88" s="16">
        <v>0</v>
      </c>
      <c r="G88" s="16">
        <f t="shared" si="24"/>
        <v>22006.82</v>
      </c>
      <c r="H88" s="16">
        <v>22007</v>
      </c>
      <c r="I88" s="16">
        <v>0</v>
      </c>
      <c r="J88" s="16">
        <v>0</v>
      </c>
      <c r="K88" s="16">
        <f t="shared" si="25"/>
        <v>22007</v>
      </c>
      <c r="L88" s="16">
        <f t="shared" si="26"/>
        <v>-0.18000000000029104</v>
      </c>
      <c r="M88" s="20">
        <v>0</v>
      </c>
      <c r="N88" s="20">
        <v>0</v>
      </c>
      <c r="O88" s="20">
        <v>0</v>
      </c>
      <c r="P88" s="20"/>
      <c r="Q88" s="1">
        <f t="shared" si="22"/>
        <v>-0.18000000000029104</v>
      </c>
    </row>
    <row r="89" spans="2:17" ht="12.75">
      <c r="B89" s="20" t="s">
        <v>120</v>
      </c>
      <c r="C89" s="59">
        <v>0.2</v>
      </c>
      <c r="D89" s="16">
        <v>5446.02</v>
      </c>
      <c r="E89" s="16">
        <v>0</v>
      </c>
      <c r="G89" s="16">
        <f t="shared" si="24"/>
        <v>5446.02</v>
      </c>
      <c r="H89" s="16">
        <v>5446.4</v>
      </c>
      <c r="I89" s="16">
        <v>0</v>
      </c>
      <c r="K89" s="16">
        <f t="shared" si="25"/>
        <v>5446.4</v>
      </c>
      <c r="L89" s="16">
        <f t="shared" si="26"/>
        <v>-0.37999999999919964</v>
      </c>
      <c r="M89" s="20">
        <v>0</v>
      </c>
      <c r="N89" s="20">
        <v>0</v>
      </c>
      <c r="O89" s="20">
        <v>0</v>
      </c>
      <c r="P89" s="20"/>
      <c r="Q89" s="1" t="s">
        <v>14</v>
      </c>
    </row>
    <row r="90" spans="2:17" ht="12.75">
      <c r="B90" s="20" t="s">
        <v>121</v>
      </c>
      <c r="C90" s="59">
        <v>0.2</v>
      </c>
      <c r="D90" s="16">
        <v>87295.03</v>
      </c>
      <c r="E90" s="16">
        <v>0</v>
      </c>
      <c r="F90" s="16">
        <v>0</v>
      </c>
      <c r="G90" s="16">
        <f t="shared" si="24"/>
        <v>87295.03</v>
      </c>
      <c r="H90" s="16">
        <v>80848</v>
      </c>
      <c r="I90" s="16">
        <f>+H90*C90-9723</f>
        <v>6446.6</v>
      </c>
      <c r="J90" s="16">
        <v>0</v>
      </c>
      <c r="K90" s="16">
        <f t="shared" si="25"/>
        <v>87294.6</v>
      </c>
      <c r="L90" s="16">
        <f t="shared" si="26"/>
        <v>0.4299999999930151</v>
      </c>
      <c r="M90" s="20">
        <v>17400</v>
      </c>
      <c r="N90" s="20">
        <v>17400</v>
      </c>
      <c r="O90" s="20">
        <v>17400</v>
      </c>
      <c r="P90" s="20"/>
      <c r="Q90" s="1" t="s">
        <v>14</v>
      </c>
    </row>
    <row r="91" spans="2:17" ht="12.75">
      <c r="B91" s="20" t="s">
        <v>169</v>
      </c>
      <c r="C91" s="59">
        <v>0.2</v>
      </c>
      <c r="D91" s="16">
        <v>3192.48</v>
      </c>
      <c r="E91" s="16">
        <v>0</v>
      </c>
      <c r="F91" s="16">
        <v>0</v>
      </c>
      <c r="G91" s="16">
        <f t="shared" si="24"/>
        <v>3192.48</v>
      </c>
      <c r="H91" s="16">
        <v>3193</v>
      </c>
      <c r="I91" s="16">
        <v>0</v>
      </c>
      <c r="J91" s="16">
        <v>0</v>
      </c>
      <c r="K91" s="16">
        <f t="shared" si="25"/>
        <v>3193</v>
      </c>
      <c r="L91" s="16">
        <f t="shared" si="26"/>
        <v>-0.5199999999999818</v>
      </c>
      <c r="M91" s="20">
        <v>0</v>
      </c>
      <c r="N91" s="20">
        <v>0</v>
      </c>
      <c r="O91" s="20">
        <v>0</v>
      </c>
      <c r="P91" s="20"/>
      <c r="Q91" s="1" t="s">
        <v>14</v>
      </c>
    </row>
    <row r="92" spans="2:17" ht="12.75">
      <c r="B92" s="20" t="s">
        <v>122</v>
      </c>
      <c r="C92" s="59">
        <v>0.2</v>
      </c>
      <c r="D92" s="16">
        <v>1918.29</v>
      </c>
      <c r="E92" s="16">
        <v>0</v>
      </c>
      <c r="G92" s="16">
        <f t="shared" si="24"/>
        <v>1918.29</v>
      </c>
      <c r="H92" s="16">
        <v>1920</v>
      </c>
      <c r="I92" s="16">
        <v>0</v>
      </c>
      <c r="K92" s="16">
        <f t="shared" si="25"/>
        <v>1920</v>
      </c>
      <c r="L92" s="16">
        <f t="shared" si="26"/>
        <v>-1.7100000000000364</v>
      </c>
      <c r="M92" s="24">
        <v>0</v>
      </c>
      <c r="N92" s="24">
        <v>0</v>
      </c>
      <c r="O92" s="24">
        <v>0</v>
      </c>
      <c r="P92" s="20"/>
      <c r="Q92" s="1" t="s">
        <v>14</v>
      </c>
    </row>
    <row r="93" spans="4:17" ht="12.75">
      <c r="D93" s="17">
        <f aca="true" t="shared" si="27" ref="D93:O93">SUM(D87:D92)</f>
        <v>142917.27000000002</v>
      </c>
      <c r="E93" s="17">
        <f t="shared" si="27"/>
        <v>4000</v>
      </c>
      <c r="F93" s="17">
        <f t="shared" si="27"/>
        <v>0</v>
      </c>
      <c r="G93" s="17">
        <f t="shared" si="27"/>
        <v>146917.27000000002</v>
      </c>
      <c r="H93" s="17">
        <f t="shared" si="27"/>
        <v>132934.28</v>
      </c>
      <c r="I93" s="17">
        <f t="shared" si="27"/>
        <v>11458.6</v>
      </c>
      <c r="J93" s="17">
        <f t="shared" si="27"/>
        <v>0</v>
      </c>
      <c r="K93" s="17">
        <f t="shared" si="27"/>
        <v>144392.88</v>
      </c>
      <c r="L93" s="17">
        <f t="shared" si="27"/>
        <v>2524.3899999999935</v>
      </c>
      <c r="M93" s="25">
        <f t="shared" si="27"/>
        <v>22426</v>
      </c>
      <c r="N93" s="25">
        <f t="shared" si="27"/>
        <v>22400</v>
      </c>
      <c r="O93" s="25">
        <f t="shared" si="27"/>
        <v>22400</v>
      </c>
      <c r="P93" s="20"/>
      <c r="Q93" s="1" t="s">
        <v>14</v>
      </c>
    </row>
    <row r="94" spans="13:17" ht="12.75">
      <c r="M94" s="20"/>
      <c r="N94" s="20"/>
      <c r="O94" s="20"/>
      <c r="P94" s="20"/>
      <c r="Q94" s="1">
        <f t="shared" si="22"/>
        <v>0</v>
      </c>
    </row>
    <row r="95" spans="1:17" ht="12.75">
      <c r="A95" s="20" t="s">
        <v>123</v>
      </c>
      <c r="M95" s="20"/>
      <c r="N95" s="20"/>
      <c r="O95" s="20"/>
      <c r="P95" s="20"/>
      <c r="Q95" s="1">
        <f t="shared" si="22"/>
        <v>0</v>
      </c>
    </row>
    <row r="96" spans="2:17" ht="12.75">
      <c r="B96" s="20" t="s">
        <v>124</v>
      </c>
      <c r="C96" s="59">
        <v>0.2</v>
      </c>
      <c r="D96" s="16">
        <f>+'[1]Sheet1'!E70</f>
        <v>1667.46</v>
      </c>
      <c r="E96" s="16">
        <v>0</v>
      </c>
      <c r="G96" s="16">
        <f>SUM(D96:F96)</f>
        <v>1667.46</v>
      </c>
      <c r="H96" s="16">
        <v>1668</v>
      </c>
      <c r="I96" s="16">
        <v>0</v>
      </c>
      <c r="K96" s="16">
        <f>SUM(H96:J96)</f>
        <v>1668</v>
      </c>
      <c r="L96" s="16">
        <f>+G96-K96</f>
        <v>-0.5399999999999636</v>
      </c>
      <c r="M96" s="20">
        <v>0</v>
      </c>
      <c r="N96" s="20">
        <v>0</v>
      </c>
      <c r="O96" s="20">
        <v>0</v>
      </c>
      <c r="P96" s="20"/>
      <c r="Q96" s="1">
        <f t="shared" si="22"/>
        <v>-0.5399999999999636</v>
      </c>
    </row>
    <row r="97" spans="2:17" ht="12.75">
      <c r="B97" s="20" t="s">
        <v>125</v>
      </c>
      <c r="C97" s="59">
        <v>0.2</v>
      </c>
      <c r="D97" s="16">
        <v>31963.27</v>
      </c>
      <c r="G97" s="16">
        <f>SUM(D97:F97)</f>
        <v>31963.27</v>
      </c>
      <c r="H97" s="16">
        <v>30752</v>
      </c>
      <c r="I97" s="16">
        <f>ROUND((+G97-E97)*C97,0)+ROUND(E97*C97/2,0)-5182</f>
        <v>1211</v>
      </c>
      <c r="K97" s="16">
        <f>SUM(H97:J97)</f>
        <v>31963</v>
      </c>
      <c r="L97" s="16">
        <f>+G97-K97</f>
        <v>0.27000000000043656</v>
      </c>
      <c r="M97" s="20">
        <v>0</v>
      </c>
      <c r="N97" s="20">
        <v>0</v>
      </c>
      <c r="O97" s="20">
        <v>0</v>
      </c>
      <c r="P97" s="20"/>
      <c r="Q97" s="1">
        <f t="shared" si="22"/>
        <v>0.27000000000043656</v>
      </c>
    </row>
    <row r="98" spans="2:17" ht="12.75">
      <c r="B98" s="20" t="s">
        <v>126</v>
      </c>
      <c r="C98" s="59">
        <v>0.2</v>
      </c>
      <c r="D98" s="16">
        <v>99441</v>
      </c>
      <c r="E98" s="16">
        <v>0</v>
      </c>
      <c r="G98" s="16">
        <v>99441</v>
      </c>
      <c r="H98" s="16">
        <v>80384</v>
      </c>
      <c r="I98" s="16">
        <f>ROUND((+G98-E98)*C98,0)+ROUND(E98*C98/2,0)-831</f>
        <v>19057</v>
      </c>
      <c r="K98" s="16">
        <f>SUM(H98:J98)</f>
        <v>99441</v>
      </c>
      <c r="L98" s="16">
        <f>+G98-K98</f>
        <v>0</v>
      </c>
      <c r="M98" s="20">
        <v>19100</v>
      </c>
      <c r="N98" s="20"/>
      <c r="O98" s="20">
        <v>0</v>
      </c>
      <c r="P98" s="20"/>
      <c r="Q98" s="1">
        <f t="shared" si="22"/>
        <v>-19100</v>
      </c>
    </row>
    <row r="99" spans="2:17" ht="12.75">
      <c r="B99" s="20" t="s">
        <v>177</v>
      </c>
      <c r="C99" s="59">
        <v>0.2</v>
      </c>
      <c r="D99" s="16">
        <v>10000</v>
      </c>
      <c r="E99" s="16">
        <v>0</v>
      </c>
      <c r="G99" s="16">
        <f>SUM(D99:F99)</f>
        <v>10000</v>
      </c>
      <c r="H99" s="16">
        <v>2900</v>
      </c>
      <c r="I99" s="16">
        <f>ROUND((+G99-E99)*C99,0)+ROUND(E99*C99/2,0)</f>
        <v>2000</v>
      </c>
      <c r="K99" s="16">
        <f>SUM(H99:J99)</f>
        <v>4900</v>
      </c>
      <c r="L99" s="16">
        <f>+G99-K99</f>
        <v>5100</v>
      </c>
      <c r="M99" s="20">
        <v>2000</v>
      </c>
      <c r="N99" s="20">
        <v>2000</v>
      </c>
      <c r="O99" s="20">
        <v>1100</v>
      </c>
      <c r="P99" s="20"/>
      <c r="Q99" s="1">
        <f t="shared" si="22"/>
        <v>0</v>
      </c>
    </row>
    <row r="100" spans="2:17" ht="12.75">
      <c r="B100" s="20" t="s">
        <v>127</v>
      </c>
      <c r="C100" s="59">
        <v>0.2</v>
      </c>
      <c r="D100" s="16">
        <v>58563.8</v>
      </c>
      <c r="G100" s="16">
        <f>SUM(D100:F100)</f>
        <v>58563.8</v>
      </c>
      <c r="H100" s="16">
        <v>58565</v>
      </c>
      <c r="I100" s="16">
        <v>0</v>
      </c>
      <c r="K100" s="16">
        <f>SUM(H100:J100)</f>
        <v>58565</v>
      </c>
      <c r="L100" s="16">
        <f>+G100-K100</f>
        <v>-1.1999999999970896</v>
      </c>
      <c r="M100" s="24">
        <v>0</v>
      </c>
      <c r="N100" s="24">
        <v>0</v>
      </c>
      <c r="O100" s="24">
        <v>0</v>
      </c>
      <c r="P100" s="20"/>
      <c r="Q100" s="1">
        <f t="shared" si="22"/>
        <v>-1.1999999999970896</v>
      </c>
    </row>
    <row r="101" spans="4:17" ht="12.75">
      <c r="D101" s="17">
        <f aca="true" t="shared" si="28" ref="D101:O101">SUM(D96:D100)</f>
        <v>201635.53000000003</v>
      </c>
      <c r="E101" s="17">
        <f t="shared" si="28"/>
        <v>0</v>
      </c>
      <c r="F101" s="17">
        <f t="shared" si="28"/>
        <v>0</v>
      </c>
      <c r="G101" s="17">
        <f t="shared" si="28"/>
        <v>201635.53000000003</v>
      </c>
      <c r="H101" s="17">
        <f t="shared" si="28"/>
        <v>174269</v>
      </c>
      <c r="I101" s="17">
        <f t="shared" si="28"/>
        <v>22268</v>
      </c>
      <c r="J101" s="17">
        <f t="shared" si="28"/>
        <v>0</v>
      </c>
      <c r="K101" s="17">
        <f t="shared" si="28"/>
        <v>196537</v>
      </c>
      <c r="L101" s="17">
        <f t="shared" si="28"/>
        <v>5098.530000000003</v>
      </c>
      <c r="M101" s="17">
        <f t="shared" si="28"/>
        <v>21100</v>
      </c>
      <c r="N101" s="17">
        <f t="shared" si="28"/>
        <v>2000</v>
      </c>
      <c r="O101" s="17">
        <f t="shared" si="28"/>
        <v>1100</v>
      </c>
      <c r="Q101" s="1" t="s">
        <v>14</v>
      </c>
    </row>
    <row r="102" ht="12.75">
      <c r="Q102" s="1">
        <f t="shared" si="22"/>
        <v>0</v>
      </c>
    </row>
    <row r="103" spans="1:17" ht="12.75">
      <c r="A103" s="20" t="s">
        <v>55</v>
      </c>
      <c r="Q103" s="1">
        <f t="shared" si="22"/>
        <v>0</v>
      </c>
    </row>
    <row r="104" spans="2:17" ht="12.75">
      <c r="B104" s="20" t="s">
        <v>128</v>
      </c>
      <c r="C104" s="59">
        <v>0.2</v>
      </c>
      <c r="D104" s="16">
        <v>0</v>
      </c>
      <c r="F104" s="16">
        <v>0</v>
      </c>
      <c r="G104" s="16">
        <f>SUM(D104:F104)</f>
        <v>0</v>
      </c>
      <c r="H104" s="16">
        <v>0</v>
      </c>
      <c r="I104" s="16">
        <v>0</v>
      </c>
      <c r="J104" s="16">
        <v>0</v>
      </c>
      <c r="K104" s="16">
        <f>SUM(H104:J104)</f>
        <v>0</v>
      </c>
      <c r="L104" s="16">
        <f>+G104-K104</f>
        <v>0</v>
      </c>
      <c r="Q104" s="1">
        <f t="shared" si="22"/>
        <v>0</v>
      </c>
    </row>
    <row r="105" spans="2:17" ht="12.75">
      <c r="B105" s="20" t="s">
        <v>129</v>
      </c>
      <c r="C105" s="59">
        <v>0.2</v>
      </c>
      <c r="D105" s="16">
        <f>+'[1]Sheet1'!E80</f>
        <v>0</v>
      </c>
      <c r="G105" s="16">
        <f>SUM(D105:F105)</f>
        <v>0</v>
      </c>
      <c r="H105" s="16">
        <f>+'[1]Sheet2'!E80</f>
        <v>0</v>
      </c>
      <c r="I105" s="16">
        <f>ROUND(+G105*C105,0)</f>
        <v>0</v>
      </c>
      <c r="K105" s="16">
        <f>SUM(H105:J105)</f>
        <v>0</v>
      </c>
      <c r="L105" s="16">
        <f>+G105-K105</f>
        <v>0</v>
      </c>
      <c r="M105" s="18"/>
      <c r="N105" s="18"/>
      <c r="O105" s="18"/>
      <c r="Q105" s="1">
        <f t="shared" si="22"/>
        <v>0</v>
      </c>
    </row>
    <row r="106" spans="4:17" ht="12.75">
      <c r="D106" s="17">
        <f aca="true" t="shared" si="29" ref="D106:L106">SUM(D104:D105)</f>
        <v>0</v>
      </c>
      <c r="E106" s="17">
        <f t="shared" si="29"/>
        <v>0</v>
      </c>
      <c r="F106" s="17">
        <f t="shared" si="29"/>
        <v>0</v>
      </c>
      <c r="G106" s="17">
        <f t="shared" si="29"/>
        <v>0</v>
      </c>
      <c r="H106" s="17">
        <f t="shared" si="29"/>
        <v>0</v>
      </c>
      <c r="I106" s="17">
        <f t="shared" si="29"/>
        <v>0</v>
      </c>
      <c r="J106" s="17">
        <f t="shared" si="29"/>
        <v>0</v>
      </c>
      <c r="K106" s="17">
        <f t="shared" si="29"/>
        <v>0</v>
      </c>
      <c r="L106" s="17">
        <f t="shared" si="29"/>
        <v>0</v>
      </c>
      <c r="Q106" s="1">
        <f t="shared" si="22"/>
        <v>0</v>
      </c>
    </row>
    <row r="107" ht="12.75">
      <c r="Q107" s="1">
        <f t="shared" si="22"/>
        <v>0</v>
      </c>
    </row>
    <row r="108" spans="1:17" ht="12.75">
      <c r="A108" s="20" t="s">
        <v>130</v>
      </c>
      <c r="Q108" s="1">
        <f t="shared" si="22"/>
        <v>0</v>
      </c>
    </row>
    <row r="109" spans="2:17" ht="12.75">
      <c r="B109" s="20" t="s">
        <v>131</v>
      </c>
      <c r="C109" s="59">
        <v>0.2</v>
      </c>
      <c r="D109" s="16">
        <v>27222.45</v>
      </c>
      <c r="E109" s="16">
        <v>0</v>
      </c>
      <c r="G109" s="16">
        <f>SUM(D109:F109)</f>
        <v>27222.45</v>
      </c>
      <c r="H109" s="16">
        <v>27222</v>
      </c>
      <c r="I109" s="16">
        <v>0</v>
      </c>
      <c r="K109" s="16">
        <f>SUM(H109:J109)</f>
        <v>27222</v>
      </c>
      <c r="L109" s="16">
        <f>+G109-K109</f>
        <v>0.4500000000007276</v>
      </c>
      <c r="M109" s="16">
        <v>0</v>
      </c>
      <c r="N109" s="16">
        <v>0</v>
      </c>
      <c r="O109" s="16">
        <v>0</v>
      </c>
      <c r="Q109" s="1">
        <f t="shared" si="22"/>
        <v>0.4500000000007276</v>
      </c>
    </row>
    <row r="110" spans="2:17" ht="12.75">
      <c r="B110" s="20" t="s">
        <v>132</v>
      </c>
      <c r="C110" s="59">
        <v>0.2</v>
      </c>
      <c r="D110" s="16">
        <f>+'[1]Sheet1'!E85</f>
        <v>67551.88</v>
      </c>
      <c r="G110" s="16">
        <f>SUM(D110:F110)</f>
        <v>67551.88</v>
      </c>
      <c r="H110" s="16">
        <v>67552</v>
      </c>
      <c r="I110" s="16">
        <v>0</v>
      </c>
      <c r="K110" s="16">
        <f>SUM(H110:J110)</f>
        <v>67552</v>
      </c>
      <c r="L110" s="16">
        <f>+G110-K110</f>
        <v>-0.11999999999534339</v>
      </c>
      <c r="M110" s="18"/>
      <c r="N110" s="18"/>
      <c r="O110" s="18"/>
      <c r="Q110" s="1">
        <f t="shared" si="22"/>
        <v>-0.11999999999534339</v>
      </c>
    </row>
    <row r="111" spans="4:15" ht="12.75">
      <c r="D111" s="17">
        <f>SUM(D109:D110)</f>
        <v>94774.33</v>
      </c>
      <c r="E111" s="17">
        <f aca="true" t="shared" si="30" ref="E111:O111">SUM(E109:E110)</f>
        <v>0</v>
      </c>
      <c r="F111" s="17">
        <f t="shared" si="30"/>
        <v>0</v>
      </c>
      <c r="G111" s="17">
        <f t="shared" si="30"/>
        <v>94774.33</v>
      </c>
      <c r="H111" s="17">
        <f t="shared" si="30"/>
        <v>94774</v>
      </c>
      <c r="I111" s="17">
        <f t="shared" si="30"/>
        <v>0</v>
      </c>
      <c r="J111" s="17">
        <f t="shared" si="30"/>
        <v>0</v>
      </c>
      <c r="K111" s="17">
        <f t="shared" si="30"/>
        <v>94774</v>
      </c>
      <c r="L111" s="17">
        <f t="shared" si="30"/>
        <v>0.3300000000053842</v>
      </c>
      <c r="M111" s="17">
        <f t="shared" si="30"/>
        <v>0</v>
      </c>
      <c r="N111" s="17">
        <f t="shared" si="30"/>
        <v>0</v>
      </c>
      <c r="O111" s="17">
        <f t="shared" si="30"/>
        <v>0</v>
      </c>
    </row>
    <row r="113" spans="1:15" ht="13.5" thickBot="1">
      <c r="A113" s="22" t="s">
        <v>133</v>
      </c>
      <c r="B113" s="22"/>
      <c r="C113" s="43"/>
      <c r="D113" s="129">
        <f aca="true" t="shared" si="31" ref="D113:O113">+D111+D106+D101+D93+D84+D76+D71+D59+D54+D47+D24+D14+D34+D37</f>
        <v>56455562.3738141</v>
      </c>
      <c r="E113" s="129">
        <f t="shared" si="31"/>
        <v>1069000</v>
      </c>
      <c r="F113" s="129">
        <f t="shared" si="31"/>
        <v>0</v>
      </c>
      <c r="G113" s="129">
        <f t="shared" si="31"/>
        <v>57524562.3738141</v>
      </c>
      <c r="H113" s="129">
        <f t="shared" si="31"/>
        <v>38328423.17</v>
      </c>
      <c r="I113" s="129">
        <f t="shared" si="31"/>
        <v>2233949.0640000002</v>
      </c>
      <c r="J113" s="129">
        <f t="shared" si="31"/>
        <v>0</v>
      </c>
      <c r="K113" s="129">
        <f t="shared" si="31"/>
        <v>40562372.234</v>
      </c>
      <c r="L113" s="129">
        <f t="shared" si="31"/>
        <v>16962190.139814097</v>
      </c>
      <c r="M113" s="129">
        <f t="shared" si="31"/>
        <v>2283129</v>
      </c>
      <c r="N113" s="129">
        <f t="shared" si="31"/>
        <v>2264552</v>
      </c>
      <c r="O113" s="129">
        <f t="shared" si="31"/>
        <v>2278171</v>
      </c>
    </row>
    <row r="114" ht="13.5" thickTop="1">
      <c r="B114" s="20" t="s">
        <v>14</v>
      </c>
    </row>
    <row r="115" spans="1:11" ht="12.75">
      <c r="A115" s="20" t="s">
        <v>14</v>
      </c>
      <c r="B115" s="20" t="s">
        <v>14</v>
      </c>
      <c r="K115" s="16" t="s">
        <v>14</v>
      </c>
    </row>
    <row r="116" spans="1:15" ht="12.75">
      <c r="A116" s="20" t="s">
        <v>14</v>
      </c>
      <c r="B116" s="20" t="s">
        <v>14</v>
      </c>
      <c r="J116" s="118" t="s">
        <v>256</v>
      </c>
      <c r="K116" s="118"/>
      <c r="L116" s="118"/>
      <c r="M116" s="118"/>
      <c r="N116" s="118"/>
      <c r="O116" s="118"/>
    </row>
    <row r="117" spans="2:15" ht="12.75">
      <c r="B117" s="20" t="s">
        <v>14</v>
      </c>
      <c r="J117" s="118" t="s">
        <v>14</v>
      </c>
      <c r="K117" s="118"/>
      <c r="L117" s="118"/>
      <c r="M117" s="118"/>
      <c r="N117" s="118"/>
      <c r="O117" s="118"/>
    </row>
    <row r="118" spans="10:15" ht="12.75">
      <c r="J118" s="118"/>
      <c r="K118" s="118"/>
      <c r="L118" s="118"/>
      <c r="M118" s="118"/>
      <c r="N118" s="118"/>
      <c r="O118" s="118"/>
    </row>
  </sheetData>
  <sheetProtection password="E07E" sheet="1"/>
  <printOptions/>
  <pageMargins left="0.75" right="0.75" top="1" bottom="1" header="0.5" footer="0.5"/>
  <pageSetup fitToHeight="0" fitToWidth="1" horizontalDpi="600" verticalDpi="600" orientation="landscape" scale="6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Island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IWMC</dc:creator>
  <cp:keywords/>
  <dc:description/>
  <cp:lastModifiedBy>Sheri Taylor Bradley</cp:lastModifiedBy>
  <cp:lastPrinted>2021-12-09T14:34:44Z</cp:lastPrinted>
  <dcterms:created xsi:type="dcterms:W3CDTF">2006-12-21T15:27:38Z</dcterms:created>
  <dcterms:modified xsi:type="dcterms:W3CDTF">2022-02-10T15:24:01Z</dcterms:modified>
  <cp:category/>
  <cp:version/>
  <cp:contentType/>
  <cp:contentStatus/>
</cp:coreProperties>
</file>